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2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hartEx1.xml" ContentType="application/vnd.ms-office.chartex+xml"/>
  <Override PartName="/xl/charts/colors15.xml" ContentType="application/vnd.ms-office.chartcolorstyle+xml"/>
  <Override PartName="/xl/charts/style15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8800" windowHeight="12330"/>
  </bookViews>
  <sheets>
    <sheet name="hodnoty" sheetId="6" r:id="rId1"/>
    <sheet name="mnš" sheetId="4" r:id="rId2"/>
    <sheet name="hierarchicky model" sheetId="5" r:id="rId3"/>
    <sheet name="Testy" sheetId="16" r:id="rId4"/>
    <sheet name="R squared_R pred" sheetId="17" r:id="rId5"/>
    <sheet name="Hlavné efekty" sheetId="18" r:id="rId6"/>
    <sheet name="Efekty interakcii" sheetId="19" r:id="rId7"/>
    <sheet name="Paretov graf" sheetId="20" r:id="rId8"/>
    <sheet name="validacia modelu" sheetId="21" r:id="rId9"/>
  </sheets>
  <definedNames>
    <definedName name="_xlchart.v1.0" hidden="1">'validacia modelu'!$E$7</definedName>
    <definedName name="_xlchart.v1.1" hidden="1">'validacia modelu'!$E$8:$E$22</definedName>
    <definedName name="_xlchart.v1.2" hidden="1">'validacia modelu'!$K$7</definedName>
    <definedName name="_xlchart.v1.3" hidden="1">'validacia modelu'!$K$8:$K$22</definedName>
    <definedName name="_xlchart.v1.4" hidden="1">'validacia modelu'!$E$7</definedName>
    <definedName name="_xlchart.v1.5" hidden="1">'validacia modelu'!$E$8:$E$22</definedName>
    <definedName name="_xlchart.v1.6" hidden="1">'validacia modelu'!$K$7</definedName>
    <definedName name="_xlchart.v1.7" hidden="1">'validacia modelu'!$K$8:$K$22</definedName>
    <definedName name="solver_eng" localSheetId="8" hidden="1">1</definedName>
    <definedName name="solver_neg" localSheetId="8" hidden="1">1</definedName>
    <definedName name="solver_num" localSheetId="8" hidden="1">0</definedName>
    <definedName name="solver_opt" localSheetId="8" hidden="1">'validacia modelu'!$K$57</definedName>
    <definedName name="solver_typ" localSheetId="8" hidden="1">1</definedName>
    <definedName name="solver_val" localSheetId="8" hidden="1">0</definedName>
    <definedName name="solver_ver" localSheetId="8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rilepenáTabuľka" name="PrilepenáTabuľka" connection="Pripojenie"/>
        </x15:modelTables>
      </x15:dataModel>
    </ext>
  </extLst>
</workbook>
</file>

<file path=xl/calcChain.xml><?xml version="1.0" encoding="utf-8"?>
<calcChain xmlns="http://schemas.openxmlformats.org/spreadsheetml/2006/main">
  <c r="O20" i="21" l="1"/>
  <c r="O17" i="21"/>
  <c r="O12" i="21"/>
  <c r="O9" i="21"/>
  <c r="K22" i="21"/>
  <c r="K21" i="21"/>
  <c r="K20" i="21"/>
  <c r="K19" i="21"/>
  <c r="K18" i="21"/>
  <c r="K17" i="21"/>
  <c r="K16" i="21"/>
  <c r="K15" i="21"/>
  <c r="K14" i="21"/>
  <c r="K13" i="21"/>
  <c r="K12" i="21"/>
  <c r="K11" i="21"/>
  <c r="K10" i="21"/>
  <c r="K9" i="21"/>
  <c r="K8" i="21"/>
  <c r="T4" i="21"/>
  <c r="S4" i="21"/>
  <c r="O16" i="21" s="1"/>
  <c r="T3" i="21"/>
  <c r="N22" i="21" s="1"/>
  <c r="S3" i="21"/>
  <c r="N15" i="21" s="1"/>
  <c r="T2" i="21"/>
  <c r="S2" i="21"/>
  <c r="M22" i="21" s="1"/>
  <c r="P22" i="21" l="1"/>
  <c r="M15" i="21"/>
  <c r="P15" i="21" s="1"/>
  <c r="N8" i="21"/>
  <c r="N16" i="21"/>
  <c r="M8" i="21"/>
  <c r="M16" i="21"/>
  <c r="P16" i="21" s="1"/>
  <c r="N9" i="21"/>
  <c r="N17" i="21"/>
  <c r="O10" i="21"/>
  <c r="O18" i="21"/>
  <c r="M9" i="21"/>
  <c r="P9" i="21" s="1"/>
  <c r="M17" i="21"/>
  <c r="N10" i="21"/>
  <c r="N18" i="21"/>
  <c r="O11" i="21"/>
  <c r="O19" i="21"/>
  <c r="M10" i="21"/>
  <c r="P10" i="21" s="1"/>
  <c r="M18" i="21"/>
  <c r="P18" i="21" s="1"/>
  <c r="N19" i="21"/>
  <c r="M11" i="21"/>
  <c r="N12" i="21"/>
  <c r="N20" i="21"/>
  <c r="O13" i="21"/>
  <c r="O21" i="21"/>
  <c r="M12" i="21"/>
  <c r="P12" i="21" s="1"/>
  <c r="M20" i="21"/>
  <c r="P20" i="21" s="1"/>
  <c r="N13" i="21"/>
  <c r="N21" i="21"/>
  <c r="O14" i="21"/>
  <c r="O22" i="21"/>
  <c r="N11" i="21"/>
  <c r="M19" i="21"/>
  <c r="M13" i="21"/>
  <c r="M21" i="21"/>
  <c r="P21" i="21" s="1"/>
  <c r="N14" i="21"/>
  <c r="O15" i="21"/>
  <c r="M14" i="21"/>
  <c r="O8" i="21"/>
  <c r="B24" i="21"/>
  <c r="P14" i="21" l="1"/>
  <c r="P8" i="21"/>
  <c r="P13" i="21"/>
  <c r="P19" i="21"/>
  <c r="P11" i="21"/>
  <c r="P17" i="21"/>
  <c r="D41" i="20" l="1"/>
  <c r="C26" i="20"/>
  <c r="C25" i="20"/>
  <c r="C24" i="20"/>
  <c r="C23" i="20"/>
  <c r="C22" i="20"/>
  <c r="C21" i="20"/>
  <c r="C20" i="20"/>
  <c r="E24" i="19"/>
  <c r="D24" i="19"/>
  <c r="E56" i="19"/>
  <c r="D56" i="19"/>
  <c r="E55" i="19"/>
  <c r="D55" i="19"/>
  <c r="E39" i="19"/>
  <c r="F38" i="19" s="1"/>
  <c r="D39" i="19"/>
  <c r="E38" i="19"/>
  <c r="D38" i="19"/>
  <c r="E25" i="19"/>
  <c r="D25" i="19"/>
  <c r="H4" i="18"/>
  <c r="H10" i="18"/>
  <c r="H9" i="18"/>
  <c r="H16" i="18"/>
  <c r="H15" i="18"/>
  <c r="H3" i="18"/>
  <c r="B7" i="17"/>
  <c r="B3" i="17"/>
  <c r="D473" i="16"/>
  <c r="C473" i="16"/>
  <c r="C471" i="16"/>
  <c r="C469" i="16"/>
  <c r="C470" i="16"/>
  <c r="D424" i="16"/>
  <c r="C424" i="16"/>
  <c r="C422" i="16"/>
  <c r="C420" i="16"/>
  <c r="C421" i="16"/>
  <c r="D372" i="16"/>
  <c r="C372" i="16"/>
  <c r="C370" i="16"/>
  <c r="C368" i="16"/>
  <c r="C369" i="16"/>
  <c r="C323" i="16"/>
  <c r="D327" i="16"/>
  <c r="C327" i="16"/>
  <c r="C325" i="16"/>
  <c r="C324" i="16"/>
  <c r="D277" i="16"/>
  <c r="C277" i="16"/>
  <c r="C275" i="16"/>
  <c r="C273" i="16"/>
  <c r="C274" i="16"/>
  <c r="D229" i="16"/>
  <c r="C229" i="16"/>
  <c r="C227" i="16"/>
  <c r="C225" i="16"/>
  <c r="C226" i="16"/>
  <c r="H157" i="16"/>
  <c r="C157" i="16"/>
  <c r="B154" i="16"/>
  <c r="G150" i="16"/>
  <c r="G149" i="16"/>
  <c r="G148" i="16"/>
  <c r="G147" i="16"/>
  <c r="G146" i="16"/>
  <c r="G145" i="16"/>
  <c r="G144" i="16"/>
  <c r="G143" i="16"/>
  <c r="G142" i="16"/>
  <c r="J7" i="16"/>
  <c r="J5" i="16"/>
  <c r="C145" i="16"/>
  <c r="B147" i="16"/>
  <c r="C146" i="16" s="1"/>
  <c r="E157" i="16"/>
  <c r="C148" i="16"/>
  <c r="G94" i="16"/>
  <c r="L94" i="16" s="1"/>
  <c r="G92" i="16"/>
  <c r="F39" i="19" l="1"/>
  <c r="F40" i="19" s="1"/>
  <c r="F56" i="19"/>
  <c r="F25" i="19"/>
  <c r="F24" i="19"/>
  <c r="F55" i="19"/>
  <c r="H11" i="18"/>
  <c r="H17" i="18"/>
  <c r="H5" i="18"/>
  <c r="C143" i="16"/>
  <c r="C144" i="16"/>
  <c r="C142" i="16"/>
  <c r="C147" i="16" s="1"/>
  <c r="F57" i="19" l="1"/>
  <c r="F26" i="19"/>
  <c r="C95" i="16" l="1"/>
  <c r="C94" i="16"/>
  <c r="D40" i="16" l="1"/>
  <c r="D41" i="16"/>
  <c r="D39" i="16"/>
  <c r="AB29" i="16"/>
  <c r="AB30" i="16" s="1"/>
  <c r="Z29" i="16"/>
  <c r="Z30" i="16" s="1"/>
  <c r="X29" i="16"/>
  <c r="X30" i="16" s="1"/>
  <c r="V29" i="16"/>
  <c r="T29" i="16"/>
  <c r="R29" i="16"/>
  <c r="P29" i="16"/>
  <c r="AB28" i="16"/>
  <c r="Z28" i="16"/>
  <c r="X28" i="16"/>
  <c r="V28" i="16"/>
  <c r="T28" i="16"/>
  <c r="R28" i="16"/>
  <c r="P28" i="16"/>
  <c r="N92" i="5"/>
  <c r="N93" i="5"/>
  <c r="N94" i="5"/>
  <c r="K26" i="16"/>
  <c r="J21" i="16"/>
  <c r="F25" i="16"/>
  <c r="G25" i="16"/>
  <c r="F24" i="16"/>
  <c r="G24" i="16"/>
  <c r="F23" i="16"/>
  <c r="G23" i="16"/>
  <c r="F22" i="16"/>
  <c r="G22" i="16"/>
  <c r="F21" i="16"/>
  <c r="G21" i="16"/>
  <c r="E21" i="16"/>
  <c r="J19" i="16"/>
  <c r="J17" i="16"/>
  <c r="J15" i="16"/>
  <c r="J13" i="16"/>
  <c r="J11" i="16"/>
  <c r="J9" i="16"/>
  <c r="G20" i="16"/>
  <c r="F20" i="16"/>
  <c r="E20" i="16"/>
  <c r="G19" i="16"/>
  <c r="F19" i="16"/>
  <c r="E19" i="16"/>
  <c r="G18" i="16"/>
  <c r="F18" i="16"/>
  <c r="E18" i="16"/>
  <c r="G17" i="16"/>
  <c r="F17" i="16"/>
  <c r="E17" i="16"/>
  <c r="G16" i="16"/>
  <c r="F16" i="16"/>
  <c r="E16" i="16"/>
  <c r="G15" i="16"/>
  <c r="F15" i="16"/>
  <c r="E15" i="16"/>
  <c r="G14" i="16"/>
  <c r="F14" i="16"/>
  <c r="E14" i="16"/>
  <c r="G13" i="16"/>
  <c r="F13" i="16"/>
  <c r="E13" i="16"/>
  <c r="G12" i="16"/>
  <c r="F12" i="16"/>
  <c r="E12" i="16"/>
  <c r="G11" i="16"/>
  <c r="F11" i="16"/>
  <c r="E11" i="16"/>
  <c r="G10" i="16"/>
  <c r="F10" i="16"/>
  <c r="E10" i="16"/>
  <c r="G9" i="16"/>
  <c r="F9" i="16"/>
  <c r="E9" i="16"/>
  <c r="G8" i="16"/>
  <c r="F8" i="16"/>
  <c r="E8" i="16"/>
  <c r="G7" i="16"/>
  <c r="F7" i="16"/>
  <c r="E7" i="16"/>
  <c r="G6" i="16"/>
  <c r="F6" i="16"/>
  <c r="E6" i="16"/>
  <c r="G5" i="16"/>
  <c r="F5" i="16"/>
  <c r="E5" i="16"/>
  <c r="J26" i="16" l="1"/>
  <c r="D95" i="16" s="1"/>
  <c r="R30" i="16"/>
  <c r="T30" i="16"/>
  <c r="P30" i="16"/>
  <c r="V30" i="16"/>
  <c r="D94" i="16" l="1"/>
  <c r="E94" i="16" s="1"/>
  <c r="E95" i="16"/>
  <c r="F94" i="16" l="1"/>
  <c r="L93" i="16" l="1"/>
  <c r="H94" i="16"/>
  <c r="L95" i="16" s="1"/>
  <c r="O62" i="5" l="1"/>
  <c r="P61" i="5"/>
  <c r="P62" i="5"/>
  <c r="O61" i="5"/>
  <c r="O40" i="5"/>
  <c r="P40" i="5"/>
  <c r="P39" i="5"/>
  <c r="O39" i="5"/>
  <c r="P17" i="5" l="1"/>
  <c r="O18" i="5"/>
  <c r="P18" i="5"/>
  <c r="O17" i="5"/>
  <c r="V8" i="5"/>
  <c r="U8" i="5"/>
  <c r="U9" i="5" s="1"/>
  <c r="V7" i="5"/>
  <c r="V9" i="5" s="1"/>
  <c r="U7" i="5"/>
  <c r="V44" i="5"/>
  <c r="V45" i="5" s="1"/>
  <c r="V43" i="5"/>
  <c r="U44" i="5"/>
  <c r="U43" i="5"/>
  <c r="V27" i="5"/>
  <c r="V28" i="5" s="1"/>
  <c r="V26" i="5"/>
  <c r="U27" i="5"/>
  <c r="U26" i="5"/>
  <c r="L93" i="5"/>
  <c r="L94" i="5" s="1"/>
  <c r="J93" i="5"/>
  <c r="J94" i="5" s="1"/>
  <c r="H93" i="5"/>
  <c r="F93" i="5"/>
  <c r="D93" i="5"/>
  <c r="L92" i="5"/>
  <c r="H94" i="5" s="1"/>
  <c r="J92" i="5"/>
  <c r="H92" i="5"/>
  <c r="F92" i="5"/>
  <c r="D92" i="5"/>
  <c r="B93" i="5"/>
  <c r="B92" i="5"/>
  <c r="U28" i="5" l="1"/>
  <c r="D94" i="5"/>
  <c r="U45" i="5"/>
  <c r="B94" i="5"/>
  <c r="F94" i="5"/>
  <c r="F66" i="5" l="1"/>
  <c r="E66" i="5"/>
  <c r="D66" i="5"/>
  <c r="F65" i="5"/>
  <c r="E65" i="5"/>
  <c r="D65" i="5"/>
  <c r="F64" i="5"/>
  <c r="E64" i="5"/>
  <c r="D64" i="5"/>
  <c r="F63" i="5"/>
  <c r="E63" i="5"/>
  <c r="D63" i="5"/>
  <c r="F62" i="5"/>
  <c r="E62" i="5"/>
  <c r="D62" i="5"/>
  <c r="F61" i="5"/>
  <c r="E61" i="5"/>
  <c r="D61" i="5"/>
  <c r="F60" i="5"/>
  <c r="E60" i="5"/>
  <c r="D60" i="5"/>
  <c r="F59" i="5"/>
  <c r="E59" i="5"/>
  <c r="D59" i="5"/>
  <c r="F58" i="5"/>
  <c r="E58" i="5"/>
  <c r="D58" i="5"/>
  <c r="F57" i="5"/>
  <c r="E57" i="5"/>
  <c r="D57" i="5"/>
  <c r="F56" i="5"/>
  <c r="E56" i="5"/>
  <c r="D56" i="5"/>
  <c r="F55" i="5"/>
  <c r="E55" i="5"/>
  <c r="D55" i="5"/>
  <c r="F54" i="5"/>
  <c r="E54" i="5"/>
  <c r="D54" i="5"/>
  <c r="F53" i="5"/>
  <c r="E53" i="5"/>
  <c r="D53" i="5"/>
  <c r="F52" i="5"/>
  <c r="E52" i="5"/>
  <c r="D52" i="5"/>
  <c r="F51" i="5"/>
  <c r="E51" i="5"/>
  <c r="D51" i="5"/>
  <c r="P4" i="5"/>
  <c r="P3" i="5"/>
  <c r="P2" i="5"/>
  <c r="O4" i="5"/>
  <c r="O3" i="5"/>
  <c r="O2" i="5"/>
  <c r="U2" i="6" l="1"/>
  <c r="U4" i="6"/>
  <c r="V4" i="6" l="1"/>
  <c r="V3" i="6"/>
  <c r="U3" i="6"/>
  <c r="V2" i="6"/>
  <c r="AG4" i="4" l="1"/>
  <c r="AG5" i="4"/>
  <c r="AG6" i="4"/>
  <c r="AG7" i="4"/>
  <c r="AG8" i="4"/>
  <c r="AG9" i="4"/>
  <c r="AG10" i="4"/>
  <c r="AG11" i="4"/>
  <c r="AG12" i="4"/>
  <c r="AG13" i="4"/>
  <c r="AG14" i="4"/>
  <c r="AG15" i="4"/>
  <c r="AG16" i="4"/>
  <c r="AG17" i="4"/>
  <c r="AG18" i="4"/>
  <c r="AG3" i="4"/>
  <c r="AF4" i="4"/>
  <c r="AF5" i="4"/>
  <c r="AF6" i="4"/>
  <c r="AF7" i="4"/>
  <c r="AF8" i="4"/>
  <c r="AF9" i="4"/>
  <c r="AF10" i="4"/>
  <c r="AF11" i="4"/>
  <c r="AF12" i="4"/>
  <c r="AF13" i="4"/>
  <c r="AF14" i="4"/>
  <c r="AF15" i="4"/>
  <c r="AF16" i="4"/>
  <c r="AF17" i="4"/>
  <c r="AF18" i="4"/>
  <c r="AF3" i="4"/>
  <c r="AE4" i="4"/>
  <c r="AE5" i="4"/>
  <c r="AE6" i="4"/>
  <c r="AE7" i="4"/>
  <c r="AE8" i="4"/>
  <c r="AE9" i="4"/>
  <c r="AE10" i="4"/>
  <c r="AE11" i="4"/>
  <c r="AE12" i="4"/>
  <c r="AE13" i="4"/>
  <c r="AE14" i="4"/>
  <c r="AE15" i="4"/>
  <c r="AE16" i="4"/>
  <c r="AE17" i="4"/>
  <c r="AE18" i="4"/>
  <c r="AE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3" i="4"/>
  <c r="R3" i="6"/>
  <c r="Q3" i="6"/>
  <c r="P3" i="6"/>
  <c r="R3" i="4"/>
  <c r="F3" i="5" l="1"/>
  <c r="E3" i="5"/>
  <c r="D3" i="5"/>
  <c r="Z20" i="4" a="1"/>
  <c r="I3" i="4"/>
  <c r="H3" i="4"/>
  <c r="G3" i="4"/>
  <c r="F3" i="4"/>
  <c r="S19" i="6"/>
  <c r="R11" i="6"/>
  <c r="Q7" i="6"/>
  <c r="P7" i="6"/>
  <c r="P4" i="6"/>
  <c r="Q4" i="6"/>
  <c r="R4" i="6"/>
  <c r="P5" i="6"/>
  <c r="Q5" i="6"/>
  <c r="R5" i="6"/>
  <c r="P6" i="6"/>
  <c r="Q6" i="6"/>
  <c r="R6" i="6"/>
  <c r="R7" i="6"/>
  <c r="P8" i="6"/>
  <c r="Q8" i="6"/>
  <c r="R8" i="6"/>
  <c r="P9" i="6"/>
  <c r="Q9" i="6"/>
  <c r="R9" i="6"/>
  <c r="P10" i="6"/>
  <c r="Q10" i="6"/>
  <c r="R10" i="6"/>
  <c r="P11" i="6"/>
  <c r="Q11" i="6"/>
  <c r="P12" i="6"/>
  <c r="Q12" i="6"/>
  <c r="R12" i="6"/>
  <c r="P13" i="6"/>
  <c r="Q13" i="6"/>
  <c r="R13" i="6"/>
  <c r="P14" i="6"/>
  <c r="Q14" i="6"/>
  <c r="R14" i="6"/>
  <c r="P15" i="6"/>
  <c r="Q15" i="6"/>
  <c r="R15" i="6"/>
  <c r="P16" i="6"/>
  <c r="Q16" i="6"/>
  <c r="R16" i="6"/>
  <c r="P17" i="6"/>
  <c r="Q17" i="6"/>
  <c r="R17" i="6"/>
  <c r="P18" i="6"/>
  <c r="Q18" i="6"/>
  <c r="R18" i="6"/>
  <c r="Z20" i="4" l="1"/>
  <c r="AD20" i="4"/>
  <c r="AH20" i="4"/>
  <c r="AL20" i="4"/>
  <c r="Z21" i="4"/>
  <c r="AD21" i="4"/>
  <c r="AH21" i="4"/>
  <c r="AL21" i="4"/>
  <c r="Z22" i="4"/>
  <c r="AD22" i="4"/>
  <c r="AH22" i="4"/>
  <c r="AL22" i="4"/>
  <c r="Z23" i="4"/>
  <c r="AD23" i="4"/>
  <c r="AH23" i="4"/>
  <c r="AL23" i="4"/>
  <c r="Z24" i="4"/>
  <c r="AD24" i="4"/>
  <c r="AH24" i="4"/>
  <c r="AL24" i="4"/>
  <c r="Z25" i="4"/>
  <c r="AD25" i="4"/>
  <c r="AH25" i="4"/>
  <c r="AL25" i="4"/>
  <c r="Z26" i="4"/>
  <c r="AD26" i="4"/>
  <c r="AH26" i="4"/>
  <c r="AL26" i="4"/>
  <c r="Z27" i="4"/>
  <c r="AD27" i="4"/>
  <c r="AH27" i="4"/>
  <c r="AL27" i="4"/>
  <c r="AA20" i="4"/>
  <c r="AE20" i="4"/>
  <c r="AI20" i="4"/>
  <c r="AM20" i="4"/>
  <c r="AA21" i="4"/>
  <c r="AE21" i="4"/>
  <c r="AI21" i="4"/>
  <c r="AM21" i="4"/>
  <c r="AA22" i="4"/>
  <c r="AE22" i="4"/>
  <c r="AI22" i="4"/>
  <c r="AM22" i="4"/>
  <c r="AA23" i="4"/>
  <c r="AE23" i="4"/>
  <c r="AI23" i="4"/>
  <c r="AM23" i="4"/>
  <c r="AA24" i="4"/>
  <c r="AE24" i="4"/>
  <c r="AI24" i="4"/>
  <c r="AM24" i="4"/>
  <c r="AA25" i="4"/>
  <c r="AE25" i="4"/>
  <c r="AI25" i="4"/>
  <c r="AM25" i="4"/>
  <c r="AA26" i="4"/>
  <c r="AE26" i="4"/>
  <c r="AI26" i="4"/>
  <c r="AM26" i="4"/>
  <c r="AA27" i="4"/>
  <c r="AE27" i="4"/>
  <c r="AI27" i="4"/>
  <c r="AM27" i="4"/>
  <c r="AB20" i="4"/>
  <c r="AF20" i="4"/>
  <c r="AJ20" i="4"/>
  <c r="AN20" i="4"/>
  <c r="AB21" i="4"/>
  <c r="AF21" i="4"/>
  <c r="AJ21" i="4"/>
  <c r="AN21" i="4"/>
  <c r="AB22" i="4"/>
  <c r="AF22" i="4"/>
  <c r="AJ22" i="4"/>
  <c r="AN22" i="4"/>
  <c r="AB23" i="4"/>
  <c r="AF23" i="4"/>
  <c r="AJ23" i="4"/>
  <c r="AN23" i="4"/>
  <c r="AB24" i="4"/>
  <c r="AF24" i="4"/>
  <c r="AJ24" i="4"/>
  <c r="AN24" i="4"/>
  <c r="AB25" i="4"/>
  <c r="AO27" i="4"/>
  <c r="AO26" i="4"/>
  <c r="AO25" i="4"/>
  <c r="AK24" i="4"/>
  <c r="AK22" i="4"/>
  <c r="AK20" i="4"/>
  <c r="AN27" i="4"/>
  <c r="AF27" i="4"/>
  <c r="AN26" i="4"/>
  <c r="AF26" i="4"/>
  <c r="AN25" i="4"/>
  <c r="AF25" i="4"/>
  <c r="AG24" i="4"/>
  <c r="AG23" i="4"/>
  <c r="AG22" i="4"/>
  <c r="AG21" i="4"/>
  <c r="AG20" i="4"/>
  <c r="AJ27" i="4"/>
  <c r="AB27" i="4"/>
  <c r="AJ26" i="4"/>
  <c r="AB26" i="4"/>
  <c r="AJ25" i="4"/>
  <c r="AO24" i="4"/>
  <c r="AO23" i="4"/>
  <c r="AO22" i="4"/>
  <c r="AO21" i="4"/>
  <c r="AO20" i="4"/>
  <c r="AG27" i="4"/>
  <c r="AG26" i="4"/>
  <c r="AG25" i="4"/>
  <c r="AK23" i="4"/>
  <c r="AK21" i="4"/>
  <c r="AK27" i="4"/>
  <c r="AC27" i="4"/>
  <c r="AK26" i="4"/>
  <c r="AC26" i="4"/>
  <c r="AK25" i="4"/>
  <c r="AC25" i="4"/>
  <c r="AC24" i="4"/>
  <c r="AC23" i="4"/>
  <c r="AC22" i="4"/>
  <c r="AC21" i="4"/>
  <c r="AC20" i="4"/>
  <c r="Z30" i="4" l="1" a="1"/>
  <c r="Z30" i="4" l="1"/>
  <c r="AB30" i="4" s="1"/>
  <c r="Z36" i="4"/>
  <c r="AB36" i="4" s="1"/>
  <c r="Z35" i="4"/>
  <c r="AB35" i="4" s="1"/>
  <c r="Z31" i="4"/>
  <c r="AB31" i="4" s="1"/>
  <c r="Z32" i="4"/>
  <c r="AB32" i="4" s="1"/>
  <c r="Z33" i="4"/>
  <c r="AB33" i="4" s="1"/>
  <c r="Z37" i="4"/>
  <c r="AB37" i="4" s="1"/>
  <c r="Z34" i="4"/>
  <c r="AB34" i="4" s="1"/>
  <c r="I4" i="4" l="1"/>
  <c r="I5" i="4"/>
  <c r="I6" i="4"/>
  <c r="I7" i="4"/>
  <c r="I8" i="4"/>
  <c r="I9" i="4"/>
  <c r="I10" i="4"/>
  <c r="I11" i="4"/>
  <c r="I12" i="4"/>
  <c r="I13" i="4"/>
  <c r="I14" i="4"/>
  <c r="I15" i="4"/>
  <c r="I16" i="4"/>
  <c r="I17" i="4"/>
  <c r="I18" i="4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3" i="5"/>
  <c r="F18" i="5"/>
  <c r="E18" i="5"/>
  <c r="D18" i="5"/>
  <c r="F17" i="5"/>
  <c r="E17" i="5"/>
  <c r="D17" i="5"/>
  <c r="F16" i="5"/>
  <c r="E16" i="5"/>
  <c r="D16" i="5"/>
  <c r="F15" i="5"/>
  <c r="E15" i="5"/>
  <c r="D15" i="5"/>
  <c r="F14" i="5"/>
  <c r="E14" i="5"/>
  <c r="D14" i="5"/>
  <c r="F13" i="5"/>
  <c r="E13" i="5"/>
  <c r="D13" i="5"/>
  <c r="F12" i="5"/>
  <c r="E12" i="5"/>
  <c r="D12" i="5"/>
  <c r="F11" i="5"/>
  <c r="E11" i="5"/>
  <c r="D11" i="5"/>
  <c r="F10" i="5"/>
  <c r="E10" i="5"/>
  <c r="D10" i="5"/>
  <c r="F9" i="5"/>
  <c r="E9" i="5"/>
  <c r="D9" i="5"/>
  <c r="F8" i="5"/>
  <c r="E8" i="5"/>
  <c r="D8" i="5"/>
  <c r="F7" i="5"/>
  <c r="E7" i="5"/>
  <c r="D7" i="5"/>
  <c r="F6" i="5"/>
  <c r="E6" i="5"/>
  <c r="D6" i="5"/>
  <c r="F5" i="5"/>
  <c r="E5" i="5"/>
  <c r="D5" i="5"/>
  <c r="F4" i="5"/>
  <c r="E4" i="5"/>
  <c r="D4" i="5"/>
  <c r="H18" i="4" l="1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10" i="4"/>
  <c r="G10" i="4"/>
  <c r="F10" i="4"/>
  <c r="H9" i="4"/>
  <c r="G9" i="4"/>
  <c r="F9" i="4"/>
  <c r="H8" i="4"/>
  <c r="G8" i="4"/>
  <c r="F8" i="4"/>
  <c r="H7" i="4"/>
  <c r="G7" i="4"/>
  <c r="F7" i="4"/>
  <c r="H6" i="4"/>
  <c r="G6" i="4"/>
  <c r="F6" i="4"/>
  <c r="H5" i="4"/>
  <c r="G5" i="4"/>
  <c r="F5" i="4"/>
  <c r="H4" i="4"/>
  <c r="G4" i="4"/>
  <c r="F4" i="4"/>
  <c r="B20" i="4" l="1" a="1"/>
  <c r="D20" i="4" l="1"/>
  <c r="I27" i="4"/>
  <c r="K21" i="4"/>
  <c r="I23" i="4"/>
  <c r="P25" i="4"/>
  <c r="H20" i="4"/>
  <c r="B25" i="4"/>
  <c r="F23" i="4"/>
  <c r="E20" i="4"/>
  <c r="G27" i="4"/>
  <c r="J22" i="4"/>
  <c r="P20" i="4"/>
  <c r="I24" i="4"/>
  <c r="J27" i="4"/>
  <c r="M22" i="4"/>
  <c r="L23" i="4"/>
  <c r="O27" i="4"/>
  <c r="B22" i="4"/>
  <c r="B21" i="4"/>
  <c r="O26" i="4"/>
  <c r="G24" i="4"/>
  <c r="N21" i="4"/>
  <c r="M20" i="4"/>
  <c r="J24" i="4"/>
  <c r="Q21" i="4"/>
  <c r="H21" i="4"/>
  <c r="C27" i="4"/>
  <c r="Q27" i="4"/>
  <c r="M27" i="4"/>
  <c r="K24" i="4"/>
  <c r="K20" i="4"/>
  <c r="F20" i="4"/>
  <c r="K26" i="4"/>
  <c r="Q24" i="4"/>
  <c r="Q26" i="4"/>
  <c r="O20" i="4"/>
  <c r="F27" i="4"/>
  <c r="L20" i="4"/>
  <c r="Q25" i="4"/>
  <c r="I20" i="4"/>
  <c r="K23" i="4"/>
  <c r="P27" i="4"/>
  <c r="E26" i="4"/>
  <c r="J23" i="4"/>
  <c r="P26" i="4"/>
  <c r="E22" i="4"/>
  <c r="O24" i="4"/>
  <c r="H26" i="4"/>
  <c r="B23" i="4"/>
  <c r="E27" i="4"/>
  <c r="L22" i="4"/>
  <c r="N22" i="4"/>
  <c r="K22" i="4"/>
  <c r="P23" i="4"/>
  <c r="B26" i="4"/>
  <c r="I22" i="4"/>
  <c r="N23" i="4"/>
  <c r="C21" i="4"/>
  <c r="H22" i="4"/>
  <c r="G25" i="4"/>
  <c r="N24" i="4"/>
  <c r="H24" i="4"/>
  <c r="F22" i="4"/>
  <c r="E21" i="4"/>
  <c r="G26" i="4"/>
  <c r="L27" i="4"/>
  <c r="K25" i="4"/>
  <c r="F25" i="4"/>
  <c r="C26" i="4"/>
  <c r="I25" i="4"/>
  <c r="D26" i="4"/>
  <c r="C23" i="4"/>
  <c r="C22" i="4"/>
  <c r="L26" i="4"/>
  <c r="N25" i="4"/>
  <c r="C24" i="4"/>
  <c r="M24" i="4"/>
  <c r="E24" i="4"/>
  <c r="F24" i="4"/>
  <c r="N26" i="4"/>
  <c r="G23" i="4"/>
  <c r="E25" i="4"/>
  <c r="L24" i="4"/>
  <c r="O25" i="4"/>
  <c r="I26" i="4"/>
  <c r="E23" i="4"/>
  <c r="O22" i="4"/>
  <c r="O21" i="4"/>
  <c r="B27" i="4"/>
  <c r="M23" i="4"/>
  <c r="F26" i="4"/>
  <c r="N20" i="4"/>
  <c r="P21" i="4"/>
  <c r="B24" i="4"/>
  <c r="C25" i="4"/>
  <c r="G21" i="4"/>
  <c r="G22" i="4"/>
  <c r="P24" i="4"/>
  <c r="J21" i="4"/>
  <c r="H25" i="4"/>
  <c r="O23" i="4"/>
  <c r="P22" i="4"/>
  <c r="F21" i="4"/>
  <c r="Q23" i="4"/>
  <c r="D27" i="4"/>
  <c r="C20" i="4"/>
  <c r="B20" i="4"/>
  <c r="D21" i="4"/>
  <c r="Q22" i="4"/>
  <c r="J20" i="4"/>
  <c r="N27" i="4"/>
  <c r="D23" i="4"/>
  <c r="J26" i="4"/>
  <c r="D25" i="4"/>
  <c r="M25" i="4"/>
  <c r="Q20" i="4"/>
  <c r="H23" i="4"/>
  <c r="L25" i="4"/>
  <c r="H27" i="4"/>
  <c r="K27" i="4"/>
  <c r="D24" i="4"/>
  <c r="J25" i="4"/>
  <c r="I21" i="4"/>
  <c r="D22" i="4"/>
  <c r="M26" i="4"/>
  <c r="M21" i="4"/>
  <c r="G20" i="4"/>
  <c r="L21" i="4"/>
  <c r="B29" i="4" l="1" a="1"/>
  <c r="B36" i="4" l="1"/>
  <c r="E36" i="4" s="1"/>
  <c r="H36" i="4" s="1"/>
  <c r="B35" i="4"/>
  <c r="E35" i="4" s="1"/>
  <c r="H35" i="4" s="1"/>
  <c r="B34" i="4"/>
  <c r="E34" i="4" s="1"/>
  <c r="H34" i="4" s="1"/>
  <c r="B33" i="4"/>
  <c r="E33" i="4" s="1"/>
  <c r="H33" i="4" s="1"/>
  <c r="B32" i="4"/>
  <c r="E32" i="4" s="1"/>
  <c r="H32" i="4" s="1"/>
  <c r="B31" i="4"/>
  <c r="E31" i="4" s="1"/>
  <c r="H31" i="4" s="1"/>
  <c r="B29" i="4"/>
  <c r="E29" i="4" s="1"/>
  <c r="B30" i="4"/>
  <c r="E30" i="4" s="1"/>
  <c r="H30" i="4" s="1"/>
  <c r="H29" i="4" l="1"/>
</calcChain>
</file>

<file path=xl/comments1.xml><?xml version="1.0" encoding="utf-8"?>
<comments xmlns="http://schemas.openxmlformats.org/spreadsheetml/2006/main">
  <authors>
    <author>Janette Kotianová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  <charset val="238"/>
          </rPr>
          <t>tranformovana matica planu experimentu</t>
        </r>
      </text>
    </comment>
    <comment ref="P3" authorId="0" shapeId="0">
      <text>
        <r>
          <rPr>
            <b/>
            <sz val="9"/>
            <color indexed="81"/>
            <rFont val="Segoe UI"/>
            <family val="2"/>
            <charset val="238"/>
          </rPr>
          <t>matica nameranych hodnot</t>
        </r>
      </text>
    </comment>
    <comment ref="A20" authorId="0" shapeId="0">
      <text>
        <r>
          <rPr>
            <b/>
            <sz val="9"/>
            <color indexed="81"/>
            <rFont val="Segoe UI"/>
            <family val="2"/>
            <charset val="238"/>
          </rPr>
          <t>transponovana matica k matici X</t>
        </r>
      </text>
    </comment>
  </commentList>
</comments>
</file>

<file path=xl/connections.xml><?xml version="1.0" encoding="utf-8"?>
<connections xmlns="http://schemas.openxmlformats.org/spreadsheetml/2006/main">
  <connection id="1" name="Pripojenie" type="104" refreshedVersion="0" background="1">
    <extLst>
      <ext xmlns:x15="http://schemas.microsoft.com/office/spreadsheetml/2010/11/main" uri="{DE250136-89BD-433C-8126-D09CA5730AF9}">
        <x15:connection id="PrilepenáTabuľka"/>
      </ext>
    </extLst>
  </connection>
  <connection id="2" keepAlive="1" name="ThisWorkbookDataModel" description="Dátový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<sst xmlns="http://schemas.openxmlformats.org/spreadsheetml/2006/main" count="522" uniqueCount="228">
  <si>
    <t>s</t>
  </si>
  <si>
    <t>lambda</t>
  </si>
  <si>
    <t>t1</t>
  </si>
  <si>
    <t>t2</t>
  </si>
  <si>
    <t>t1*t2</t>
  </si>
  <si>
    <t>yi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</si>
  <si>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</si>
  <si>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</si>
  <si>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</si>
  <si>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</si>
  <si>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</si>
  <si>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</si>
  <si>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</si>
  <si>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</si>
  <si>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</si>
  <si>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</si>
  <si>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</si>
  <si>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</si>
  <si>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</si>
  <si>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</si>
  <si>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</si>
  <si>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Total</t>
  </si>
  <si>
    <t>Coefficients</t>
  </si>
  <si>
    <t>t Stat</t>
  </si>
  <si>
    <t>P-value</t>
  </si>
  <si>
    <t>Lower 95%</t>
  </si>
  <si>
    <t>Upper 95%</t>
  </si>
  <si>
    <t>Intercept</t>
  </si>
  <si>
    <t>+</t>
  </si>
  <si>
    <t>t3</t>
  </si>
  <si>
    <t>t1*t3</t>
  </si>
  <si>
    <t>t2*t3</t>
  </si>
  <si>
    <t>Lower 95,0%</t>
  </si>
  <si>
    <t>Upper 95,0%</t>
  </si>
  <si>
    <t>XT=</t>
  </si>
  <si>
    <t>X=</t>
  </si>
  <si>
    <t>Y=</t>
  </si>
  <si>
    <t>XT*Y=</t>
  </si>
  <si>
    <t>b=</t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</si>
  <si>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0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</si>
  <si>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</si>
  <si>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2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</si>
  <si>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12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</si>
  <si>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3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</si>
  <si>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13</t>
    </r>
    <r>
      <rPr>
        <sz val="11"/>
        <color rgb="FFC00000"/>
        <rFont val="Calibri"/>
        <family val="2"/>
        <charset val="238"/>
        <scheme val="minor"/>
      </rPr>
      <t>=</t>
    </r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</si>
  <si>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23</t>
    </r>
    <r>
      <rPr>
        <sz val="11"/>
        <color rgb="FFC00000"/>
        <rFont val="Calibri"/>
        <family val="2"/>
        <charset val="238"/>
        <scheme val="minor"/>
      </rPr>
      <t>=</t>
    </r>
  </si>
  <si>
    <t>t1*t2*t3</t>
  </si>
  <si>
    <r>
      <t>b</t>
    </r>
    <r>
      <rPr>
        <vertAlign val="subscript"/>
        <sz val="11"/>
        <color rgb="FFC00000"/>
        <rFont val="Calibri"/>
        <family val="2"/>
        <charset val="238"/>
        <scheme val="minor"/>
      </rPr>
      <t>123</t>
    </r>
    <r>
      <rPr>
        <sz val="11"/>
        <color rgb="FFC00000"/>
        <rFont val="Calibri"/>
        <family val="2"/>
        <charset val="238"/>
        <scheme val="minor"/>
      </rPr>
      <t>=</t>
    </r>
  </si>
  <si>
    <t>x1</t>
  </si>
  <si>
    <t>x2</t>
  </si>
  <si>
    <t>x3</t>
  </si>
  <si>
    <t>Y</t>
  </si>
  <si>
    <t>Transformacia:</t>
  </si>
  <si>
    <t>b0</t>
  </si>
  <si>
    <t>b1</t>
  </si>
  <si>
    <t>b2</t>
  </si>
  <si>
    <t>b3</t>
  </si>
  <si>
    <t>b12</t>
  </si>
  <si>
    <t>b13</t>
  </si>
  <si>
    <t>b23</t>
  </si>
  <si>
    <t>b123</t>
  </si>
  <si>
    <t>*t1+</t>
  </si>
  <si>
    <t>*t3+</t>
  </si>
  <si>
    <t>8x16</t>
  </si>
  <si>
    <t>16x1</t>
  </si>
  <si>
    <t>*x1+</t>
  </si>
  <si>
    <t xml:space="preserve">Namerane hodnoty </t>
  </si>
  <si>
    <t>A patri &lt;10;60&gt;</t>
  </si>
  <si>
    <t>B patri &lt;100; 300&gt;</t>
  </si>
  <si>
    <t>je čas  v s</t>
  </si>
  <si>
    <t>je objem v ml</t>
  </si>
  <si>
    <t>je výkon vo W</t>
  </si>
  <si>
    <t>Vektor odhadov parmetrov bi</t>
  </si>
  <si>
    <t>bodové odhady koeficientov</t>
  </si>
  <si>
    <t>Na hladine významnosti 0,05 vylúčime interakcie faktorov t1*t2*t3</t>
  </si>
  <si>
    <t>YL(t1,t2,t3)=</t>
  </si>
  <si>
    <t>*t2+</t>
  </si>
  <si>
    <t>*t1*t3+</t>
  </si>
  <si>
    <t>*t2*t3</t>
  </si>
  <si>
    <t>FL(x1,x2,x3)=</t>
  </si>
  <si>
    <t>*x2+</t>
  </si>
  <si>
    <t>*x3</t>
  </si>
  <si>
    <t>*x1*x3+</t>
  </si>
  <si>
    <t>*x2*x3</t>
  </si>
  <si>
    <t>*t1*t2+</t>
  </si>
  <si>
    <t>*(x1-35)/25+</t>
  </si>
  <si>
    <t>*(x2-200)/100+</t>
  </si>
  <si>
    <t>*(x3-600)/200+</t>
  </si>
  <si>
    <t>*(x1-35/25)*(x2-200/100)+</t>
  </si>
  <si>
    <t>*(x1-35/25)*(x3-600/200)+</t>
  </si>
  <si>
    <t>*(x2-200)/100)*(x3-600/200)</t>
  </si>
  <si>
    <t>Hlavné efekty</t>
  </si>
  <si>
    <t>ef(x1)</t>
  </si>
  <si>
    <t>ef(x2)</t>
  </si>
  <si>
    <t>ef(x3)</t>
  </si>
  <si>
    <t>Grafy interakcie efektov X1*X2</t>
  </si>
  <si>
    <t>X1</t>
  </si>
  <si>
    <t>X2</t>
  </si>
  <si>
    <t>C patri &lt;400; 800&gt;</t>
  </si>
  <si>
    <t>Grafy interakcie efektov X1*X3</t>
  </si>
  <si>
    <t>X3</t>
  </si>
  <si>
    <t>Grafy interakcie efektov X2*X3</t>
  </si>
  <si>
    <t>Pe</t>
  </si>
  <si>
    <t>Df pre pe</t>
  </si>
  <si>
    <t>F test</t>
  </si>
  <si>
    <t>α=0,04</t>
  </si>
  <si>
    <t>Testovanie štatistickej vyznamnosti regresného modelu</t>
  </si>
  <si>
    <t>F0=</t>
  </si>
  <si>
    <t>H0: b1=b2=b3=b13=b23  zamietame</t>
  </si>
  <si>
    <t>H1: aspon jeden bi=0 prijimame</t>
  </si>
  <si>
    <t>p=</t>
  </si>
  <si>
    <t>&lt;0,04</t>
  </si>
  <si>
    <t>Na určenej hladine vyznamnosti 0,04 možno usudiť že regresný model je dostatočný.</t>
  </si>
  <si>
    <t>F Kv6,9(0,96)=</t>
  </si>
  <si>
    <t>H0: b1=b2=b3=b12=b13=b23=0&gt;&lt;H1: aspon jeden z uvedenych koeficientov je nenulovy</t>
  </si>
  <si>
    <t>Lack of fit</t>
  </si>
  <si>
    <t>F krit</t>
  </si>
  <si>
    <t>Pure error</t>
  </si>
  <si>
    <t>α = 0,04</t>
  </si>
  <si>
    <t>H0:SSLF=SSPE &gt;&lt;H1:SSLF=SSPE</t>
  </si>
  <si>
    <t>&gt;0,04</t>
  </si>
  <si>
    <t>F kv 2,12(0,96)=</t>
  </si>
  <si>
    <t>Na hladine významnosti 𝛼=0,04 možno konštatovať, že regresný model lineárneho typu nie je nedostatočný a nie je potrebné do modelu zaraďovať kvadratické členy.</t>
  </si>
  <si>
    <t>Test krivosti</t>
  </si>
  <si>
    <t>H0: suma b jj=0 (nie je  potrebny kvadraticky model)</t>
  </si>
  <si>
    <r>
      <t>H1: suma b jj</t>
    </r>
    <r>
      <rPr>
        <sz val="11"/>
        <color theme="1"/>
        <rFont val="Calibri"/>
        <family val="2"/>
        <charset val="238"/>
      </rPr>
      <t>≠</t>
    </r>
    <r>
      <rPr>
        <sz val="11"/>
        <color theme="1"/>
        <rFont val="Calibri"/>
        <family val="2"/>
        <charset val="238"/>
        <scheme val="minor"/>
      </rPr>
      <t>0 (je  potrebny kvadraticky model)</t>
    </r>
  </si>
  <si>
    <t>Center body</t>
  </si>
  <si>
    <t>Factorialne body</t>
  </si>
  <si>
    <t>Y priem=</t>
  </si>
  <si>
    <t>nF=</t>
  </si>
  <si>
    <t>&lt;</t>
  </si>
  <si>
    <t>H0 nezamietame</t>
  </si>
  <si>
    <t>Na hladine významnosti 𝛼=0,04 prijímame hypotézu, že do regresného modelu nie je potrebné zaraďovať kvadratické členy.</t>
  </si>
  <si>
    <t>Lower 96,0%</t>
  </si>
  <si>
    <t>Upper 96,0%</t>
  </si>
  <si>
    <t>Ssamostatny vplyv faktora t1 na hodnotu regresnej funkcie fLT</t>
  </si>
  <si>
    <t>H0: b1=0 &gt;&lt; H1:b1=0</t>
  </si>
  <si>
    <t>t stat(b1)=</t>
  </si>
  <si>
    <t>patri do W</t>
  </si>
  <si>
    <t>Na hladine vyznamnosti alfa=0,04 vieme určiť že faktor b1 je štatistycky významný.</t>
  </si>
  <si>
    <t>t kv 10 (0,98)=</t>
  </si>
  <si>
    <t>p(b1)=</t>
  </si>
  <si>
    <t>H0:b1=0 zamietame</t>
  </si>
  <si>
    <t>0 nepatri</t>
  </si>
  <si>
    <t>H1:b1=0 prijimame</t>
  </si>
  <si>
    <t>Samostatny vplyv faktora t2 na hodnotu regresnej funkcie fLT</t>
  </si>
  <si>
    <t>H0: b2=0 &gt;&lt; H1:b2=0</t>
  </si>
  <si>
    <t>Na hladine vyznamnosti alfa=0,04 vieme určiť že faktor b2 je štatistycky významný.</t>
  </si>
  <si>
    <t>Samostatny vplyv faktora t3 na hodnotu regresnej funkcie fLT</t>
  </si>
  <si>
    <t>H0: b3=0 &gt;&lt; H1:b3=0</t>
  </si>
  <si>
    <t>Na hladine vyznamnosti alfa=0,04 vieme určiť že faktor b3 je štatistycky významný.</t>
  </si>
  <si>
    <t>t stat(b2)=</t>
  </si>
  <si>
    <t>p(b2)=</t>
  </si>
  <si>
    <t>t stat(b3)=</t>
  </si>
  <si>
    <t>H0:b2=0 zamietame</t>
  </si>
  <si>
    <t>H1:b2=0 prijimame</t>
  </si>
  <si>
    <t>p(b3)=</t>
  </si>
  <si>
    <t>H0:b3=0 zamietame</t>
  </si>
  <si>
    <t>H1:b3=0 prijimame</t>
  </si>
  <si>
    <t>Spoločny vplyv faktorov t1 a t3 na hodnotu regresnej funkcie fLT</t>
  </si>
  <si>
    <t>H0: b13=0 &gt;&lt; H1:b13=0</t>
  </si>
  <si>
    <t>Na hladine vyznamnosti alfa=0,04 vieme určiť že interakcia b13 je štatistycky významná.</t>
  </si>
  <si>
    <t>Spoločny vplyv faktorov t1 a t2 na hodnotu regresnej funkcie fLT</t>
  </si>
  <si>
    <t>H0: b12=0 &gt;&lt; H1:b12=0</t>
  </si>
  <si>
    <t>Na hladine vyznamnosti alfa=0,04 vieme určiť že interakcia b12 je štatistycky významná.</t>
  </si>
  <si>
    <t>t stat(b12)=</t>
  </si>
  <si>
    <t>p(b12)=</t>
  </si>
  <si>
    <t>H0:b12=0 zamietame</t>
  </si>
  <si>
    <t>H1:b12=0 prijimame</t>
  </si>
  <si>
    <t>t stat(b13)=</t>
  </si>
  <si>
    <t>p(b13)=</t>
  </si>
  <si>
    <t>Spoločny vplyv faktorov t2 a t3 na hodnotu regresnej funkcie fLT</t>
  </si>
  <si>
    <t>t stat(b23)=</t>
  </si>
  <si>
    <t>p(b23)=</t>
  </si>
  <si>
    <t>H0:b23=0 zamietame</t>
  </si>
  <si>
    <t>H1:b23=0 prijimame</t>
  </si>
  <si>
    <t>H0: b23=0 &gt;&lt; H1:b23=0</t>
  </si>
  <si>
    <t>0 patri</t>
  </si>
  <si>
    <t>Na hladine vyznamnosti alfa=0,04 vieme určiť že interakcia b23 je štatistycky bezvýznamná.</t>
  </si>
  <si>
    <t>Kvalitu regresneho modelu urcujeme aj podla indexu determinacie. Pre hierarchicky model plati:</t>
  </si>
  <si>
    <t>R^2=</t>
  </si>
  <si>
    <t xml:space="preserve"> upravene R^2=</t>
  </si>
  <si>
    <t>povodny model (pred vylucenim)</t>
  </si>
  <si>
    <t>hierarchicky model (po vyluceni)</t>
  </si>
  <si>
    <t>predikovane R^2=</t>
  </si>
  <si>
    <t>To znamená, že 99,8 % variability nameraných hodnôt pri ohreve vody vieme vysvetliť regresným modelom (lineárnou regresnou funkciou).</t>
  </si>
  <si>
    <t>iba 0,2 % variability nameraných hodnôt zostalo modelom nevysvetlených.</t>
  </si>
  <si>
    <t>Tiež vyjadruje mieru zhody nameraných dát a predikovaných hodnôt (99,7 %), pričom zohľadňuje počet členov (prediktorov) v modeli.</t>
  </si>
  <si>
    <t>Určuje, ako presne vie model predikovať správnu hodnotu po odstránení daného údaja zo súboru dát (99,7 %)</t>
  </si>
  <si>
    <t>malý rozdiel medzi R^2 a R^2 predicted naznačuje, že v regresnom modeli nie je zbytočne veľa členov v pomere k množstvu dát.</t>
  </si>
  <si>
    <t>ef(A)=</t>
  </si>
  <si>
    <t>ef(B)=</t>
  </si>
  <si>
    <t>ef(C)=</t>
  </si>
  <si>
    <t>A_t1</t>
  </si>
  <si>
    <t>B_t2</t>
  </si>
  <si>
    <t>C_t3</t>
  </si>
  <si>
    <t>hlavny efekt faktora A_čas</t>
  </si>
  <si>
    <t>hlavny efekt faktora B_objem</t>
  </si>
  <si>
    <t>hlavny efekt faktora C_výkon</t>
  </si>
  <si>
    <t>efekt interakcie faktora A a C - pocitame efekt faktora C pri konstantnej urovni faktora A alebo naopak</t>
  </si>
  <si>
    <t>A</t>
  </si>
  <si>
    <t>C</t>
  </si>
  <si>
    <t>ef(AC)=</t>
  </si>
  <si>
    <t>efekt interakcie faktora A a B - pocitame efekt faktora B pri konstantnej urovni faktora A alebo naopak</t>
  </si>
  <si>
    <t>B</t>
  </si>
  <si>
    <t>ef(AB)=</t>
  </si>
  <si>
    <t>efekt interakcie faktora B a C - pocitame efekt faktora C pri konstantnej urovni faktora B alebo naopak</t>
  </si>
  <si>
    <t>ef(BC)=</t>
  </si>
  <si>
    <t>Vypocitane velkosti efektov faktorov a ich interakcii:</t>
  </si>
  <si>
    <t>Standardizovane efekty_vypocitane testovacie statistiky pri t teste o nulovosti regresneho koeficientu:</t>
  </si>
  <si>
    <t>AB</t>
  </si>
  <si>
    <t>AC</t>
  </si>
  <si>
    <t>BC</t>
  </si>
  <si>
    <t>ABC</t>
  </si>
  <si>
    <t>absolutne hodnoty testovacich statistik t:</t>
  </si>
  <si>
    <t>vzostupne usporiadane absolutne hodnoty testovacich statistik t:</t>
  </si>
  <si>
    <t>kriticka hodnota:</t>
  </si>
  <si>
    <r>
      <t xml:space="preserve">t </t>
    </r>
    <r>
      <rPr>
        <vertAlign val="subscript"/>
        <sz val="11"/>
        <color theme="1"/>
        <rFont val="Calibri"/>
        <family val="2"/>
        <charset val="238"/>
        <scheme val="minor"/>
      </rPr>
      <t>7</t>
    </r>
    <r>
      <rPr>
        <vertAlign val="superscript"/>
        <sz val="11"/>
        <color theme="1"/>
        <rFont val="Calibri"/>
        <family val="2"/>
        <charset val="238"/>
        <scheme val="minor"/>
      </rPr>
      <t>kv</t>
    </r>
    <r>
      <rPr>
        <sz val="11"/>
        <color theme="1"/>
        <rFont val="Calibri"/>
        <family val="2"/>
        <charset val="238"/>
        <scheme val="minor"/>
      </rPr>
      <t>(0,975)=</t>
    </r>
  </si>
  <si>
    <t>Predikcia odozvy pre zvolene hodnoty vstupov:</t>
  </si>
  <si>
    <t>Kontrolne meranie:</t>
  </si>
  <si>
    <t>predikcia_povodne jednotky</t>
  </si>
  <si>
    <t>predikcia_transformovane</t>
  </si>
  <si>
    <t>p.c.</t>
  </si>
  <si>
    <t>y kontrol meranie</t>
  </si>
  <si>
    <t>y predikovane</t>
  </si>
  <si>
    <t>y predik</t>
  </si>
  <si>
    <t>r=</t>
  </si>
  <si>
    <t>*x1*x2+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</si>
</sst>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Times New Roman"/>
      <family val="1"/>
      <charset val="238"/>
    </font>
    <font>
      <i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color indexed="81"/>
      <name val="Segoe UI"/>
      <family val="2"/>
      <charset val="238"/>
    </font>
    <font>
      <sz val="11"/>
      <color rgb="FFC00000"/>
      <name val="Calibri"/>
      <family val="2"/>
      <charset val="238"/>
      <scheme val="minor"/>
    </font>
    <font>
      <vertAlign val="subscript"/>
      <sz val="11"/>
      <color rgb="FFC00000"/>
      <name val="Calibri"/>
      <family val="2"/>
      <charset val="238"/>
      <scheme val="minor"/>
    </font>
    <font>
      <sz val="11"/>
      <color theme="4"/>
      <name val="Calibri"/>
      <family val="2"/>
      <charset val="238"/>
      <scheme val="minor"/>
    </font>
    <font>
      <sz val="12"/>
      <color theme="1"/>
      <name val="Times New Roman"/>
      <family val="1"/>
      <charset val="238"/>
    </font>
    <font>
      <sz val="11"/>
      <color theme="1"/>
      <name val="Calibri"/>
      <family val="2"/>
      <charset val="238"/>
    </font>
    <font>
      <vertAlign val="subscript"/>
      <sz val="11"/>
      <color theme="1"/>
      <name val="Calibri"/>
      <family val="2"/>
      <charset val="238"/>
      <scheme val="minor"/>
    </font>
    <font>
      <vertAlign val="superscript"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0" fillId="0" borderId="0" xfId="0" applyAlignment="1">
      <alignment horizontal="right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4" xfId="0" applyBorder="1" applyAlignment="1">
      <alignment horizontal="center"/>
    </xf>
    <xf numFmtId="0" fontId="4" fillId="0" borderId="5" xfId="0" applyFont="1" applyBorder="1" applyAlignment="1">
      <alignment horizontal="centerContinuous"/>
    </xf>
    <xf numFmtId="0" fontId="0" fillId="0" borderId="6" xfId="0" applyBorder="1"/>
    <xf numFmtId="0" fontId="4" fillId="0" borderId="5" xfId="0" applyFont="1" applyBorder="1" applyAlignment="1">
      <alignment horizontal="center"/>
    </xf>
    <xf numFmtId="0" fontId="5" fillId="0" borderId="0" xfId="0" applyFont="1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4" xfId="0" applyBorder="1"/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7" fillId="0" borderId="0" xfId="0" applyFont="1" applyAlignment="1">
      <alignment horizontal="right"/>
    </xf>
    <xf numFmtId="0" fontId="0" fillId="0" borderId="15" xfId="0" applyBorder="1" applyAlignment="1">
      <alignment horizontal="center"/>
    </xf>
    <xf numFmtId="0" fontId="0" fillId="0" borderId="15" xfId="0" applyBorder="1"/>
    <xf numFmtId="0" fontId="0" fillId="0" borderId="7" xfId="0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2" borderId="4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2" borderId="8" xfId="0" applyFill="1" applyBorder="1"/>
    <xf numFmtId="0" fontId="0" fillId="2" borderId="4" xfId="0" applyFill="1" applyBorder="1"/>
    <xf numFmtId="0" fontId="0" fillId="2" borderId="10" xfId="0" applyFill="1" applyBorder="1"/>
    <xf numFmtId="0" fontId="0" fillId="2" borderId="0" xfId="0" applyFill="1"/>
    <xf numFmtId="0" fontId="1" fillId="0" borderId="6" xfId="0" applyFont="1" applyBorder="1"/>
    <xf numFmtId="0" fontId="2" fillId="0" borderId="10" xfId="0" applyFont="1" applyBorder="1" applyAlignment="1">
      <alignment horizontal="center"/>
    </xf>
    <xf numFmtId="0" fontId="0" fillId="0" borderId="8" xfId="0" applyBorder="1" applyAlignment="1">
      <alignment horizontal="left"/>
    </xf>
    <xf numFmtId="0" fontId="9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0" fillId="0" borderId="5" xfId="0" applyBorder="1" applyAlignment="1">
      <alignment horizontal="center"/>
    </xf>
    <xf numFmtId="0" fontId="0" fillId="0" borderId="16" xfId="0" applyBorder="1"/>
    <xf numFmtId="0" fontId="2" fillId="0" borderId="0" xfId="0" applyFont="1"/>
    <xf numFmtId="0" fontId="0" fillId="0" borderId="0" xfId="0" applyFont="1" applyBorder="1" applyAlignment="1">
      <alignment horizontal="center"/>
    </xf>
    <xf numFmtId="0" fontId="4" fillId="0" borderId="0" xfId="0" applyFont="1" applyAlignment="1">
      <alignment horizontal="centerContinuous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0" xfId="0" applyAlignment="1">
      <alignment horizontal="left"/>
    </xf>
  </cellXfs>
  <cellStyles count="1">
    <cellStyle name="Normálna" xfId="0" builtinId="0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3.xml"/><Relationship Id="rId26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6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2.xml"/><Relationship Id="rId25" Type="http://schemas.openxmlformats.org/officeDocument/2006/relationships/customXml" Target="../customXml/item10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20" Type="http://schemas.openxmlformats.org/officeDocument/2006/relationships/customXml" Target="../customXml/item5.xml"/><Relationship Id="rId29" Type="http://schemas.openxmlformats.org/officeDocument/2006/relationships/customXml" Target="../customXml/item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24" Type="http://schemas.openxmlformats.org/officeDocument/2006/relationships/customXml" Target="../customXml/item9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23" Type="http://schemas.openxmlformats.org/officeDocument/2006/relationships/customXml" Target="../customXml/item8.xml"/><Relationship Id="rId28" Type="http://schemas.openxmlformats.org/officeDocument/2006/relationships/customXml" Target="../customXml/item13.xml"/><Relationship Id="rId10" Type="http://schemas.openxmlformats.org/officeDocument/2006/relationships/theme" Target="theme/theme1.xml"/><Relationship Id="rId19" Type="http://schemas.openxmlformats.org/officeDocument/2006/relationships/customXml" Target="../customXml/item4.xml"/><Relationship Id="rId31" Type="http://schemas.openxmlformats.org/officeDocument/2006/relationships/customXml" Target="../customXml/item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owerPivotData" Target="model/item.data"/><Relationship Id="rId22" Type="http://schemas.openxmlformats.org/officeDocument/2006/relationships/customXml" Target="../customXml/item7.xml"/><Relationship Id="rId27" Type="http://schemas.openxmlformats.org/officeDocument/2006/relationships/customXml" Target="../customXml/item12.xml"/><Relationship Id="rId30" Type="http://schemas.openxmlformats.org/officeDocument/2006/relationships/customXml" Target="../customXml/item1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x1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'hierarchicky model'!$T$7:$T$8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model'!$U$7:$U$8</c:f>
              <c:numCache>
                <c:formatCode>General</c:formatCode>
                <c:ptCount val="2"/>
                <c:pt idx="0">
                  <c:v>23.674999999999997</c:v>
                </c:pt>
                <c:pt idx="1">
                  <c:v>47.325000000000003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2-4D44-8D72-9722CFC20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019816"/>
        <c:axId val="820021224"/>
      </c:scatterChart>
      <c:valAx>
        <c:axId val="820019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0021224"/>
        <c:crosses val="autoZero"/>
        <c:crossBetween val="midCat"/>
      </c:valAx>
      <c:valAx>
        <c:axId val="82002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0019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Hlavny</a:t>
            </a:r>
            <a:r>
              <a:rPr lang="sk-SK" baseline="0"/>
              <a:t> efekt faktora objemu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'Hlavné efekty'!$G$9:$G$10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'Hlavné efekty'!$H$9:$H$10</c:f>
              <c:numCache>
                <c:formatCode>General</c:formatCode>
                <c:ptCount val="2"/>
                <c:pt idx="0">
                  <c:v>42.449999999999989</c:v>
                </c:pt>
                <c:pt idx="1">
                  <c:v>28.549999999999997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F7-45C0-94CF-714356D9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22368"/>
        <c:axId val="179522944"/>
      </c:scatterChart>
      <c:valAx>
        <c:axId val="179522368"/>
        <c:scaling>
          <c:orientation val="minMax"/>
          <c:max val="1"/>
          <c:min val="-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B_objem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22944"/>
        <c:crosses val="autoZero"/>
        <c:crossBetween val="midCat"/>
        <c:majorUnit val="1"/>
        <c:minorUnit val="1"/>
      </c:valAx>
      <c:valAx>
        <c:axId val="17952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2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Hlavny</a:t>
            </a:r>
            <a:r>
              <a:rPr lang="sk-SK" baseline="0"/>
              <a:t> efekt faktora čas</a:t>
            </a:r>
            <a:endParaRPr lang="sk-SK"/>
          </a:p>
        </c:rich>
      </c:tx>
      <c:layout>
        <c:manualLayout>
          <c:xMode val="edge"/>
          <c:yMode val="edge"/>
          <c:x val="0.1559661026414251"/>
          <c:y val="4.66527279907184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'Hlavné efekty'!$G$3:$G$4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'Hlavné efekty'!$H$3:$H$4</c:f>
              <c:numCache>
                <c:formatCode>General</c:formatCode>
                <c:ptCount val="2"/>
                <c:pt idx="0">
                  <c:v>22.424999999999997</c:v>
                </c:pt>
                <c:pt idx="1">
                  <c:v>48.575000000000003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F1-4E27-8A09-F04629D1A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22368"/>
        <c:axId val="179522944"/>
      </c:scatterChart>
      <c:valAx>
        <c:axId val="179522368"/>
        <c:scaling>
          <c:orientation val="minMax"/>
          <c:max val="1"/>
          <c:min val="-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A_čas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22944"/>
        <c:crosses val="autoZero"/>
        <c:crossBetween val="midCat"/>
        <c:majorUnit val="1"/>
        <c:minorUnit val="1"/>
      </c:valAx>
      <c:valAx>
        <c:axId val="17952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2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Hlavny</a:t>
            </a:r>
            <a:r>
              <a:rPr lang="sk-SK" baseline="0"/>
              <a:t> efekt faktora výkon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'Hlavné efekty'!$G$9:$G$10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'Hlavné efekty'!$H$15:$H$16</c:f>
              <c:numCache>
                <c:formatCode>General</c:formatCode>
                <c:ptCount val="2"/>
                <c:pt idx="0">
                  <c:v>30.474999999999998</c:v>
                </c:pt>
                <c:pt idx="1">
                  <c:v>40.524999999999999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9F-46A1-BDA5-D70F3FD12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522368"/>
        <c:axId val="179522944"/>
      </c:scatterChart>
      <c:valAx>
        <c:axId val="179522368"/>
        <c:scaling>
          <c:orientation val="minMax"/>
          <c:max val="1"/>
          <c:min val="-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B_výkon 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22944"/>
        <c:crosses val="autoZero"/>
        <c:crossBetween val="midCat"/>
        <c:majorUnit val="1"/>
        <c:minorUnit val="1"/>
      </c:valAx>
      <c:valAx>
        <c:axId val="17952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79522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 A a C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'Efekty interakcii'!$C$24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'Efekty interakcii'!$D$23:$E$23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interakcii'!$D$24:$E$24</c:f>
              <c:numCache>
                <c:formatCode>General</c:formatCode>
                <c:ptCount val="2"/>
                <c:pt idx="0">
                  <c:v>21.799999999999997</c:v>
                </c:pt>
                <c:pt idx="1">
                  <c:v>39.15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F1-4489-B2A9-4EC3D2AC5CD1}"/>
            </c:ext>
          </c:extLst>
        </c:ser>
        <c:ser>
          <c:idx val="1"/>
          <c:order val="1"/>
          <c:tx>
            <c:strRef>
              <c:f>'Efekty interakcii'!$C$25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'Efekty interakcii'!$D$23:$E$23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interakcii'!$D$25:$E$25</c:f>
              <c:numCache>
                <c:formatCode>General</c:formatCode>
                <c:ptCount val="2"/>
                <c:pt idx="0">
                  <c:v>23.049999999999997</c:v>
                </c:pt>
                <c:pt idx="1">
                  <c:v>57.999999999999993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8F1-4489-B2A9-4EC3D2AC5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72384"/>
        <c:axId val="955874048"/>
      </c:scatterChart>
      <c:valAx>
        <c:axId val="955872384"/>
        <c:scaling>
          <c:orientation val="minMax"/>
          <c:max val="1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A_</a:t>
                </a:r>
                <a:r>
                  <a:rPr lang="sk-SK"/>
                  <a:t>čas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4048"/>
        <c:crosses val="autoZero"/>
        <c:crossBetween val="midCat"/>
        <c:majorUnit val="0.5"/>
      </c:valAx>
      <c:valAx>
        <c:axId val="9558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priemerna</a:t>
                </a:r>
                <a:r>
                  <a:rPr lang="sk-SK" baseline="0"/>
                  <a:t> rychlost ohrevu vody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1.6025641025641024E-2"/>
              <c:y val="0.159855072463768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 A a C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'Efekty interakcii'!$D$23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'Efekty interakcii'!$C$24:$C$25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interakcii'!$D$24:$D$25</c:f>
              <c:numCache>
                <c:formatCode>General</c:formatCode>
                <c:ptCount val="2"/>
                <c:pt idx="0">
                  <c:v>21.799999999999997</c:v>
                </c:pt>
                <c:pt idx="1">
                  <c:v>23.049999999999997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08-49E8-A997-DE22B016F322}"/>
            </c:ext>
          </c:extLst>
        </c:ser>
        <c:ser>
          <c:idx val="1"/>
          <c:order val="1"/>
          <c:tx>
            <c:strRef>
              <c:f>'Efekty interakcii'!$E$23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'Efekty interakcii'!$C$24:$C$25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interakcii'!$E$24:$E$25</c:f>
              <c:numCache>
                <c:formatCode>General</c:formatCode>
                <c:ptCount val="2"/>
                <c:pt idx="0">
                  <c:v>39.15</c:v>
                </c:pt>
                <c:pt idx="1">
                  <c:v>57.999999999999993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C08-49E8-A997-DE22B016F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72384"/>
        <c:axId val="955874048"/>
      </c:scatterChart>
      <c:valAx>
        <c:axId val="955872384"/>
        <c:scaling>
          <c:orientation val="minMax"/>
          <c:max val="1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C</a:t>
                </a:r>
                <a:r>
                  <a:rPr lang="en-US"/>
                  <a:t>_</a:t>
                </a:r>
                <a:r>
                  <a:rPr lang="sk-SK"/>
                  <a:t>výkon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4048"/>
        <c:crosses val="autoZero"/>
        <c:crossBetween val="midCat"/>
        <c:majorUnit val="0.5"/>
      </c:valAx>
      <c:valAx>
        <c:axId val="9558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priemerna rychlost ohrevu vody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174347826086956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 A a B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'Efekty interakcii'!$C$38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'Efekty interakcii'!$D$37:$E$37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interakcii'!$D$38:$E$38</c:f>
              <c:numCache>
                <c:formatCode>General</c:formatCode>
                <c:ptCount val="2"/>
                <c:pt idx="0">
                  <c:v>24.85</c:v>
                </c:pt>
                <c:pt idx="1">
                  <c:v>60.05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BB-419D-B136-916934526086}"/>
            </c:ext>
          </c:extLst>
        </c:ser>
        <c:ser>
          <c:idx val="1"/>
          <c:order val="1"/>
          <c:tx>
            <c:strRef>
              <c:f>'Efekty interakcii'!$C$39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'Efekty interakcii'!$D$37:$E$37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interakcii'!$D$39:$E$39</c:f>
              <c:numCache>
                <c:formatCode>General</c:formatCode>
                <c:ptCount val="2"/>
                <c:pt idx="0">
                  <c:v>20</c:v>
                </c:pt>
                <c:pt idx="1">
                  <c:v>37.1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4BB-419D-B136-916934526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72384"/>
        <c:axId val="955874048"/>
      </c:scatterChart>
      <c:valAx>
        <c:axId val="955872384"/>
        <c:scaling>
          <c:orientation val="minMax"/>
          <c:max val="1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</a:t>
                </a:r>
                <a:r>
                  <a:rPr lang="sk-SK"/>
                  <a:t>_</a:t>
                </a:r>
                <a:r>
                  <a:rPr lang="sk-SK" baseline="0"/>
                  <a:t>čas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4048"/>
        <c:crosses val="autoZero"/>
        <c:crossBetween val="midCat"/>
        <c:majorUnit val="0.5"/>
      </c:valAx>
      <c:valAx>
        <c:axId val="9558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priemerna rychlost ohrevu vody</a:t>
                </a:r>
              </a:p>
            </c:rich>
          </c:tx>
          <c:layout>
            <c:manualLayout>
              <c:xMode val="edge"/>
              <c:yMode val="edge"/>
              <c:x val="1.282051282051282E-2"/>
              <c:y val="0.159393063583815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 A a B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'Efekty interakcii'!$D$37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'Efekty interakcii'!$C$38:$C$39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interakcii'!$D$38:$D$39</c:f>
              <c:numCache>
                <c:formatCode>General</c:formatCode>
                <c:ptCount val="2"/>
                <c:pt idx="0">
                  <c:v>24.85</c:v>
                </c:pt>
                <c:pt idx="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4-477D-897E-15B36831D296}"/>
            </c:ext>
          </c:extLst>
        </c:ser>
        <c:ser>
          <c:idx val="1"/>
          <c:order val="1"/>
          <c:tx>
            <c:strRef>
              <c:f>'Efekty interakcii'!$E$37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'Efekty interakcii'!$C$38:$C$39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interakcii'!$E$38:$E$39</c:f>
              <c:numCache>
                <c:formatCode>General</c:formatCode>
                <c:ptCount val="2"/>
                <c:pt idx="0">
                  <c:v>60.05</c:v>
                </c:pt>
                <c:pt idx="1">
                  <c:v>37.1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34-477D-897E-15B36831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72384"/>
        <c:axId val="955874048"/>
      </c:scatterChart>
      <c:valAx>
        <c:axId val="955872384"/>
        <c:scaling>
          <c:orientation val="minMax"/>
          <c:max val="1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</a:t>
                </a:r>
                <a:r>
                  <a:rPr lang="en-US"/>
                  <a:t>_</a:t>
                </a:r>
                <a:r>
                  <a:rPr lang="sk-SK"/>
                  <a:t>objem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4048"/>
        <c:crosses val="autoZero"/>
        <c:crossBetween val="midCat"/>
        <c:majorUnit val="0.5"/>
      </c:valAx>
      <c:valAx>
        <c:axId val="9558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priemerna rychlost ohrevu vody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93111753371868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 B a C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'Efekty interakcii'!$C$55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'Efekty interakcii'!$D$54:$E$54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interakcii'!$D$55:$E$55</c:f>
              <c:numCache>
                <c:formatCode>General</c:formatCode>
                <c:ptCount val="2"/>
                <c:pt idx="0">
                  <c:v>36.599999999999994</c:v>
                </c:pt>
                <c:pt idx="1">
                  <c:v>24.349999999999998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B1-4BF8-BDEE-222A148F1111}"/>
            </c:ext>
          </c:extLst>
        </c:ser>
        <c:ser>
          <c:idx val="1"/>
          <c:order val="1"/>
          <c:tx>
            <c:strRef>
              <c:f>'Efekty interakcii'!$C$56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'Efekty interakcii'!$D$54:$E$54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interakcii'!$D$56:$E$56</c:f>
              <c:numCache>
                <c:formatCode>General</c:formatCode>
                <c:ptCount val="2"/>
                <c:pt idx="0">
                  <c:v>48.3</c:v>
                </c:pt>
                <c:pt idx="1">
                  <c:v>32.75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8B1-4BF8-BDEE-222A148F1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72384"/>
        <c:axId val="955874048"/>
      </c:scatterChart>
      <c:valAx>
        <c:axId val="955872384"/>
        <c:scaling>
          <c:orientation val="minMax"/>
          <c:max val="1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B</a:t>
                </a:r>
                <a:r>
                  <a:rPr lang="en-US"/>
                  <a:t>_</a:t>
                </a:r>
                <a:r>
                  <a:rPr lang="sk-SK"/>
                  <a:t>objem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4048"/>
        <c:crosses val="autoZero"/>
        <c:crossBetween val="midCat"/>
        <c:majorUnit val="0.5"/>
      </c:valAx>
      <c:valAx>
        <c:axId val="9558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priemerna rychlost ohrevu vody</a:t>
                </a:r>
              </a:p>
            </c:rich>
          </c:tx>
          <c:layout>
            <c:manualLayout>
              <c:xMode val="edge"/>
              <c:yMode val="edge"/>
              <c:x val="2.564102564102564E-2"/>
              <c:y val="0.178660886319845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</a:t>
            </a:r>
            <a:r>
              <a:rPr lang="sk-SK" baseline="0"/>
              <a:t> faktorov B a C</a:t>
            </a:r>
            <a:endParaRPr lang="sk-SK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'Efekty interakcii'!$D$54</c:f>
              <c:strCache>
                <c:ptCount val="1"/>
                <c:pt idx="0">
                  <c:v>-1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'Efekty interakcii'!$C$55:$C$56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interakcii'!$D$55:$D$56</c:f>
              <c:numCache>
                <c:formatCode>General</c:formatCode>
                <c:ptCount val="2"/>
                <c:pt idx="0">
                  <c:v>36.599999999999994</c:v>
                </c:pt>
                <c:pt idx="1">
                  <c:v>48.3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7CC-4A31-80B9-D3BED1511636}"/>
            </c:ext>
          </c:extLst>
        </c:ser>
        <c:ser>
          <c:idx val="1"/>
          <c:order val="1"/>
          <c:tx>
            <c:strRef>
              <c:f>'Efekty interakcii'!$E$54</c:f>
              <c:strCache>
                <c:ptCount val="1"/>
                <c:pt idx="0">
                  <c:v>1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'Efekty interakcii'!$C$55:$C$56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'Efekty interakcii'!$E$55:$E$56</c:f>
              <c:numCache>
                <c:formatCode>General</c:formatCode>
                <c:ptCount val="2"/>
                <c:pt idx="0">
                  <c:v>24.349999999999998</c:v>
                </c:pt>
                <c:pt idx="1">
                  <c:v>32.75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CC-4A31-80B9-D3BED1511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872384"/>
        <c:axId val="955874048"/>
      </c:scatterChart>
      <c:valAx>
        <c:axId val="955872384"/>
        <c:scaling>
          <c:orientation val="minMax"/>
          <c:max val="1.5"/>
          <c:min val="-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C</a:t>
                </a:r>
                <a:r>
                  <a:rPr lang="en-US"/>
                  <a:t>_</a:t>
                </a:r>
                <a:r>
                  <a:rPr lang="sk-SK"/>
                  <a:t>výkon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4048"/>
        <c:crosses val="autoZero"/>
        <c:crossBetween val="midCat"/>
        <c:majorUnit val="0.5"/>
      </c:valAx>
      <c:valAx>
        <c:axId val="95587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priemerna rychlost ohrevu vody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173843930635838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955872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Pareto graf standardizovanych efektov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'Paretov graf'!$B$31:$B$37</c:f>
              <c:strCache>
                <c:ptCount val="7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AB</c:v>
                </c:pt>
                <c:pt idx="4">
                  <c:v>AC</c:v>
                </c:pt>
                <c:pt idx="5">
                  <c:v>BC</c:v>
                </c:pt>
                <c:pt idx="6">
                  <c:v>ABC</c:v>
                </c:pt>
              </c:strCache>
            </c:strRef>
          </c:cat>
          <c:val>
            <c:numRef>
              <c:f>'Paretov graf'!$C$31:$C$37</c:f>
              <c:numCache>
                <c:formatCode>General</c:formatCode>
                <c:ptCount val="7"/>
                <c:pt idx="0">
                  <c:v>51.46</c:v>
                </c:pt>
                <c:pt idx="1">
                  <c:v>35.68</c:v>
                </c:pt>
                <c:pt idx="2">
                  <c:v>27.31</c:v>
                </c:pt>
                <c:pt idx="3">
                  <c:v>19.690000000000001</c:v>
                </c:pt>
                <c:pt idx="4">
                  <c:v>19.149999999999999</c:v>
                </c:pt>
                <c:pt idx="5">
                  <c:v>3.59</c:v>
                </c:pt>
                <c:pt idx="6">
                  <c:v>0.65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7-466A-8AE6-045CED50E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6"/>
        <c:axId val="580317040"/>
        <c:axId val="580301232"/>
      </c:barChart>
      <c:catAx>
        <c:axId val="580317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0301232"/>
        <c:crosses val="autoZero"/>
        <c:auto val="1"/>
        <c:lblAlgn val="ctr"/>
        <c:lblOffset val="100"/>
        <c:noMultiLvlLbl val="0"/>
      </c:catAx>
      <c:valAx>
        <c:axId val="58030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Standardizovane efekty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80317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x2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'hierarchicky model'!$T$26:$T$27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model'!$U$26:$U$27</c:f>
              <c:numCache>
                <c:formatCode>General</c:formatCode>
                <c:ptCount val="2"/>
                <c:pt idx="0">
                  <c:v>43.7</c:v>
                </c:pt>
                <c:pt idx="1">
                  <c:v>27.3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C5-4CAA-B298-3BFB181BE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019816"/>
        <c:axId val="820021224"/>
      </c:scatterChart>
      <c:valAx>
        <c:axId val="820019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0021224"/>
        <c:crosses val="autoZero"/>
        <c:crossBetween val="midCat"/>
      </c:valAx>
      <c:valAx>
        <c:axId val="82002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0019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Validácia</a:t>
            </a:r>
            <a:r>
              <a:rPr lang="sk-SK" baseline="0"/>
              <a:t> regresného modelu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20386636045494314"/>
                  <c:y val="-0.2034736803732866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</c:trendlineLbl>
          </c:trendline>
          <c:xVal>
            <c:numRef>
              <c:f>'validacia modelu'!$K$8:$K$22</c:f>
              <c:numCache>
                <c:formatCode>General</c:formatCode>
                <c:ptCount val="15"/>
                <c:pt idx="0">
                  <c:v>24.65</c:v>
                </c:pt>
                <c:pt idx="1">
                  <c:v>23.674999999999997</c:v>
                </c:pt>
                <c:pt idx="2">
                  <c:v>21.049999999999997</c:v>
                </c:pt>
                <c:pt idx="3">
                  <c:v>36.6</c:v>
                </c:pt>
                <c:pt idx="4">
                  <c:v>35.5</c:v>
                </c:pt>
                <c:pt idx="5">
                  <c:v>32.75</c:v>
                </c:pt>
                <c:pt idx="6">
                  <c:v>48.550000000000004</c:v>
                </c:pt>
                <c:pt idx="7">
                  <c:v>47.325000000000003</c:v>
                </c:pt>
                <c:pt idx="8">
                  <c:v>44.449999999999996</c:v>
                </c:pt>
                <c:pt idx="9">
                  <c:v>30.05</c:v>
                </c:pt>
                <c:pt idx="10">
                  <c:v>18.950000000000003</c:v>
                </c:pt>
                <c:pt idx="11">
                  <c:v>50.800000000000004</c:v>
                </c:pt>
                <c:pt idx="12">
                  <c:v>21.850000000000009</c:v>
                </c:pt>
                <c:pt idx="13">
                  <c:v>71.55</c:v>
                </c:pt>
                <c:pt idx="14">
                  <c:v>24.750000000000007</c:v>
                </c:pt>
              </c:numCache>
            </c:numRef>
          </c:xVal>
          <c:yVal>
            <c:numRef>
              <c:f>'validacia modelu'!$E$8:$E$22</c:f>
              <c:numCache>
                <c:formatCode>General</c:formatCode>
                <c:ptCount val="15"/>
                <c:pt idx="0">
                  <c:v>25</c:v>
                </c:pt>
                <c:pt idx="1">
                  <c:v>23.5</c:v>
                </c:pt>
                <c:pt idx="2">
                  <c:v>21.9</c:v>
                </c:pt>
                <c:pt idx="3">
                  <c:v>36.9</c:v>
                </c:pt>
                <c:pt idx="4">
                  <c:v>35.700000000000003</c:v>
                </c:pt>
                <c:pt idx="5">
                  <c:v>34.5</c:v>
                </c:pt>
                <c:pt idx="6">
                  <c:v>47.9</c:v>
                </c:pt>
                <c:pt idx="7">
                  <c:v>50.8</c:v>
                </c:pt>
                <c:pt idx="8">
                  <c:v>44.6</c:v>
                </c:pt>
                <c:pt idx="9">
                  <c:v>24.7</c:v>
                </c:pt>
                <c:pt idx="10">
                  <c:v>19.8</c:v>
                </c:pt>
                <c:pt idx="11">
                  <c:v>41</c:v>
                </c:pt>
                <c:pt idx="12">
                  <c:v>30.8</c:v>
                </c:pt>
                <c:pt idx="13">
                  <c:v>71.2</c:v>
                </c:pt>
                <c:pt idx="14">
                  <c:v>31.2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A5-419C-9224-85CD2AE6E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1134528"/>
        <c:axId val="531138272"/>
      </c:scatterChart>
      <c:valAx>
        <c:axId val="531134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predikovane hodnoty [°C]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31138272"/>
        <c:crosses val="autoZero"/>
        <c:crossBetween val="midCat"/>
      </c:valAx>
      <c:valAx>
        <c:axId val="53113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namerane hodnoty [</a:t>
                </a:r>
                <a:r>
                  <a:rPr lang="sk-SK" sz="8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[°C</a:t>
                </a:r>
                <a:r>
                  <a:rPr lang="en-US"/>
                  <a:t>]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531134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x3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'hierarchicky model'!$T$43:$T$44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model'!$U$43:$U$44</c:f>
              <c:numCache>
                <c:formatCode>General</c:formatCode>
                <c:ptCount val="2"/>
                <c:pt idx="0">
                  <c:v>29.225000000000001</c:v>
                </c:pt>
                <c:pt idx="1">
                  <c:v>41.774999999999999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F3-4C04-B83A-087412B1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0019816"/>
        <c:axId val="820021224"/>
      </c:scatterChart>
      <c:valAx>
        <c:axId val="820019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0021224"/>
        <c:crosses val="autoZero"/>
        <c:crossBetween val="midCat"/>
      </c:valAx>
      <c:valAx>
        <c:axId val="82002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820019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000" b="0" i="0" baseline="0">
                <a:effectLst/>
              </a:rPr>
              <a:t>Interaction effect</a:t>
            </a:r>
            <a:endParaRPr lang="sk-SK" sz="10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'hierarchicky model'!$M$17</c:f>
              <c:strCache>
                <c:ptCount val="1"/>
                <c:pt idx="0">
                  <c:v>100</c:v>
                </c:pt>
              </c:strCache>
            </c:strRef>
          </c:tx>
          <c:xVal>
            <c:numRef>
              <c:f>'hierarchicky model'!$N$17:$N$18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model'!$O$17:$P$17</c:f>
              <c:numCache>
                <c:formatCode>General</c:formatCode>
                <c:ptCount val="2"/>
                <c:pt idx="0">
                  <c:v>27.349999999999998</c:v>
                </c:pt>
                <c:pt idx="1">
                  <c:v>60.05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406-4844-AD1C-0A7762F72185}"/>
            </c:ext>
          </c:extLst>
        </c:ser>
        <c:ser>
          <c:idx val="1"/>
          <c:order val="1"/>
          <c:tx>
            <c:strRef>
              <c:f>'hierarchicky model'!$M$18</c:f>
              <c:strCache>
                <c:ptCount val="1"/>
                <c:pt idx="0">
                  <c:v>300</c:v>
                </c:pt>
              </c:strCache>
            </c:strRef>
          </c:tx>
          <c:xVal>
            <c:numRef>
              <c:f>'hierarchicky model'!$N$17:$N$18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model'!$O$18:$P$18</c:f>
              <c:numCache>
                <c:formatCode>General</c:formatCode>
                <c:ptCount val="2"/>
                <c:pt idx="0">
                  <c:v>20</c:v>
                </c:pt>
                <c:pt idx="1">
                  <c:v>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406-4844-AD1C-0A7762F72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99808"/>
        <c:axId val="69600384"/>
      </c:scatterChart>
      <c:valAx>
        <c:axId val="69599808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 sz="800"/>
                  <a:t>obiem</a:t>
                </a:r>
                <a:r>
                  <a:rPr lang="sk-SK" sz="800" baseline="0"/>
                  <a:t> (</a:t>
                </a:r>
                <a:r>
                  <a:rPr lang="sk-SK" sz="800"/>
                  <a:t>X2)</a:t>
                </a:r>
                <a:endParaRPr lang="en-US" sz="8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600384"/>
        <c:crosses val="autoZero"/>
        <c:crossBetween val="midCat"/>
      </c:valAx>
      <c:valAx>
        <c:axId val="69600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599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k-SK" sz="1000" b="0" i="0" baseline="0">
                <a:effectLst/>
              </a:rPr>
              <a:t>Interaction effect</a:t>
            </a:r>
            <a:endParaRPr lang="sk-SK" sz="10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'hierarchicky model'!$O$15</c:f>
              <c:strCache>
                <c:ptCount val="1"/>
                <c:pt idx="0">
                  <c:v>10</c:v>
                </c:pt>
              </c:strCache>
            </c:strRef>
          </c:tx>
          <c:xVal>
            <c:numRef>
              <c:f>'hierarchicky model'!$O$16:$P$16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model'!$O$17:$O$18</c:f>
              <c:numCache>
                <c:formatCode>General</c:formatCode>
                <c:ptCount val="2"/>
                <c:pt idx="0">
                  <c:v>27.349999999999998</c:v>
                </c:pt>
                <c:pt idx="1">
                  <c:v>20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B-4D76-BADB-3AEC7DF3666D}"/>
            </c:ext>
          </c:extLst>
        </c:ser>
        <c:ser>
          <c:idx val="1"/>
          <c:order val="1"/>
          <c:tx>
            <c:strRef>
              <c:f>'hierarchicky model'!$P$15</c:f>
              <c:strCache>
                <c:ptCount val="1"/>
                <c:pt idx="0">
                  <c:v>60</c:v>
                </c:pt>
              </c:strCache>
            </c:strRef>
          </c:tx>
          <c:xVal>
            <c:numRef>
              <c:f>'hierarchicky model'!$O$16:$P$16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model'!$P$17:$P$18</c:f>
              <c:numCache>
                <c:formatCode>General</c:formatCode>
                <c:ptCount val="2"/>
                <c:pt idx="0">
                  <c:v>60.05</c:v>
                </c:pt>
                <c:pt idx="1">
                  <c:v>34.6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7B-4D76-BADB-3AEC7DF36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02688"/>
        <c:axId val="69603264"/>
      </c:scatterChart>
      <c:valAx>
        <c:axId val="69602688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 sz="800"/>
                  <a:t>čas (X1)</a:t>
                </a:r>
                <a:endParaRPr lang="sk-SK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603264"/>
        <c:crosses val="autoZero"/>
        <c:crossBetween val="midCat"/>
      </c:valAx>
      <c:valAx>
        <c:axId val="69603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6026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000" b="0" i="0" baseline="0">
                <a:effectLst/>
              </a:rPr>
              <a:t>Interaction effect</a:t>
            </a:r>
            <a:endParaRPr lang="sk-SK" sz="10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'hierarchicky model'!$M$39</c:f>
              <c:strCache>
                <c:ptCount val="1"/>
                <c:pt idx="0">
                  <c:v>400</c:v>
                </c:pt>
              </c:strCache>
            </c:strRef>
          </c:tx>
          <c:xVal>
            <c:numRef>
              <c:f>'hierarchicky model'!$N$39:$N$40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model'!$O$39:$P$39</c:f>
              <c:numCache>
                <c:formatCode>General</c:formatCode>
                <c:ptCount val="2"/>
                <c:pt idx="0">
                  <c:v>21.799999999999997</c:v>
                </c:pt>
                <c:pt idx="1">
                  <c:v>36.65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55-49DC-BCFC-E81D1CFBC934}"/>
            </c:ext>
          </c:extLst>
        </c:ser>
        <c:ser>
          <c:idx val="1"/>
          <c:order val="1"/>
          <c:tx>
            <c:strRef>
              <c:f>'hierarchicky model'!$M$40</c:f>
              <c:strCache>
                <c:ptCount val="1"/>
                <c:pt idx="0">
                  <c:v>800</c:v>
                </c:pt>
              </c:strCache>
            </c:strRef>
          </c:tx>
          <c:xVal>
            <c:numRef>
              <c:f>'hierarchicky model'!$N$39:$N$40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model'!$O$40:$P$40</c:f>
              <c:numCache>
                <c:formatCode>General</c:formatCode>
                <c:ptCount val="2"/>
                <c:pt idx="0">
                  <c:v>25.549999999999997</c:v>
                </c:pt>
                <c:pt idx="1">
                  <c:v>57.999999999999993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55-49DC-BCFC-E81D1CFBC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99808"/>
        <c:axId val="69600384"/>
      </c:scatterChart>
      <c:valAx>
        <c:axId val="69599808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 sz="800"/>
                  <a:t>ohrev</a:t>
                </a:r>
                <a:r>
                  <a:rPr lang="sk-SK" sz="800" baseline="0"/>
                  <a:t> (</a:t>
                </a:r>
                <a:r>
                  <a:rPr lang="sk-SK" sz="800"/>
                  <a:t>X3)</a:t>
                </a:r>
                <a:endParaRPr lang="en-US" sz="8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600384"/>
        <c:crosses val="autoZero"/>
        <c:crossBetween val="midCat"/>
      </c:valAx>
      <c:valAx>
        <c:axId val="69600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599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k-SK" sz="1000" b="0" i="0" baseline="0">
                <a:effectLst/>
              </a:rPr>
              <a:t>Interaction effect</a:t>
            </a:r>
            <a:endParaRPr lang="sk-SK" sz="10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'hierarchicky model'!$O$37</c:f>
              <c:strCache>
                <c:ptCount val="1"/>
                <c:pt idx="0">
                  <c:v>10</c:v>
                </c:pt>
              </c:strCache>
            </c:strRef>
          </c:tx>
          <c:xVal>
            <c:numRef>
              <c:f>'hierarchicky model'!$O$38:$P$38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model'!$O$39:$O$40</c:f>
              <c:numCache>
                <c:formatCode>General</c:formatCode>
                <c:ptCount val="2"/>
                <c:pt idx="0">
                  <c:v>21.799999999999997</c:v>
                </c:pt>
                <c:pt idx="1">
                  <c:v>25.549999999999997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FF-44ED-A512-D53A4E7145ED}"/>
            </c:ext>
          </c:extLst>
        </c:ser>
        <c:ser>
          <c:idx val="1"/>
          <c:order val="1"/>
          <c:tx>
            <c:strRef>
              <c:f>'hierarchicky model'!$P$37</c:f>
              <c:strCache>
                <c:ptCount val="1"/>
                <c:pt idx="0">
                  <c:v>60</c:v>
                </c:pt>
              </c:strCache>
            </c:strRef>
          </c:tx>
          <c:xVal>
            <c:numRef>
              <c:f>'hierarchicky model'!$O$38:$P$38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model'!$P$39:$P$40</c:f>
              <c:numCache>
                <c:formatCode>General</c:formatCode>
                <c:ptCount val="2"/>
                <c:pt idx="0">
                  <c:v>36.65</c:v>
                </c:pt>
                <c:pt idx="1">
                  <c:v>57.999999999999993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FF-44ED-A512-D53A4E714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02688"/>
        <c:axId val="69603264"/>
      </c:scatterChart>
      <c:valAx>
        <c:axId val="69602688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 sz="800"/>
                  <a:t>čas (X1)</a:t>
                </a:r>
                <a:endParaRPr lang="sk-SK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603264"/>
        <c:crosses val="autoZero"/>
        <c:crossBetween val="midCat"/>
      </c:valAx>
      <c:valAx>
        <c:axId val="69603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6026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sk-SK" sz="1000" b="0" i="0" baseline="0">
                <a:effectLst/>
              </a:rPr>
              <a:t>Interaction effect</a:t>
            </a:r>
            <a:endParaRPr lang="sk-SK" sz="10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'hierarchicky model'!$M$61</c:f>
              <c:strCache>
                <c:ptCount val="1"/>
                <c:pt idx="0">
                  <c:v>400</c:v>
                </c:pt>
              </c:strCache>
            </c:strRef>
          </c:tx>
          <c:xVal>
            <c:numRef>
              <c:f>'hierarchicky model'!$N$61:$N$62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model'!$O$61:$P$61</c:f>
              <c:numCache>
                <c:formatCode>General</c:formatCode>
                <c:ptCount val="2"/>
                <c:pt idx="0">
                  <c:v>36.599999999999994</c:v>
                </c:pt>
                <c:pt idx="1">
                  <c:v>21.85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2CA-476D-8921-73799E9F465C}"/>
            </c:ext>
          </c:extLst>
        </c:ser>
        <c:ser>
          <c:idx val="1"/>
          <c:order val="1"/>
          <c:tx>
            <c:strRef>
              <c:f>'hierarchicky model'!$M$62</c:f>
              <c:strCache>
                <c:ptCount val="1"/>
                <c:pt idx="0">
                  <c:v>800</c:v>
                </c:pt>
              </c:strCache>
            </c:strRef>
          </c:tx>
          <c:xVal>
            <c:numRef>
              <c:f>'hierarchicky model'!$N$61:$N$62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model'!$O$62:$P$62</c:f>
              <c:numCache>
                <c:formatCode>General</c:formatCode>
                <c:ptCount val="2"/>
                <c:pt idx="0">
                  <c:v>50.8</c:v>
                </c:pt>
                <c:pt idx="1">
                  <c:v>32.75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2CA-476D-8921-73799E9F4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599808"/>
        <c:axId val="69600384"/>
      </c:scatterChart>
      <c:valAx>
        <c:axId val="69599808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 sz="800"/>
                  <a:t>ohrev</a:t>
                </a:r>
                <a:r>
                  <a:rPr lang="sk-SK" sz="800" baseline="0"/>
                  <a:t> (</a:t>
                </a:r>
                <a:r>
                  <a:rPr lang="sk-SK" sz="800"/>
                  <a:t>X3)</a:t>
                </a:r>
                <a:endParaRPr lang="en-US" sz="8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600384"/>
        <c:crosses val="autoZero"/>
        <c:crossBetween val="midCat"/>
      </c:valAx>
      <c:valAx>
        <c:axId val="69600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5998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sk-SK" sz="1000" b="0" i="0" baseline="0">
                <a:effectLst/>
              </a:rPr>
              <a:t>Interaction effect</a:t>
            </a:r>
            <a:endParaRPr lang="sk-SK" sz="1000">
              <a:effectLst/>
            </a:endParaRP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'hierarchicky model'!$O$59</c:f>
              <c:strCache>
                <c:ptCount val="1"/>
                <c:pt idx="0">
                  <c:v>100</c:v>
                </c:pt>
              </c:strCache>
            </c:strRef>
          </c:tx>
          <c:xVal>
            <c:numRef>
              <c:f>'hierarchicky model'!$O$60:$P$60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model'!$O$61:$O$62</c:f>
              <c:numCache>
                <c:formatCode>General</c:formatCode>
                <c:ptCount val="2"/>
                <c:pt idx="0">
                  <c:v>36.599999999999994</c:v>
                </c:pt>
                <c:pt idx="1">
                  <c:v>50.8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3B2-4099-8375-65EE5456CBEE}"/>
            </c:ext>
          </c:extLst>
        </c:ser>
        <c:ser>
          <c:idx val="1"/>
          <c:order val="1"/>
          <c:tx>
            <c:strRef>
              <c:f>'hierarchicky model'!$P$59</c:f>
              <c:strCache>
                <c:ptCount val="1"/>
                <c:pt idx="0">
                  <c:v>300</c:v>
                </c:pt>
              </c:strCache>
            </c:strRef>
          </c:tx>
          <c:xVal>
            <c:numRef>
              <c:f>'hierarchicky model'!$O$60:$P$60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'hierarchicky model'!$P$61:$P$62</c:f>
              <c:numCache>
                <c:formatCode>General</c:formatCode>
                <c:ptCount val="2"/>
                <c:pt idx="0">
                  <c:v>21.85</c:v>
                </c:pt>
                <c:pt idx="1">
                  <c:v>32.75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3B2-4099-8375-65EE5456C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602688"/>
        <c:axId val="69603264"/>
      </c:scatterChart>
      <c:valAx>
        <c:axId val="69602688"/>
        <c:scaling>
          <c:orientation val="minMax"/>
          <c:max val="1"/>
          <c:min val="-1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sk-SK" sz="800"/>
                  <a:t>obiem (X2)</a:t>
                </a:r>
                <a:endParaRPr lang="sk-SK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9603264"/>
        <c:crosses val="autoZero"/>
        <c:crossBetween val="midCat"/>
      </c:valAx>
      <c:valAx>
        <c:axId val="69603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960268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_xlchart.v1.5</cx:f>
      </cx:numDim>
    </cx:data>
    <cx:data id="1">
      <cx:numDim type="val">
        <cx:f>_xlchart.v1.7</cx:f>
      </cx:numDim>
    </cx:data>
  </cx:chartData>
  <cx:chart>
    <cx:plotArea>
      <cx:plotAreaRegion>
        <cx:series layoutId="boxWhisker" uniqueId="{67F2073A-FBA5-4F15-9C6D-34FDE5049125}">
          <cx:tx>
            <cx:txData>
              <cx:f>_xlchart.v1.4</cx:f>
              <cx:v>y kontrol meranie</cx:v>
            </cx:txData>
          </cx:tx>
          <cx:dataId val="0"/>
          <cx:layoutPr>
            <cx:visibility meanLine="0" meanMarker="1" nonoutliers="0" outliers="1"/>
            <cx:statistics quartileMethod="exclusive"/>
          </cx:layoutPr>
        </cx:series>
        <cx:series layoutId="boxWhisker" uniqueId="{B1E3C784-D223-42A4-8690-0202C3EAB013}">
          <cx:tx>
            <cx:txData>
              <cx:f>_xlchart.v1.6</cx:f>
              <cx:v>y predikovane</cx:v>
            </cx:txData>
          </cx:tx>
          <cx:dataId val="1"/>
          <cx:layoutPr>
            <cx:visibility meanLine="0" meanMarker="1" nonoutliers="0" outliers="1"/>
            <cx:statistics quartileMethod="exclusive"/>
          </cx:layoutPr>
        </cx:series>
      </cx:plotAreaRegion>
      <cx:axis id="0" hidden="1">
        <cx:catScaling gapWidth="1"/>
        <cx:tickLabels/>
      </cx:axis>
      <cx:axis id="1">
        <cx:valScaling/>
        <cx:title>
          <cx:tx>
            <cx:txData>
              <cx:v>namerane hodnoty [[°C]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sk-SK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Calibri" panose="020F0502020204030204"/>
                </a:rPr>
                <a:t>namerane hodnoty [[°C]</a:t>
              </a:r>
            </a:p>
          </cx:txPr>
        </cx:title>
        <cx:majorGridlines/>
        <cx:tickLabels/>
      </cx:axis>
    </cx:plotArea>
    <cx:legend pos="t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3" Type="http://schemas.openxmlformats.org/officeDocument/2006/relationships/image" Target="../media/image6.png"/><Relationship Id="rId7" Type="http://schemas.openxmlformats.org/officeDocument/2006/relationships/image" Target="../media/image10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14/relationships/chartEx" Target="../charts/chartEx1.xml"/><Relationship Id="rId1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464344</xdr:colOff>
      <xdr:row>21</xdr:row>
      <xdr:rowOff>41673</xdr:rowOff>
    </xdr:from>
    <xdr:to>
      <xdr:col>13</xdr:col>
      <xdr:colOff>535781</xdr:colOff>
      <xdr:row>27</xdr:row>
      <xdr:rowOff>47626</xdr:rowOff>
    </xdr:to>
    <xdr:sp macro="" textlink="">
      <xdr:nvSpPr>
        <xdr:cNvPr id="61" name="Obdĺžnik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7169944" y="232173"/>
          <a:ext cx="1290637" cy="1291828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11</xdr:col>
      <xdr:colOff>0</xdr:colOff>
      <xdr:row>21</xdr:row>
      <xdr:rowOff>41672</xdr:rowOff>
    </xdr:from>
    <xdr:to>
      <xdr:col>11</xdr:col>
      <xdr:colOff>458391</xdr:colOff>
      <xdr:row>22</xdr:row>
      <xdr:rowOff>142875</xdr:rowOff>
    </xdr:to>
    <xdr:cxnSp macro="">
      <xdr:nvCxnSpPr>
        <xdr:cNvPr id="62" name="Rovná spojnica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CxnSpPr/>
      </xdr:nvCxnSpPr>
      <xdr:spPr>
        <a:xfrm flipV="1">
          <a:off x="67056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69056</xdr:colOff>
      <xdr:row>21</xdr:row>
      <xdr:rowOff>51197</xdr:rowOff>
    </xdr:from>
    <xdr:to>
      <xdr:col>13</xdr:col>
      <xdr:colOff>527447</xdr:colOff>
      <xdr:row>22</xdr:row>
      <xdr:rowOff>152400</xdr:rowOff>
    </xdr:to>
    <xdr:cxnSp macro="">
      <xdr:nvCxnSpPr>
        <xdr:cNvPr id="63" name="Rovná spojnica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CxnSpPr/>
      </xdr:nvCxnSpPr>
      <xdr:spPr>
        <a:xfrm flipV="1">
          <a:off x="79938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71438</xdr:colOff>
      <xdr:row>27</xdr:row>
      <xdr:rowOff>47625</xdr:rowOff>
    </xdr:from>
    <xdr:to>
      <xdr:col>13</xdr:col>
      <xdr:colOff>529829</xdr:colOff>
      <xdr:row>28</xdr:row>
      <xdr:rowOff>148828</xdr:rowOff>
    </xdr:to>
    <xdr:cxnSp macro="">
      <xdr:nvCxnSpPr>
        <xdr:cNvPr id="64" name="Rovná spojnica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V="1">
          <a:off x="79962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17860</xdr:colOff>
      <xdr:row>27</xdr:row>
      <xdr:rowOff>29766</xdr:rowOff>
    </xdr:from>
    <xdr:to>
      <xdr:col>11</xdr:col>
      <xdr:colOff>476251</xdr:colOff>
      <xdr:row>28</xdr:row>
      <xdr:rowOff>130969</xdr:rowOff>
    </xdr:to>
    <xdr:cxnSp macro="">
      <xdr:nvCxnSpPr>
        <xdr:cNvPr id="65" name="Rovná spojnica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CxnSpPr/>
      </xdr:nvCxnSpPr>
      <xdr:spPr>
        <a:xfrm flipV="1">
          <a:off x="67234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321468</xdr:colOff>
      <xdr:row>29</xdr:row>
      <xdr:rowOff>184547</xdr:rowOff>
    </xdr:from>
    <xdr:to>
      <xdr:col>12</xdr:col>
      <xdr:colOff>523874</xdr:colOff>
      <xdr:row>30</xdr:row>
      <xdr:rowOff>5954</xdr:rowOff>
    </xdr:to>
    <xdr:cxnSp macro="">
      <xdr:nvCxnSpPr>
        <xdr:cNvPr id="66" name="Rovná spojovacia šípka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V="1">
          <a:off x="70270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309561</xdr:colOff>
      <xdr:row>30</xdr:row>
      <xdr:rowOff>65484</xdr:rowOff>
    </xdr:from>
    <xdr:to>
      <xdr:col>13</xdr:col>
      <xdr:colOff>464342</xdr:colOff>
      <xdr:row>31</xdr:row>
      <xdr:rowOff>172640</xdr:rowOff>
    </xdr:to>
    <xdr:sp macro="" textlink="">
      <xdr:nvSpPr>
        <xdr:cNvPr id="67" name="BlokTextu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70151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13</xdr:col>
      <xdr:colOff>440531</xdr:colOff>
      <xdr:row>27</xdr:row>
      <xdr:rowOff>178595</xdr:rowOff>
    </xdr:from>
    <xdr:to>
      <xdr:col>14</xdr:col>
      <xdr:colOff>202406</xdr:colOff>
      <xdr:row>29</xdr:row>
      <xdr:rowOff>47625</xdr:rowOff>
    </xdr:to>
    <xdr:cxnSp macro="">
      <xdr:nvCxnSpPr>
        <xdr:cNvPr id="68" name="Rovná spojovacia šípka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CxnSpPr/>
      </xdr:nvCxnSpPr>
      <xdr:spPr>
        <a:xfrm flipV="1">
          <a:off x="83653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77390</xdr:colOff>
      <xdr:row>28</xdr:row>
      <xdr:rowOff>23812</xdr:rowOff>
    </xdr:from>
    <xdr:to>
      <xdr:col>16</xdr:col>
      <xdr:colOff>232172</xdr:colOff>
      <xdr:row>29</xdr:row>
      <xdr:rowOff>130968</xdr:rowOff>
    </xdr:to>
    <xdr:sp macro="" textlink="">
      <xdr:nvSpPr>
        <xdr:cNvPr id="69" name="BlokTextu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8611790" y="1690687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objem</a:t>
          </a:r>
        </a:p>
      </xdr:txBody>
    </xdr:sp>
    <xdr:clientData/>
  </xdr:twoCellAnchor>
  <xdr:twoCellAnchor>
    <xdr:from>
      <xdr:col>14</xdr:col>
      <xdr:colOff>273843</xdr:colOff>
      <xdr:row>22</xdr:row>
      <xdr:rowOff>71440</xdr:rowOff>
    </xdr:from>
    <xdr:to>
      <xdr:col>14</xdr:col>
      <xdr:colOff>285749</xdr:colOff>
      <xdr:row>25</xdr:row>
      <xdr:rowOff>125016</xdr:rowOff>
    </xdr:to>
    <xdr:cxnSp macro="">
      <xdr:nvCxnSpPr>
        <xdr:cNvPr id="70" name="Rovná spojovacia šípka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CxnSpPr/>
      </xdr:nvCxnSpPr>
      <xdr:spPr>
        <a:xfrm>
          <a:off x="88082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285750</xdr:colOff>
      <xdr:row>23</xdr:row>
      <xdr:rowOff>83343</xdr:rowOff>
    </xdr:from>
    <xdr:to>
      <xdr:col>15</xdr:col>
      <xdr:colOff>247649</xdr:colOff>
      <xdr:row>24</xdr:row>
      <xdr:rowOff>154780</xdr:rowOff>
    </xdr:to>
    <xdr:sp macro="" textlink="">
      <xdr:nvSpPr>
        <xdr:cNvPr id="71" name="BlokTextu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8820150" y="4464843"/>
          <a:ext cx="571499" cy="261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výkon</a:t>
          </a:r>
        </a:p>
      </xdr:txBody>
    </xdr:sp>
    <xdr:clientData/>
  </xdr:twoCellAnchor>
  <xdr:twoCellAnchor>
    <xdr:from>
      <xdr:col>14</xdr:col>
      <xdr:colOff>166687</xdr:colOff>
      <xdr:row>25</xdr:row>
      <xdr:rowOff>23813</xdr:rowOff>
    </xdr:from>
    <xdr:to>
      <xdr:col>16</xdr:col>
      <xdr:colOff>321469</xdr:colOff>
      <xdr:row>26</xdr:row>
      <xdr:rowOff>101203</xdr:rowOff>
    </xdr:to>
    <xdr:sp macro="" textlink="">
      <xdr:nvSpPr>
        <xdr:cNvPr id="72" name="BlokTextu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8701087" y="1090613"/>
          <a:ext cx="1373982" cy="296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13</xdr:col>
      <xdr:colOff>208359</xdr:colOff>
      <xdr:row>28</xdr:row>
      <xdr:rowOff>107156</xdr:rowOff>
    </xdr:from>
    <xdr:to>
      <xdr:col>13</xdr:col>
      <xdr:colOff>485775</xdr:colOff>
      <xdr:row>30</xdr:row>
      <xdr:rowOff>23812</xdr:rowOff>
    </xdr:to>
    <xdr:sp macro="" textlink="">
      <xdr:nvSpPr>
        <xdr:cNvPr id="73" name="BlokTextu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81331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11</xdr:col>
      <xdr:colOff>23813</xdr:colOff>
      <xdr:row>28</xdr:row>
      <xdr:rowOff>182165</xdr:rowOff>
    </xdr:from>
    <xdr:to>
      <xdr:col>11</xdr:col>
      <xdr:colOff>304800</xdr:colOff>
      <xdr:row>30</xdr:row>
      <xdr:rowOff>98821</xdr:rowOff>
    </xdr:to>
    <xdr:sp macro="" textlink="">
      <xdr:nvSpPr>
        <xdr:cNvPr id="74" name="BlokTextu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729413" y="1849040"/>
          <a:ext cx="280987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12</xdr:col>
      <xdr:colOff>506015</xdr:colOff>
      <xdr:row>29</xdr:row>
      <xdr:rowOff>35719</xdr:rowOff>
    </xdr:from>
    <xdr:to>
      <xdr:col>13</xdr:col>
      <xdr:colOff>285750</xdr:colOff>
      <xdr:row>30</xdr:row>
      <xdr:rowOff>142875</xdr:rowOff>
    </xdr:to>
    <xdr:sp macro="" textlink="">
      <xdr:nvSpPr>
        <xdr:cNvPr id="75" name="BlokTextu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78212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142874</xdr:colOff>
      <xdr:row>26</xdr:row>
      <xdr:rowOff>154781</xdr:rowOff>
    </xdr:from>
    <xdr:to>
      <xdr:col>16</xdr:col>
      <xdr:colOff>297656</xdr:colOff>
      <xdr:row>28</xdr:row>
      <xdr:rowOff>71437</xdr:rowOff>
    </xdr:to>
    <xdr:sp macro="" textlink="">
      <xdr:nvSpPr>
        <xdr:cNvPr id="76" name="BlokTextu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8677274" y="1440656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14</xdr:col>
      <xdr:colOff>130968</xdr:colOff>
      <xdr:row>21</xdr:row>
      <xdr:rowOff>0</xdr:rowOff>
    </xdr:from>
    <xdr:to>
      <xdr:col>16</xdr:col>
      <xdr:colOff>285750</xdr:colOff>
      <xdr:row>22</xdr:row>
      <xdr:rowOff>107156</xdr:rowOff>
    </xdr:to>
    <xdr:sp macro="" textlink="">
      <xdr:nvSpPr>
        <xdr:cNvPr id="77" name="BlokTextu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8665368" y="190500"/>
          <a:ext cx="1373982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11</xdr:col>
      <xdr:colOff>64294</xdr:colOff>
      <xdr:row>19</xdr:row>
      <xdr:rowOff>42863</xdr:rowOff>
    </xdr:from>
    <xdr:to>
      <xdr:col>12</xdr:col>
      <xdr:colOff>0</xdr:colOff>
      <xdr:row>21</xdr:row>
      <xdr:rowOff>132522</xdr:rowOff>
    </xdr:to>
    <xdr:sp macro="" textlink="">
      <xdr:nvSpPr>
        <xdr:cNvPr id="78" name="BlokTextu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783146" y="3567941"/>
          <a:ext cx="558558" cy="4607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21,0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21,4</a:t>
          </a:r>
          <a:endParaRPr lang="sk-SK" sz="1000">
            <a:effectLst/>
          </a:endParaRPr>
        </a:p>
      </xdr:txBody>
    </xdr:sp>
    <xdr:clientData/>
  </xdr:twoCellAnchor>
  <xdr:twoCellAnchor>
    <xdr:from>
      <xdr:col>11</xdr:col>
      <xdr:colOff>52126</xdr:colOff>
      <xdr:row>25</xdr:row>
      <xdr:rowOff>5176</xdr:rowOff>
    </xdr:from>
    <xdr:to>
      <xdr:col>12</xdr:col>
      <xdr:colOff>12837</xdr:colOff>
      <xdr:row>27</xdr:row>
      <xdr:rowOff>157369</xdr:rowOff>
    </xdr:to>
    <xdr:sp macro="" textlink="">
      <xdr:nvSpPr>
        <xdr:cNvPr id="79" name="BlokTextu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770978" y="4643437"/>
          <a:ext cx="583563" cy="5232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18,6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19,0</a:t>
          </a:r>
          <a:endParaRPr lang="sk-SK" sz="1000">
            <a:effectLst/>
          </a:endParaRPr>
        </a:p>
        <a:p>
          <a:endParaRPr lang="sk-SK" sz="1000"/>
        </a:p>
      </xdr:txBody>
    </xdr:sp>
    <xdr:clientData/>
  </xdr:twoCellAnchor>
  <xdr:twoCellAnchor>
    <xdr:from>
      <xdr:col>10</xdr:col>
      <xdr:colOff>200025</xdr:colOff>
      <xdr:row>21</xdr:row>
      <xdr:rowOff>142875</xdr:rowOff>
    </xdr:from>
    <xdr:to>
      <xdr:col>11</xdr:col>
      <xdr:colOff>148829</xdr:colOff>
      <xdr:row>24</xdr:row>
      <xdr:rowOff>28575</xdr:rowOff>
    </xdr:to>
    <xdr:sp macro="" textlink="">
      <xdr:nvSpPr>
        <xdr:cNvPr id="80" name="BlokTextu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296025" y="4143375"/>
          <a:ext cx="558404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24,6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25,2</a:t>
          </a:r>
          <a:endParaRPr lang="sk-SK" sz="1000">
            <a:effectLst/>
          </a:endParaRPr>
        </a:p>
        <a:p>
          <a:endParaRPr lang="sk-SK" sz="1000"/>
        </a:p>
        <a:p>
          <a:endParaRPr lang="sk-SK" sz="1000"/>
        </a:p>
      </xdr:txBody>
    </xdr:sp>
    <xdr:clientData/>
  </xdr:twoCellAnchor>
  <xdr:twoCellAnchor>
    <xdr:from>
      <xdr:col>10</xdr:col>
      <xdr:colOff>219076</xdr:colOff>
      <xdr:row>27</xdr:row>
      <xdr:rowOff>20240</xdr:rowOff>
    </xdr:from>
    <xdr:to>
      <xdr:col>11</xdr:col>
      <xdr:colOff>184548</xdr:colOff>
      <xdr:row>29</xdr:row>
      <xdr:rowOff>169985</xdr:rowOff>
    </xdr:to>
    <xdr:sp macro="" textlink="">
      <xdr:nvSpPr>
        <xdr:cNvPr id="81" name="BlokTextu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315076" y="4926348"/>
          <a:ext cx="592657" cy="513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23,6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26,0</a:t>
          </a:r>
          <a:endParaRPr lang="sk-SK" sz="1000">
            <a:effectLst/>
          </a:endParaRPr>
        </a:p>
      </xdr:txBody>
    </xdr:sp>
    <xdr:clientData/>
  </xdr:twoCellAnchor>
  <xdr:twoCellAnchor>
    <xdr:from>
      <xdr:col>13</xdr:col>
      <xdr:colOff>514349</xdr:colOff>
      <xdr:row>25</xdr:row>
      <xdr:rowOff>69055</xdr:rowOff>
    </xdr:from>
    <xdr:to>
      <xdr:col>14</xdr:col>
      <xdr:colOff>428624</xdr:colOff>
      <xdr:row>27</xdr:row>
      <xdr:rowOff>161924</xdr:rowOff>
    </xdr:to>
    <xdr:sp macro="" textlink="">
      <xdr:nvSpPr>
        <xdr:cNvPr id="82" name="BlokTextu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8439149" y="4831555"/>
          <a:ext cx="523875" cy="47386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31,0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28,8</a:t>
          </a:r>
          <a:endParaRPr lang="sk-SK" sz="1000">
            <a:effectLst/>
          </a:endParaRPr>
        </a:p>
        <a:p>
          <a:endParaRPr lang="sk-SK" sz="1000"/>
        </a:p>
      </xdr:txBody>
    </xdr:sp>
    <xdr:clientData/>
  </xdr:twoCellAnchor>
  <xdr:twoCellAnchor>
    <xdr:from>
      <xdr:col>13</xdr:col>
      <xdr:colOff>424123</xdr:colOff>
      <xdr:row>18</xdr:row>
      <xdr:rowOff>153642</xdr:rowOff>
    </xdr:from>
    <xdr:to>
      <xdr:col>14</xdr:col>
      <xdr:colOff>482463</xdr:colOff>
      <xdr:row>21</xdr:row>
      <xdr:rowOff>106017</xdr:rowOff>
    </xdr:to>
    <xdr:sp macro="" textlink="">
      <xdr:nvSpPr>
        <xdr:cNvPr id="83" name="BlokTextu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8388680" y="3493190"/>
          <a:ext cx="681192" cy="5089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44,1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44,5</a:t>
          </a:r>
          <a:endParaRPr lang="sk-SK" sz="1000">
            <a:effectLst/>
          </a:endParaRPr>
        </a:p>
      </xdr:txBody>
    </xdr:sp>
    <xdr:clientData/>
  </xdr:twoCellAnchor>
  <xdr:twoCellAnchor>
    <xdr:from>
      <xdr:col>12</xdr:col>
      <xdr:colOff>380171</xdr:colOff>
      <xdr:row>20</xdr:row>
      <xdr:rowOff>144946</xdr:rowOff>
    </xdr:from>
    <xdr:to>
      <xdr:col>13</xdr:col>
      <xdr:colOff>324677</xdr:colOff>
      <xdr:row>23</xdr:row>
      <xdr:rowOff>68746</xdr:rowOff>
    </xdr:to>
    <xdr:sp macro="" textlink="">
      <xdr:nvSpPr>
        <xdr:cNvPr id="84" name="BlokTextu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7721875" y="3855555"/>
          <a:ext cx="567359" cy="48039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72,1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71,3</a:t>
          </a:r>
          <a:endParaRPr lang="sk-SK" sz="1000">
            <a:effectLst/>
          </a:endParaRPr>
        </a:p>
        <a:p>
          <a:endParaRPr lang="sk-SK" sz="1000"/>
        </a:p>
      </xdr:txBody>
    </xdr:sp>
    <xdr:clientData/>
  </xdr:twoCellAnchor>
  <xdr:twoCellAnchor>
    <xdr:from>
      <xdr:col>12</xdr:col>
      <xdr:colOff>315671</xdr:colOff>
      <xdr:row>26</xdr:row>
      <xdr:rowOff>168033</xdr:rowOff>
    </xdr:from>
    <xdr:to>
      <xdr:col>13</xdr:col>
      <xdr:colOff>289476</xdr:colOff>
      <xdr:row>29</xdr:row>
      <xdr:rowOff>86139</xdr:rowOff>
    </xdr:to>
    <xdr:sp macro="" textlink="">
      <xdr:nvSpPr>
        <xdr:cNvPr id="85" name="BlokTextu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7657375" y="4991824"/>
          <a:ext cx="596658" cy="4746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49,0</a:t>
          </a:r>
          <a:endParaRPr lang="sk-SK" sz="1000">
            <a:effectLst/>
          </a:endParaRPr>
        </a:p>
        <a:p>
          <a:r>
            <a:rPr lang="sk-SK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47,8</a:t>
          </a:r>
          <a:endParaRPr lang="sk-SK" sz="1000"/>
        </a:p>
      </xdr:txBody>
    </xdr:sp>
    <xdr:clientData/>
  </xdr:twoCellAnchor>
  <xdr:twoCellAnchor>
    <xdr:from>
      <xdr:col>18</xdr:col>
      <xdr:colOff>11906</xdr:colOff>
      <xdr:row>22</xdr:row>
      <xdr:rowOff>148828</xdr:rowOff>
    </xdr:from>
    <xdr:to>
      <xdr:col>20</xdr:col>
      <xdr:colOff>83343</xdr:colOff>
      <xdr:row>28</xdr:row>
      <xdr:rowOff>154781</xdr:rowOff>
    </xdr:to>
    <xdr:sp macro="" textlink="">
      <xdr:nvSpPr>
        <xdr:cNvPr id="86" name="Obdĺžnik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10984706" y="529828"/>
          <a:ext cx="1290637" cy="1291828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464344</xdr:colOff>
      <xdr:row>21</xdr:row>
      <xdr:rowOff>41673</xdr:rowOff>
    </xdr:from>
    <xdr:to>
      <xdr:col>20</xdr:col>
      <xdr:colOff>535781</xdr:colOff>
      <xdr:row>27</xdr:row>
      <xdr:rowOff>47626</xdr:rowOff>
    </xdr:to>
    <xdr:sp macro="" textlink="">
      <xdr:nvSpPr>
        <xdr:cNvPr id="87" name="Obdĺžnik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11437144" y="232173"/>
          <a:ext cx="1290637" cy="1291828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18</xdr:col>
      <xdr:colOff>0</xdr:colOff>
      <xdr:row>21</xdr:row>
      <xdr:rowOff>41672</xdr:rowOff>
    </xdr:from>
    <xdr:to>
      <xdr:col>18</xdr:col>
      <xdr:colOff>458391</xdr:colOff>
      <xdr:row>22</xdr:row>
      <xdr:rowOff>142875</xdr:rowOff>
    </xdr:to>
    <xdr:cxnSp macro="">
      <xdr:nvCxnSpPr>
        <xdr:cNvPr id="88" name="Rovná spojnica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CxnSpPr/>
      </xdr:nvCxnSpPr>
      <xdr:spPr>
        <a:xfrm flipV="1">
          <a:off x="10972800" y="232172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69056</xdr:colOff>
      <xdr:row>21</xdr:row>
      <xdr:rowOff>51197</xdr:rowOff>
    </xdr:from>
    <xdr:to>
      <xdr:col>20</xdr:col>
      <xdr:colOff>527447</xdr:colOff>
      <xdr:row>22</xdr:row>
      <xdr:rowOff>152400</xdr:rowOff>
    </xdr:to>
    <xdr:cxnSp macro="">
      <xdr:nvCxnSpPr>
        <xdr:cNvPr id="89" name="Rovná spojnica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CxnSpPr/>
      </xdr:nvCxnSpPr>
      <xdr:spPr>
        <a:xfrm flipV="1">
          <a:off x="12261056" y="241697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71438</xdr:colOff>
      <xdr:row>27</xdr:row>
      <xdr:rowOff>47625</xdr:rowOff>
    </xdr:from>
    <xdr:to>
      <xdr:col>20</xdr:col>
      <xdr:colOff>529829</xdr:colOff>
      <xdr:row>28</xdr:row>
      <xdr:rowOff>148828</xdr:rowOff>
    </xdr:to>
    <xdr:cxnSp macro="">
      <xdr:nvCxnSpPr>
        <xdr:cNvPr id="90" name="Rovná spojnica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CxnSpPr/>
      </xdr:nvCxnSpPr>
      <xdr:spPr>
        <a:xfrm flipV="1">
          <a:off x="12263438" y="1524000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17860</xdr:colOff>
      <xdr:row>27</xdr:row>
      <xdr:rowOff>29766</xdr:rowOff>
    </xdr:from>
    <xdr:to>
      <xdr:col>18</xdr:col>
      <xdr:colOff>476251</xdr:colOff>
      <xdr:row>28</xdr:row>
      <xdr:rowOff>130969</xdr:rowOff>
    </xdr:to>
    <xdr:cxnSp macro="">
      <xdr:nvCxnSpPr>
        <xdr:cNvPr id="91" name="Rovná spojnica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CxnSpPr/>
      </xdr:nvCxnSpPr>
      <xdr:spPr>
        <a:xfrm flipV="1">
          <a:off x="10990660" y="1506141"/>
          <a:ext cx="458391" cy="291703"/>
        </a:xfrm>
        <a:prstGeom prst="line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321468</xdr:colOff>
      <xdr:row>29</xdr:row>
      <xdr:rowOff>184547</xdr:rowOff>
    </xdr:from>
    <xdr:to>
      <xdr:col>19</xdr:col>
      <xdr:colOff>523874</xdr:colOff>
      <xdr:row>30</xdr:row>
      <xdr:rowOff>5954</xdr:rowOff>
    </xdr:to>
    <xdr:cxnSp macro="">
      <xdr:nvCxnSpPr>
        <xdr:cNvPr id="92" name="Rovná spojovacia šípka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CxnSpPr/>
      </xdr:nvCxnSpPr>
      <xdr:spPr>
        <a:xfrm flipV="1">
          <a:off x="11294268" y="2041922"/>
          <a:ext cx="812006" cy="11907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309561</xdr:colOff>
      <xdr:row>30</xdr:row>
      <xdr:rowOff>65484</xdr:rowOff>
    </xdr:from>
    <xdr:to>
      <xdr:col>20</xdr:col>
      <xdr:colOff>464342</xdr:colOff>
      <xdr:row>31</xdr:row>
      <xdr:rowOff>172640</xdr:rowOff>
    </xdr:to>
    <xdr:sp macro="" textlink="">
      <xdr:nvSpPr>
        <xdr:cNvPr id="93" name="BlokTextu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11282361" y="2113359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čas</a:t>
          </a:r>
        </a:p>
      </xdr:txBody>
    </xdr:sp>
    <xdr:clientData/>
  </xdr:twoCellAnchor>
  <xdr:twoCellAnchor>
    <xdr:from>
      <xdr:col>20</xdr:col>
      <xdr:colOff>440531</xdr:colOff>
      <xdr:row>27</xdr:row>
      <xdr:rowOff>178595</xdr:rowOff>
    </xdr:from>
    <xdr:to>
      <xdr:col>21</xdr:col>
      <xdr:colOff>202406</xdr:colOff>
      <xdr:row>29</xdr:row>
      <xdr:rowOff>47625</xdr:rowOff>
    </xdr:to>
    <xdr:cxnSp macro="">
      <xdr:nvCxnSpPr>
        <xdr:cNvPr id="94" name="Rovná spojovacia šípka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CxnSpPr/>
      </xdr:nvCxnSpPr>
      <xdr:spPr>
        <a:xfrm flipV="1">
          <a:off x="12632531" y="1654970"/>
          <a:ext cx="371475" cy="250030"/>
        </a:xfrm>
        <a:prstGeom prst="straightConnector1">
          <a:avLst/>
        </a:prstGeom>
        <a:ln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273843</xdr:colOff>
      <xdr:row>22</xdr:row>
      <xdr:rowOff>71440</xdr:rowOff>
    </xdr:from>
    <xdr:to>
      <xdr:col>21</xdr:col>
      <xdr:colOff>285749</xdr:colOff>
      <xdr:row>25</xdr:row>
      <xdr:rowOff>125016</xdr:rowOff>
    </xdr:to>
    <xdr:cxnSp macro="">
      <xdr:nvCxnSpPr>
        <xdr:cNvPr id="95" name="Rovná spojovacia šípka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CxnSpPr/>
      </xdr:nvCxnSpPr>
      <xdr:spPr>
        <a:xfrm>
          <a:off x="13075443" y="452440"/>
          <a:ext cx="11906" cy="739376"/>
        </a:xfrm>
        <a:prstGeom prst="straightConnector1">
          <a:avLst/>
        </a:prstGeom>
        <a:ln>
          <a:headEnd type="triangle" w="med" len="med"/>
          <a:tailEnd type="non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208359</xdr:colOff>
      <xdr:row>28</xdr:row>
      <xdr:rowOff>107156</xdr:rowOff>
    </xdr:from>
    <xdr:to>
      <xdr:col>20</xdr:col>
      <xdr:colOff>485775</xdr:colOff>
      <xdr:row>30</xdr:row>
      <xdr:rowOff>23812</xdr:rowOff>
    </xdr:to>
    <xdr:sp macro="" textlink="">
      <xdr:nvSpPr>
        <xdr:cNvPr id="96" name="BlokTextu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12400359" y="1774031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18</xdr:col>
      <xdr:colOff>23813</xdr:colOff>
      <xdr:row>29</xdr:row>
      <xdr:rowOff>1190</xdr:rowOff>
    </xdr:from>
    <xdr:to>
      <xdr:col>20</xdr:col>
      <xdr:colOff>178594</xdr:colOff>
      <xdr:row>30</xdr:row>
      <xdr:rowOff>108346</xdr:rowOff>
    </xdr:to>
    <xdr:sp macro="" textlink="">
      <xdr:nvSpPr>
        <xdr:cNvPr id="97" name="BlokTextu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10996613" y="1858565"/>
          <a:ext cx="1373981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19</xdr:col>
      <xdr:colOff>506015</xdr:colOff>
      <xdr:row>29</xdr:row>
      <xdr:rowOff>35719</xdr:rowOff>
    </xdr:from>
    <xdr:to>
      <xdr:col>20</xdr:col>
      <xdr:colOff>285750</xdr:colOff>
      <xdr:row>30</xdr:row>
      <xdr:rowOff>142875</xdr:rowOff>
    </xdr:to>
    <xdr:sp macro="" textlink="">
      <xdr:nvSpPr>
        <xdr:cNvPr id="98" name="BlokTextu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12088415" y="1893094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19</xdr:col>
      <xdr:colOff>330994</xdr:colOff>
      <xdr:row>21</xdr:row>
      <xdr:rowOff>128588</xdr:rowOff>
    </xdr:from>
    <xdr:to>
      <xdr:col>20</xdr:col>
      <xdr:colOff>266700</xdr:colOff>
      <xdr:row>23</xdr:row>
      <xdr:rowOff>9525</xdr:rowOff>
    </xdr:to>
    <xdr:sp macro="" textlink="">
      <xdr:nvSpPr>
        <xdr:cNvPr id="99" name="BlokTextu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11913394" y="319088"/>
          <a:ext cx="545306" cy="3000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71,7</a:t>
          </a:r>
        </a:p>
      </xdr:txBody>
    </xdr:sp>
    <xdr:clientData/>
  </xdr:twoCellAnchor>
  <xdr:twoCellAnchor>
    <xdr:from>
      <xdr:col>19</xdr:col>
      <xdr:colOff>266700</xdr:colOff>
      <xdr:row>27</xdr:row>
      <xdr:rowOff>109537</xdr:rowOff>
    </xdr:from>
    <xdr:to>
      <xdr:col>20</xdr:col>
      <xdr:colOff>380999</xdr:colOff>
      <xdr:row>29</xdr:row>
      <xdr:rowOff>26193</xdr:rowOff>
    </xdr:to>
    <xdr:sp macro="" textlink="">
      <xdr:nvSpPr>
        <xdr:cNvPr id="100" name="BlokTextu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11849100" y="5253037"/>
          <a:ext cx="723899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48,4</a:t>
          </a:r>
        </a:p>
      </xdr:txBody>
    </xdr:sp>
    <xdr:clientData/>
  </xdr:twoCellAnchor>
  <xdr:twoCellAnchor>
    <xdr:from>
      <xdr:col>17</xdr:col>
      <xdr:colOff>190500</xdr:colOff>
      <xdr:row>21</xdr:row>
      <xdr:rowOff>85725</xdr:rowOff>
    </xdr:from>
    <xdr:to>
      <xdr:col>18</xdr:col>
      <xdr:colOff>263129</xdr:colOff>
      <xdr:row>22</xdr:row>
      <xdr:rowOff>133350</xdr:rowOff>
    </xdr:to>
    <xdr:sp macro="" textlink="">
      <xdr:nvSpPr>
        <xdr:cNvPr id="101" name="BlokTextu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10553700" y="4086225"/>
          <a:ext cx="682229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24,9</a:t>
          </a:r>
        </a:p>
      </xdr:txBody>
    </xdr:sp>
    <xdr:clientData/>
  </xdr:twoCellAnchor>
  <xdr:twoCellAnchor>
    <xdr:from>
      <xdr:col>17</xdr:col>
      <xdr:colOff>228601</xdr:colOff>
      <xdr:row>27</xdr:row>
      <xdr:rowOff>153590</xdr:rowOff>
    </xdr:from>
    <xdr:to>
      <xdr:col>18</xdr:col>
      <xdr:colOff>194073</xdr:colOff>
      <xdr:row>29</xdr:row>
      <xdr:rowOff>190499</xdr:rowOff>
    </xdr:to>
    <xdr:sp macro="" textlink="">
      <xdr:nvSpPr>
        <xdr:cNvPr id="102" name="BlokTextu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10591801" y="1629965"/>
          <a:ext cx="575072" cy="4179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24,8</a:t>
          </a:r>
        </a:p>
      </xdr:txBody>
    </xdr:sp>
    <xdr:clientData/>
  </xdr:twoCellAnchor>
  <xdr:twoCellAnchor>
    <xdr:from>
      <xdr:col>20</xdr:col>
      <xdr:colOff>523874</xdr:colOff>
      <xdr:row>26</xdr:row>
      <xdr:rowOff>50006</xdr:rowOff>
    </xdr:from>
    <xdr:to>
      <xdr:col>21</xdr:col>
      <xdr:colOff>438149</xdr:colOff>
      <xdr:row>27</xdr:row>
      <xdr:rowOff>157162</xdr:rowOff>
    </xdr:to>
    <xdr:sp macro="" textlink="">
      <xdr:nvSpPr>
        <xdr:cNvPr id="103" name="BlokTextu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12715874" y="5003006"/>
          <a:ext cx="52387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29,9</a:t>
          </a:r>
        </a:p>
        <a:p>
          <a:endParaRPr lang="sk-SK" sz="1000"/>
        </a:p>
      </xdr:txBody>
    </xdr:sp>
    <xdr:clientData/>
  </xdr:twoCellAnchor>
  <xdr:twoCellAnchor>
    <xdr:from>
      <xdr:col>20</xdr:col>
      <xdr:colOff>494110</xdr:colOff>
      <xdr:row>20</xdr:row>
      <xdr:rowOff>0</xdr:rowOff>
    </xdr:from>
    <xdr:to>
      <xdr:col>21</xdr:col>
      <xdr:colOff>552450</xdr:colOff>
      <xdr:row>21</xdr:row>
      <xdr:rowOff>107156</xdr:rowOff>
    </xdr:to>
    <xdr:sp macro="" textlink="">
      <xdr:nvSpPr>
        <xdr:cNvPr id="104" name="BlokTextu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12686110" y="3810000"/>
          <a:ext cx="667940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44,3</a:t>
          </a:r>
        </a:p>
      </xdr:txBody>
    </xdr:sp>
    <xdr:clientData/>
  </xdr:twoCellAnchor>
  <xdr:twoCellAnchor>
    <xdr:from>
      <xdr:col>18</xdr:col>
      <xdr:colOff>76200</xdr:colOff>
      <xdr:row>20</xdr:row>
      <xdr:rowOff>0</xdr:rowOff>
    </xdr:from>
    <xdr:to>
      <xdr:col>19</xdr:col>
      <xdr:colOff>255983</xdr:colOff>
      <xdr:row>21</xdr:row>
      <xdr:rowOff>107156</xdr:rowOff>
    </xdr:to>
    <xdr:sp macro="" textlink="">
      <xdr:nvSpPr>
        <xdr:cNvPr id="105" name="BlokTextu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11049000" y="0"/>
          <a:ext cx="789383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21,2</a:t>
          </a:r>
        </a:p>
      </xdr:txBody>
    </xdr:sp>
    <xdr:clientData/>
  </xdr:twoCellAnchor>
  <xdr:twoCellAnchor>
    <xdr:from>
      <xdr:col>18</xdr:col>
      <xdr:colOff>102394</xdr:colOff>
      <xdr:row>26</xdr:row>
      <xdr:rowOff>11906</xdr:rowOff>
    </xdr:from>
    <xdr:to>
      <xdr:col>19</xdr:col>
      <xdr:colOff>76199</xdr:colOff>
      <xdr:row>27</xdr:row>
      <xdr:rowOff>119062</xdr:rowOff>
    </xdr:to>
    <xdr:sp macro="" textlink="">
      <xdr:nvSpPr>
        <xdr:cNvPr id="106" name="BlokTextu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11075194" y="1297781"/>
          <a:ext cx="58340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000"/>
            <a:t>18,8</a:t>
          </a:r>
        </a:p>
        <a:p>
          <a:endParaRPr lang="sk-SK" sz="1000"/>
        </a:p>
      </xdr:txBody>
    </xdr:sp>
    <xdr:clientData/>
  </xdr:twoCellAnchor>
  <xdr:twoCellAnchor>
    <xdr:from>
      <xdr:col>21</xdr:col>
      <xdr:colOff>95250</xdr:colOff>
      <xdr:row>21</xdr:row>
      <xdr:rowOff>0</xdr:rowOff>
    </xdr:from>
    <xdr:to>
      <xdr:col>21</xdr:col>
      <xdr:colOff>484585</xdr:colOff>
      <xdr:row>22</xdr:row>
      <xdr:rowOff>107156</xdr:rowOff>
    </xdr:to>
    <xdr:sp macro="" textlink="">
      <xdr:nvSpPr>
        <xdr:cNvPr id="109" name="BlokTextu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12896850" y="190500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142875</xdr:colOff>
      <xdr:row>26</xdr:row>
      <xdr:rowOff>152400</xdr:rowOff>
    </xdr:from>
    <xdr:to>
      <xdr:col>21</xdr:col>
      <xdr:colOff>532210</xdr:colOff>
      <xdr:row>28</xdr:row>
      <xdr:rowOff>69056</xdr:rowOff>
    </xdr:to>
    <xdr:sp macro="" textlink="">
      <xdr:nvSpPr>
        <xdr:cNvPr id="110" name="BlokTextu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12944475" y="1438275"/>
          <a:ext cx="389335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300"/>
            <a:t>+</a:t>
          </a:r>
        </a:p>
      </xdr:txBody>
    </xdr:sp>
    <xdr:clientData/>
  </xdr:twoCellAnchor>
  <xdr:twoCellAnchor>
    <xdr:from>
      <xdr:col>21</xdr:col>
      <xdr:colOff>161925</xdr:colOff>
      <xdr:row>25</xdr:row>
      <xdr:rowOff>0</xdr:rowOff>
    </xdr:from>
    <xdr:to>
      <xdr:col>21</xdr:col>
      <xdr:colOff>439341</xdr:colOff>
      <xdr:row>26</xdr:row>
      <xdr:rowOff>78581</xdr:rowOff>
    </xdr:to>
    <xdr:sp macro="" textlink="">
      <xdr:nvSpPr>
        <xdr:cNvPr id="111" name="BlokTextu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12963525" y="1066800"/>
          <a:ext cx="277416" cy="2976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/>
            <a:t>-</a:t>
          </a:r>
        </a:p>
      </xdr:txBody>
    </xdr:sp>
    <xdr:clientData/>
  </xdr:twoCellAnchor>
  <xdr:twoCellAnchor>
    <xdr:from>
      <xdr:col>21</xdr:col>
      <xdr:colOff>390525</xdr:colOff>
      <xdr:row>23</xdr:row>
      <xdr:rowOff>76200</xdr:rowOff>
    </xdr:from>
    <xdr:to>
      <xdr:col>22</xdr:col>
      <xdr:colOff>323850</xdr:colOff>
      <xdr:row>24</xdr:row>
      <xdr:rowOff>147637</xdr:rowOff>
    </xdr:to>
    <xdr:sp macro="" textlink="">
      <xdr:nvSpPr>
        <xdr:cNvPr id="112" name="BlokTextu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13192125" y="4457700"/>
          <a:ext cx="542925" cy="2619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výkon</a:t>
          </a:r>
        </a:p>
      </xdr:txBody>
    </xdr:sp>
    <xdr:clientData/>
  </xdr:twoCellAnchor>
  <xdr:twoCellAnchor>
    <xdr:from>
      <xdr:col>21</xdr:col>
      <xdr:colOff>161925</xdr:colOff>
      <xdr:row>28</xdr:row>
      <xdr:rowOff>95250</xdr:rowOff>
    </xdr:from>
    <xdr:to>
      <xdr:col>22</xdr:col>
      <xdr:colOff>409575</xdr:colOff>
      <xdr:row>31</xdr:row>
      <xdr:rowOff>0</xdr:rowOff>
    </xdr:to>
    <xdr:sp macro="" textlink="">
      <xdr:nvSpPr>
        <xdr:cNvPr id="113" name="BlokTextu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12963525" y="5429250"/>
          <a:ext cx="8572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100"/>
            <a:t>objem</a:t>
          </a:r>
        </a:p>
      </xdr:txBody>
    </xdr:sp>
    <xdr:clientData/>
  </xdr:twoCellAnchor>
  <xdr:twoCellAnchor>
    <xdr:from>
      <xdr:col>11</xdr:col>
      <xdr:colOff>0</xdr:colOff>
      <xdr:row>22</xdr:row>
      <xdr:rowOff>152400</xdr:rowOff>
    </xdr:from>
    <xdr:to>
      <xdr:col>13</xdr:col>
      <xdr:colOff>71437</xdr:colOff>
      <xdr:row>28</xdr:row>
      <xdr:rowOff>158353</xdr:rowOff>
    </xdr:to>
    <xdr:sp macro="" textlink="">
      <xdr:nvSpPr>
        <xdr:cNvPr id="168" name="Obdĺžnik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/>
      </xdr:nvSpPr>
      <xdr:spPr>
        <a:xfrm>
          <a:off x="6705600" y="4343400"/>
          <a:ext cx="1290637" cy="1148953"/>
        </a:xfrm>
        <a:prstGeom prst="rect">
          <a:avLst/>
        </a:prstGeom>
        <a:noFill/>
        <a:ln w="285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587161</xdr:colOff>
      <xdr:row>25</xdr:row>
      <xdr:rowOff>157769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B95CDE9C-0B3F-C08D-7A68-1524DF16B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5530"/>
          <a:ext cx="4854361" cy="461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9</xdr:col>
      <xdr:colOff>503439</xdr:colOff>
      <xdr:row>42</xdr:row>
      <xdr:rowOff>95018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4C1EF2C4-C806-BF07-18B6-BBC855AE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823791"/>
          <a:ext cx="5989839" cy="3063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439271</xdr:colOff>
      <xdr:row>2</xdr:row>
      <xdr:rowOff>71718</xdr:rowOff>
    </xdr:from>
    <xdr:to>
      <xdr:col>15</xdr:col>
      <xdr:colOff>409105</xdr:colOff>
      <xdr:row>18</xdr:row>
      <xdr:rowOff>37898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E76E3C3-8BF3-E369-93F6-BF0BB747C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25671" y="430306"/>
          <a:ext cx="3627434" cy="28348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0</xdr:row>
      <xdr:rowOff>0</xdr:rowOff>
    </xdr:from>
    <xdr:to>
      <xdr:col>27</xdr:col>
      <xdr:colOff>1196494</xdr:colOff>
      <xdr:row>14</xdr:row>
      <xdr:rowOff>14791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41090B00-E8B7-4C29-A453-048468778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21</xdr:row>
      <xdr:rowOff>0</xdr:rowOff>
    </xdr:from>
    <xdr:to>
      <xdr:col>27</xdr:col>
      <xdr:colOff>1196494</xdr:colOff>
      <xdr:row>35</xdr:row>
      <xdr:rowOff>14791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818AC66-7924-4DD8-92E9-66A9061AF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38</xdr:row>
      <xdr:rowOff>0</xdr:rowOff>
    </xdr:from>
    <xdr:to>
      <xdr:col>27</xdr:col>
      <xdr:colOff>1196494</xdr:colOff>
      <xdr:row>52</xdr:row>
      <xdr:rowOff>14791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35A01AB8-680D-4660-9A11-69FFE57F7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47626</xdr:colOff>
      <xdr:row>21</xdr:row>
      <xdr:rowOff>23812</xdr:rowOff>
    </xdr:from>
    <xdr:to>
      <xdr:col>13</xdr:col>
      <xdr:colOff>285750</xdr:colOff>
      <xdr:row>30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3C1950FA-549E-4B4A-BF6A-618C34FC8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304800</xdr:colOff>
      <xdr:row>21</xdr:row>
      <xdr:rowOff>19049</xdr:rowOff>
    </xdr:from>
    <xdr:to>
      <xdr:col>16</xdr:col>
      <xdr:colOff>552450</xdr:colOff>
      <xdr:row>30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4B7C08B7-AFDC-49DA-ACC1-70489DDFC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47626</xdr:colOff>
      <xdr:row>43</xdr:row>
      <xdr:rowOff>23812</xdr:rowOff>
    </xdr:from>
    <xdr:to>
      <xdr:col>13</xdr:col>
      <xdr:colOff>285750</xdr:colOff>
      <xdr:row>52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5A536AA-5FDA-4E9D-A778-F34C64C23C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304800</xdr:colOff>
      <xdr:row>43</xdr:row>
      <xdr:rowOff>19049</xdr:rowOff>
    </xdr:from>
    <xdr:to>
      <xdr:col>16</xdr:col>
      <xdr:colOff>552450</xdr:colOff>
      <xdr:row>52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71FEBE5A-7481-4C3F-9E05-109BD69DB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47626</xdr:colOff>
      <xdr:row>65</xdr:row>
      <xdr:rowOff>23812</xdr:rowOff>
    </xdr:from>
    <xdr:to>
      <xdr:col>13</xdr:col>
      <xdr:colOff>285750</xdr:colOff>
      <xdr:row>74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8754014-ABDA-4EF2-BD68-9447F769F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304800</xdr:colOff>
      <xdr:row>65</xdr:row>
      <xdr:rowOff>19049</xdr:rowOff>
    </xdr:from>
    <xdr:to>
      <xdr:col>16</xdr:col>
      <xdr:colOff>552450</xdr:colOff>
      <xdr:row>74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9515EAC-69C7-48EE-9E63-5BF92BAB4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541022</xdr:colOff>
      <xdr:row>43</xdr:row>
      <xdr:rowOff>66668</xdr:rowOff>
    </xdr:from>
    <xdr:to>
      <xdr:col>11</xdr:col>
      <xdr:colOff>381003</xdr:colOff>
      <xdr:row>71</xdr:row>
      <xdr:rowOff>7620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D98794B4-CACB-BAC2-1981-12B727008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494597" y="7241853"/>
          <a:ext cx="5061592" cy="6530341"/>
        </a:xfrm>
        <a:prstGeom prst="rect">
          <a:avLst/>
        </a:prstGeom>
      </xdr:spPr>
    </xdr:pic>
    <xdr:clientData/>
  </xdr:twoCellAnchor>
  <xdr:twoCellAnchor editAs="oneCell">
    <xdr:from>
      <xdr:col>1</xdr:col>
      <xdr:colOff>563880</xdr:colOff>
      <xdr:row>98</xdr:row>
      <xdr:rowOff>30236</xdr:rowOff>
    </xdr:from>
    <xdr:to>
      <xdr:col>11</xdr:col>
      <xdr:colOff>352047</xdr:colOff>
      <xdr:row>124</xdr:row>
      <xdr:rowOff>144780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591512D7-E398-9081-488D-1BE7B5457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82832" y="16919324"/>
          <a:ext cx="4869424" cy="7088127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135</xdr:row>
      <xdr:rowOff>22860</xdr:rowOff>
    </xdr:from>
    <xdr:to>
      <xdr:col>9</xdr:col>
      <xdr:colOff>335479</xdr:colOff>
      <xdr:row>137</xdr:row>
      <xdr:rowOff>7650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5D410E1E-1E6B-6655-0BD8-EFB5C5B3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5300" y="24787860"/>
          <a:ext cx="2301439" cy="350550"/>
        </a:xfrm>
        <a:prstGeom prst="rect">
          <a:avLst/>
        </a:prstGeom>
      </xdr:spPr>
    </xdr:pic>
    <xdr:clientData/>
  </xdr:twoCellAnchor>
  <xdr:twoCellAnchor editAs="oneCell">
    <xdr:from>
      <xdr:col>0</xdr:col>
      <xdr:colOff>601984</xdr:colOff>
      <xdr:row>157</xdr:row>
      <xdr:rowOff>150961</xdr:rowOff>
    </xdr:from>
    <xdr:to>
      <xdr:col>9</xdr:col>
      <xdr:colOff>579123</xdr:colOff>
      <xdr:row>182</xdr:row>
      <xdr:rowOff>41008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12274AB9-78A7-F1F3-798D-F35C5791A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495160" y="28046145"/>
          <a:ext cx="4462047" cy="624839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228</xdr:row>
      <xdr:rowOff>66675</xdr:rowOff>
    </xdr:from>
    <xdr:to>
      <xdr:col>6</xdr:col>
      <xdr:colOff>409575</xdr:colOff>
      <xdr:row>228</xdr:row>
      <xdr:rowOff>152400</xdr:rowOff>
    </xdr:to>
    <xdr:cxnSp macro="">
      <xdr:nvCxnSpPr>
        <xdr:cNvPr id="9" name="Rovná spojnica 8">
          <a:extLst>
            <a:ext uri="{FF2B5EF4-FFF2-40B4-BE49-F238E27FC236}">
              <a16:creationId xmlns:a16="http://schemas.microsoft.com/office/drawing/2014/main" id="{025ED60D-C273-445F-924E-B1F6CB53843A}"/>
            </a:ext>
          </a:extLst>
        </xdr:cNvPr>
        <xdr:cNvCxnSpPr/>
      </xdr:nvCxnSpPr>
      <xdr:spPr>
        <a:xfrm flipV="1">
          <a:off x="8951595" y="5579173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594888</xdr:colOff>
      <xdr:row>229</xdr:row>
      <xdr:rowOff>121395</xdr:rowOff>
    </xdr:from>
    <xdr:to>
      <xdr:col>9</xdr:col>
      <xdr:colOff>218440</xdr:colOff>
      <xdr:row>260</xdr:row>
      <xdr:rowOff>30480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7409CB17-DC6C-10A9-2C7F-91AB4B2D1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753111" y="41964612"/>
          <a:ext cx="5578365" cy="5894812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276</xdr:row>
      <xdr:rowOff>66675</xdr:rowOff>
    </xdr:from>
    <xdr:to>
      <xdr:col>6</xdr:col>
      <xdr:colOff>409575</xdr:colOff>
      <xdr:row>276</xdr:row>
      <xdr:rowOff>152400</xdr:rowOff>
    </xdr:to>
    <xdr:cxnSp macro="">
      <xdr:nvCxnSpPr>
        <xdr:cNvPr id="12" name="Rovná spojnica 11">
          <a:extLst>
            <a:ext uri="{FF2B5EF4-FFF2-40B4-BE49-F238E27FC236}">
              <a16:creationId xmlns:a16="http://schemas.microsoft.com/office/drawing/2014/main" id="{C828ADDF-0253-4DDD-B721-DEC78C580B93}"/>
            </a:ext>
          </a:extLst>
        </xdr:cNvPr>
        <xdr:cNvCxnSpPr/>
      </xdr:nvCxnSpPr>
      <xdr:spPr>
        <a:xfrm flipV="1">
          <a:off x="8951595" y="6585013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600168</xdr:colOff>
      <xdr:row>278</xdr:row>
      <xdr:rowOff>17821</xdr:rowOff>
    </xdr:from>
    <xdr:to>
      <xdr:col>9</xdr:col>
      <xdr:colOff>327663</xdr:colOff>
      <xdr:row>310</xdr:row>
      <xdr:rowOff>23842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F430907A-E059-18F4-07C7-4FA297404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70455" y="50910094"/>
          <a:ext cx="5858181" cy="5998755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326</xdr:row>
      <xdr:rowOff>66675</xdr:rowOff>
    </xdr:from>
    <xdr:to>
      <xdr:col>6</xdr:col>
      <xdr:colOff>409575</xdr:colOff>
      <xdr:row>326</xdr:row>
      <xdr:rowOff>152400</xdr:rowOff>
    </xdr:to>
    <xdr:cxnSp macro="">
      <xdr:nvCxnSpPr>
        <xdr:cNvPr id="17" name="Rovná spojnica 16">
          <a:extLst>
            <a:ext uri="{FF2B5EF4-FFF2-40B4-BE49-F238E27FC236}">
              <a16:creationId xmlns:a16="http://schemas.microsoft.com/office/drawing/2014/main" id="{CFBC05D3-9E83-4FC8-A262-AF29A36A6654}"/>
            </a:ext>
          </a:extLst>
        </xdr:cNvPr>
        <xdr:cNvCxnSpPr/>
      </xdr:nvCxnSpPr>
      <xdr:spPr>
        <a:xfrm flipV="1">
          <a:off x="8951595" y="7682293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6821</xdr:colOff>
      <xdr:row>328</xdr:row>
      <xdr:rowOff>799</xdr:rowOff>
    </xdr:from>
    <xdr:to>
      <xdr:col>7</xdr:col>
      <xdr:colOff>327660</xdr:colOff>
      <xdr:row>353</xdr:row>
      <xdr:rowOff>144892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6A0B622D-F7BF-3CCC-3592-5355F51A8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40024" y="60083756"/>
          <a:ext cx="4716093" cy="4763299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371</xdr:row>
      <xdr:rowOff>66675</xdr:rowOff>
    </xdr:from>
    <xdr:to>
      <xdr:col>6</xdr:col>
      <xdr:colOff>409575</xdr:colOff>
      <xdr:row>371</xdr:row>
      <xdr:rowOff>152400</xdr:rowOff>
    </xdr:to>
    <xdr:cxnSp macro="">
      <xdr:nvCxnSpPr>
        <xdr:cNvPr id="20" name="Rovná spojnica 19">
          <a:extLst>
            <a:ext uri="{FF2B5EF4-FFF2-40B4-BE49-F238E27FC236}">
              <a16:creationId xmlns:a16="http://schemas.microsoft.com/office/drawing/2014/main" id="{F2A6717E-6CAC-49E1-A208-F8C6B7C17C88}"/>
            </a:ext>
          </a:extLst>
        </xdr:cNvPr>
        <xdr:cNvCxnSpPr/>
      </xdr:nvCxnSpPr>
      <xdr:spPr>
        <a:xfrm flipV="1">
          <a:off x="8951595" y="10795825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59872</xdr:colOff>
      <xdr:row>362</xdr:row>
      <xdr:rowOff>48985</xdr:rowOff>
    </xdr:from>
    <xdr:to>
      <xdr:col>2</xdr:col>
      <xdr:colOff>97972</xdr:colOff>
      <xdr:row>362</xdr:row>
      <xdr:rowOff>134710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0AA5A989-8D60-4E68-93FF-A71D8809DFEE}"/>
            </a:ext>
          </a:extLst>
        </xdr:cNvPr>
        <xdr:cNvCxnSpPr/>
      </xdr:nvCxnSpPr>
      <xdr:spPr>
        <a:xfrm flipV="1">
          <a:off x="5668192" y="10629464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417204</xdr:colOff>
      <xdr:row>372</xdr:row>
      <xdr:rowOff>177159</xdr:rowOff>
    </xdr:from>
    <xdr:to>
      <xdr:col>10</xdr:col>
      <xdr:colOff>497952</xdr:colOff>
      <xdr:row>406</xdr:row>
      <xdr:rowOff>45720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D1425D9B-EA0C-9D7E-8D60-CB00077C5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159567" y="68197676"/>
          <a:ext cx="6086481" cy="6352008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423</xdr:row>
      <xdr:rowOff>66675</xdr:rowOff>
    </xdr:from>
    <xdr:to>
      <xdr:col>6</xdr:col>
      <xdr:colOff>409575</xdr:colOff>
      <xdr:row>423</xdr:row>
      <xdr:rowOff>152400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9FEE2553-2115-4168-8387-0004398CC94B}"/>
            </a:ext>
          </a:extLst>
        </xdr:cNvPr>
        <xdr:cNvCxnSpPr/>
      </xdr:nvCxnSpPr>
      <xdr:spPr>
        <a:xfrm flipV="1">
          <a:off x="4752975" y="6803707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59872</xdr:colOff>
      <xdr:row>414</xdr:row>
      <xdr:rowOff>48985</xdr:rowOff>
    </xdr:from>
    <xdr:to>
      <xdr:col>2</xdr:col>
      <xdr:colOff>97972</xdr:colOff>
      <xdr:row>414</xdr:row>
      <xdr:rowOff>134710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A33A52DD-FFCB-4725-AA07-BC0C0B6B1642}"/>
            </a:ext>
          </a:extLst>
        </xdr:cNvPr>
        <xdr:cNvCxnSpPr/>
      </xdr:nvCxnSpPr>
      <xdr:spPr>
        <a:xfrm flipV="1">
          <a:off x="1279072" y="6637346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12548</xdr:colOff>
      <xdr:row>424</xdr:row>
      <xdr:rowOff>77708</xdr:rowOff>
    </xdr:from>
    <xdr:to>
      <xdr:col>9</xdr:col>
      <xdr:colOff>358144</xdr:colOff>
      <xdr:row>456</xdr:row>
      <xdr:rowOff>124614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F0878F90-7CCC-AAF9-F9C7-B345EC926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676243" y="77686653"/>
          <a:ext cx="5899066" cy="6007256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472</xdr:row>
      <xdr:rowOff>91440</xdr:rowOff>
    </xdr:from>
    <xdr:to>
      <xdr:col>6</xdr:col>
      <xdr:colOff>449580</xdr:colOff>
      <xdr:row>472</xdr:row>
      <xdr:rowOff>152400</xdr:rowOff>
    </xdr:to>
    <xdr:cxnSp macro="">
      <xdr:nvCxnSpPr>
        <xdr:cNvPr id="30" name="Rovná spojnica 29">
          <a:extLst>
            <a:ext uri="{FF2B5EF4-FFF2-40B4-BE49-F238E27FC236}">
              <a16:creationId xmlns:a16="http://schemas.microsoft.com/office/drawing/2014/main" id="{542F5246-4E79-4F4A-A459-61C02F7808EA}"/>
            </a:ext>
          </a:extLst>
        </xdr:cNvPr>
        <xdr:cNvCxnSpPr/>
      </xdr:nvCxnSpPr>
      <xdr:spPr>
        <a:xfrm flipV="1">
          <a:off x="4752975" y="86532720"/>
          <a:ext cx="78105" cy="6096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59872</xdr:colOff>
      <xdr:row>463</xdr:row>
      <xdr:rowOff>48985</xdr:rowOff>
    </xdr:from>
    <xdr:to>
      <xdr:col>2</xdr:col>
      <xdr:colOff>97972</xdr:colOff>
      <xdr:row>463</xdr:row>
      <xdr:rowOff>134710</xdr:rowOff>
    </xdr:to>
    <xdr:cxnSp macro="">
      <xdr:nvCxnSpPr>
        <xdr:cNvPr id="31" name="Rovná spojnica 30">
          <a:extLst>
            <a:ext uri="{FF2B5EF4-FFF2-40B4-BE49-F238E27FC236}">
              <a16:creationId xmlns:a16="http://schemas.microsoft.com/office/drawing/2014/main" id="{94E5C081-2C10-4A34-AE26-69D0E3F25FBC}"/>
            </a:ext>
          </a:extLst>
        </xdr:cNvPr>
        <xdr:cNvCxnSpPr/>
      </xdr:nvCxnSpPr>
      <xdr:spPr>
        <a:xfrm flipV="1">
          <a:off x="1279072" y="75883225"/>
          <a:ext cx="38100" cy="857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579120</xdr:colOff>
      <xdr:row>474</xdr:row>
      <xdr:rowOff>48003</xdr:rowOff>
    </xdr:from>
    <xdr:to>
      <xdr:col>8</xdr:col>
      <xdr:colOff>362933</xdr:colOff>
      <xdr:row>505</xdr:row>
      <xdr:rowOff>4793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C13C1F75-26F7-FC51-B455-C412F5C9F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88822" y="86945341"/>
          <a:ext cx="5626070" cy="54454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409575</xdr:colOff>
      <xdr:row>17</xdr:row>
      <xdr:rowOff>152400</xdr:rowOff>
    </xdr:from>
    <xdr:to>
      <xdr:col>12</xdr:col>
      <xdr:colOff>523875</xdr:colOff>
      <xdr:row>27</xdr:row>
      <xdr:rowOff>109345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EB618014-0633-45FC-B14B-1E76024BE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47625</xdr:colOff>
      <xdr:row>17</xdr:row>
      <xdr:rowOff>142876</xdr:rowOff>
    </xdr:from>
    <xdr:to>
      <xdr:col>7</xdr:col>
      <xdr:colOff>333375</xdr:colOff>
      <xdr:row>27</xdr:row>
      <xdr:rowOff>109346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BDA391AD-384D-4D65-8389-C6C786FB1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464820</xdr:colOff>
      <xdr:row>17</xdr:row>
      <xdr:rowOff>167640</xdr:rowOff>
    </xdr:from>
    <xdr:to>
      <xdr:col>18</xdr:col>
      <xdr:colOff>579120</xdr:colOff>
      <xdr:row>27</xdr:row>
      <xdr:rowOff>124585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A3CAAA0-0209-4721-8FDF-E04F51868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16</xdr:row>
      <xdr:rowOff>78105</xdr:rowOff>
    </xdr:from>
    <xdr:to>
      <xdr:col>16</xdr:col>
      <xdr:colOff>83820</xdr:colOff>
      <xdr:row>30</xdr:row>
      <xdr:rowOff>146685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BD6189-CD9A-4B27-ACA8-BE6AD3659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45720</xdr:colOff>
      <xdr:row>16</xdr:row>
      <xdr:rowOff>83820</xdr:rowOff>
    </xdr:from>
    <xdr:to>
      <xdr:col>24</xdr:col>
      <xdr:colOff>350520</xdr:colOff>
      <xdr:row>30</xdr:row>
      <xdr:rowOff>152400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85D8573-DD06-4B39-90C2-DB93440C8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169545</xdr:colOff>
      <xdr:row>32</xdr:row>
      <xdr:rowOff>53340</xdr:rowOff>
    </xdr:from>
    <xdr:to>
      <xdr:col>15</xdr:col>
      <xdr:colOff>474345</xdr:colOff>
      <xdr:row>46</xdr:row>
      <xdr:rowOff>129540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7DC419-FABD-4492-B886-275FA144C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481965</xdr:colOff>
      <xdr:row>32</xdr:row>
      <xdr:rowOff>91440</xdr:rowOff>
    </xdr:from>
    <xdr:to>
      <xdr:col>24</xdr:col>
      <xdr:colOff>177165</xdr:colOff>
      <xdr:row>46</xdr:row>
      <xdr:rowOff>167640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894E52EB-49EF-4FED-A5FA-BCB09F419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236220</xdr:colOff>
      <xdr:row>51</xdr:row>
      <xdr:rowOff>175260</xdr:rowOff>
    </xdr:from>
    <xdr:to>
      <xdr:col>15</xdr:col>
      <xdr:colOff>541020</xdr:colOff>
      <xdr:row>66</xdr:row>
      <xdr:rowOff>68580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993CB09B-F6BA-45E5-BBAA-7ABA8D0E7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68580</xdr:colOff>
      <xdr:row>51</xdr:row>
      <xdr:rowOff>167640</xdr:rowOff>
    </xdr:from>
    <xdr:to>
      <xdr:col>24</xdr:col>
      <xdr:colOff>373380</xdr:colOff>
      <xdr:row>66</xdr:row>
      <xdr:rowOff>60960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E294E289-BAA3-407F-B350-CAF6FEEA9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87630</xdr:colOff>
      <xdr:row>17</xdr:row>
      <xdr:rowOff>108585</xdr:rowOff>
    </xdr:from>
    <xdr:to>
      <xdr:col>16</xdr:col>
      <xdr:colOff>392430</xdr:colOff>
      <xdr:row>30</xdr:row>
      <xdr:rowOff>129540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ADD76028-A12F-4F3E-A8A4-E470221C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20939</xdr:colOff>
      <xdr:row>19</xdr:row>
      <xdr:rowOff>100965</xdr:rowOff>
    </xdr:from>
    <xdr:to>
      <xdr:col>10</xdr:col>
      <xdr:colOff>36195</xdr:colOff>
      <xdr:row>29</xdr:row>
      <xdr:rowOff>41910</xdr:rowOff>
    </xdr:to>
    <xdr:cxnSp macro="">
      <xdr:nvCxnSpPr>
        <xdr:cNvPr id="4" name="Rovná spojnica 3">
          <a:extLst>
            <a:ext uri="{FF2B5EF4-FFF2-40B4-BE49-F238E27FC236}">
              <a16:creationId xmlns:a16="http://schemas.microsoft.com/office/drawing/2014/main" id="{DA245B71-E091-40FA-B784-8AF3D7FC4D8D}"/>
            </a:ext>
          </a:extLst>
        </xdr:cNvPr>
        <xdr:cNvCxnSpPr/>
      </xdr:nvCxnSpPr>
      <xdr:spPr>
        <a:xfrm flipH="1">
          <a:off x="6116939" y="3575685"/>
          <a:ext cx="15256" cy="1769745"/>
        </a:xfrm>
        <a:prstGeom prst="line">
          <a:avLst/>
        </a:prstGeom>
        <a:ln w="28575">
          <a:prstDash val="sysDash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24</xdr:row>
      <xdr:rowOff>171450</xdr:rowOff>
    </xdr:from>
    <xdr:to>
      <xdr:col>8</xdr:col>
      <xdr:colOff>304800</xdr:colOff>
      <xdr:row>39</xdr:row>
      <xdr:rowOff>57150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A08F0ED4-AA2D-4025-AEC3-E95CA6BBC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525780</xdr:colOff>
      <xdr:row>24</xdr:row>
      <xdr:rowOff>179070</xdr:rowOff>
    </xdr:from>
    <xdr:to>
      <xdr:col>17</xdr:col>
      <xdr:colOff>60960</xdr:colOff>
      <xdr:row>39</xdr:row>
      <xdr:rowOff>179070</xdr:rowOff>
    </xdr:to>
    <mc:AlternateContent xmlns:mc="http://schemas.openxmlformats.org/markup-compatibility/2006">
      <mc:Choice xmlns:cx1="http://schemas.microsoft.com/office/drawing/2015/9/8/chartex" xmlns="" Requires="cx1">
        <xdr:graphicFrame macro="">
          <xdr:nvGraphicFramePr>
            <xdr:cNvPr id="9" name="Graf 8">
              <a:extLst>
                <a:ext uri="{FF2B5EF4-FFF2-40B4-BE49-F238E27FC236}">
                  <a16:creationId xmlns:a16="http://schemas.microsoft.com/office/drawing/2014/main" id="{323FC284-CDF3-5B1E-D8F0-72ED1637C4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3" name="Obdĺžnik 2"/>
            <xdr:cNvSpPr>
              <a:spLocks noTextEdit="1"/>
            </xdr:cNvSpPr>
          </xdr:nvSpPr>
          <xdr:spPr>
            <a:xfrm>
              <a:off x="6301740" y="4568190"/>
              <a:ext cx="4572000" cy="2743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k-SK" sz="1100"/>
                <a:t>Tento graf nie je k dispozícii vo vašej verzii programu Excel.
Ak tento tvar upravíte alebo ak zošit uložíte v inom formáte súboru, graf sa natrvalo poškodí.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2"/>
  <sheetViews>
    <sheetView tabSelected="1" zoomScale="115" zoomScaleNormal="115" workbookViewId="0">
      <selection activeCell="J2" sqref="J2"/>
    </sheetView>
  </sheetViews>
  <sheetFormatPr defaultRowHeight="15" x14ac:dyDescent="0.25"/>
  <cols>
    <col min="11" max="14" width="9.140625" style="1"/>
  </cols>
  <sheetData>
    <row r="1" spans="1:22" x14ac:dyDescent="0.25">
      <c r="A1" t="s">
        <v>66</v>
      </c>
      <c r="J1" t="s">
        <v>52</v>
      </c>
      <c r="U1" s="17" t="s">
        <v>0</v>
      </c>
      <c r="V1" s="21" t="s">
        <v>1</v>
      </c>
    </row>
    <row r="2" spans="1:22" x14ac:dyDescent="0.25">
      <c r="K2" s="1" t="s">
        <v>48</v>
      </c>
      <c r="L2" s="1" t="s">
        <v>49</v>
      </c>
      <c r="M2" s="1" t="s">
        <v>50</v>
      </c>
      <c r="N2" s="1" t="s">
        <v>51</v>
      </c>
      <c r="P2" s="1" t="s">
        <v>2</v>
      </c>
      <c r="Q2" s="1" t="s">
        <v>3</v>
      </c>
      <c r="R2" s="1" t="s">
        <v>29</v>
      </c>
      <c r="S2" s="1" t="s">
        <v>51</v>
      </c>
      <c r="U2" s="17">
        <f>(10+60)/2</f>
        <v>35</v>
      </c>
      <c r="V2" s="21">
        <f>(60-10)/2</f>
        <v>25</v>
      </c>
    </row>
    <row r="3" spans="1:22" x14ac:dyDescent="0.25">
      <c r="J3">
        <v>1</v>
      </c>
      <c r="K3" s="17">
        <v>10</v>
      </c>
      <c r="L3" s="9">
        <v>100</v>
      </c>
      <c r="M3" s="21">
        <v>400</v>
      </c>
      <c r="N3" s="1">
        <v>26</v>
      </c>
      <c r="P3" s="17">
        <f>(K3-$U$2)/$V$2</f>
        <v>-1</v>
      </c>
      <c r="Q3" s="9">
        <f>(L3-$U$3)/$V$3</f>
        <v>-1</v>
      </c>
      <c r="R3" s="21">
        <f>(M3-$U$4)/$V$4</f>
        <v>-1</v>
      </c>
      <c r="S3" s="8">
        <v>26</v>
      </c>
      <c r="U3" s="18">
        <f>(100+300)/2</f>
        <v>200</v>
      </c>
      <c r="V3" s="22">
        <f>(300-100)/2</f>
        <v>100</v>
      </c>
    </row>
    <row r="4" spans="1:22" x14ac:dyDescent="0.25">
      <c r="J4">
        <v>2</v>
      </c>
      <c r="K4" s="18">
        <v>10</v>
      </c>
      <c r="L4" s="1">
        <v>100</v>
      </c>
      <c r="M4" s="22">
        <v>800</v>
      </c>
      <c r="N4" s="1">
        <v>24.6</v>
      </c>
      <c r="P4" s="18">
        <f t="shared" ref="P4:P18" si="0">(K4-$U$2)/$V$2</f>
        <v>-1</v>
      </c>
      <c r="Q4" s="1">
        <f t="shared" ref="Q4:Q18" si="1">(L4-$U$3)/$V$3</f>
        <v>-1</v>
      </c>
      <c r="R4" s="22">
        <f t="shared" ref="R4:R18" si="2">(M4-$U$4)/$V$4</f>
        <v>1</v>
      </c>
      <c r="S4" s="8">
        <v>24.6</v>
      </c>
      <c r="U4" s="19">
        <f>(400+800)/2</f>
        <v>600</v>
      </c>
      <c r="V4" s="23">
        <f>(800-400)/2</f>
        <v>200</v>
      </c>
    </row>
    <row r="5" spans="1:22" x14ac:dyDescent="0.25">
      <c r="J5">
        <v>3</v>
      </c>
      <c r="K5" s="18">
        <v>10</v>
      </c>
      <c r="L5" s="1">
        <v>300</v>
      </c>
      <c r="M5" s="22">
        <v>400</v>
      </c>
      <c r="N5" s="1">
        <v>19</v>
      </c>
      <c r="P5" s="18">
        <f t="shared" si="0"/>
        <v>-1</v>
      </c>
      <c r="Q5" s="1">
        <f t="shared" si="1"/>
        <v>1</v>
      </c>
      <c r="R5" s="22">
        <f t="shared" si="2"/>
        <v>-1</v>
      </c>
      <c r="S5" s="8">
        <v>19</v>
      </c>
    </row>
    <row r="6" spans="1:22" x14ac:dyDescent="0.25">
      <c r="J6">
        <v>4</v>
      </c>
      <c r="K6" s="18">
        <v>10</v>
      </c>
      <c r="L6" s="1">
        <v>300</v>
      </c>
      <c r="M6" s="22">
        <v>800</v>
      </c>
      <c r="N6" s="1">
        <v>21.4</v>
      </c>
      <c r="P6" s="18">
        <f t="shared" si="0"/>
        <v>-1</v>
      </c>
      <c r="Q6" s="1">
        <f t="shared" si="1"/>
        <v>1</v>
      </c>
      <c r="R6" s="22">
        <f t="shared" si="2"/>
        <v>1</v>
      </c>
      <c r="S6" s="8">
        <v>21.4</v>
      </c>
    </row>
    <row r="7" spans="1:22" x14ac:dyDescent="0.25">
      <c r="J7">
        <v>5</v>
      </c>
      <c r="K7" s="18">
        <v>60</v>
      </c>
      <c r="L7" s="1">
        <v>100</v>
      </c>
      <c r="M7" s="22">
        <v>400</v>
      </c>
      <c r="N7" s="1">
        <v>49</v>
      </c>
      <c r="P7" s="18">
        <f>(K7-$U$2)/$V$2</f>
        <v>1</v>
      </c>
      <c r="Q7" s="1">
        <f>(L7-$U$3)/$V$3</f>
        <v>-1</v>
      </c>
      <c r="R7" s="22">
        <f t="shared" si="2"/>
        <v>-1</v>
      </c>
      <c r="S7" s="8">
        <v>49</v>
      </c>
    </row>
    <row r="8" spans="1:22" x14ac:dyDescent="0.25">
      <c r="J8">
        <v>6</v>
      </c>
      <c r="K8" s="18">
        <v>60</v>
      </c>
      <c r="L8" s="1">
        <v>100</v>
      </c>
      <c r="M8" s="22">
        <v>800</v>
      </c>
      <c r="N8" s="1">
        <v>71.3</v>
      </c>
      <c r="P8" s="18">
        <f t="shared" si="0"/>
        <v>1</v>
      </c>
      <c r="Q8" s="1">
        <f t="shared" si="1"/>
        <v>-1</v>
      </c>
      <c r="R8" s="22">
        <f t="shared" si="2"/>
        <v>1</v>
      </c>
      <c r="S8" s="8">
        <v>71.3</v>
      </c>
    </row>
    <row r="9" spans="1:22" x14ac:dyDescent="0.25">
      <c r="J9">
        <v>7</v>
      </c>
      <c r="K9" s="18">
        <v>60</v>
      </c>
      <c r="L9" s="1">
        <v>300</v>
      </c>
      <c r="M9" s="22">
        <v>400</v>
      </c>
      <c r="N9" s="1">
        <v>31</v>
      </c>
      <c r="P9" s="18">
        <f t="shared" si="0"/>
        <v>1</v>
      </c>
      <c r="Q9" s="1">
        <f t="shared" si="1"/>
        <v>1</v>
      </c>
      <c r="R9" s="22">
        <f t="shared" si="2"/>
        <v>-1</v>
      </c>
      <c r="S9" s="8">
        <v>31</v>
      </c>
    </row>
    <row r="10" spans="1:22" x14ac:dyDescent="0.25">
      <c r="J10">
        <v>8</v>
      </c>
      <c r="K10" s="18">
        <v>60</v>
      </c>
      <c r="L10" s="1">
        <v>300</v>
      </c>
      <c r="M10" s="22">
        <v>800</v>
      </c>
      <c r="N10" s="1">
        <v>44.1</v>
      </c>
      <c r="P10" s="18">
        <f t="shared" si="0"/>
        <v>1</v>
      </c>
      <c r="Q10" s="1">
        <f t="shared" si="1"/>
        <v>1</v>
      </c>
      <c r="R10" s="22">
        <f t="shared" si="2"/>
        <v>1</v>
      </c>
      <c r="S10" s="8">
        <v>44.1</v>
      </c>
    </row>
    <row r="11" spans="1:22" x14ac:dyDescent="0.25">
      <c r="J11">
        <v>9</v>
      </c>
      <c r="K11" s="18">
        <v>10</v>
      </c>
      <c r="L11" s="1">
        <v>100</v>
      </c>
      <c r="M11" s="22">
        <v>800</v>
      </c>
      <c r="N11" s="1">
        <v>25.2</v>
      </c>
      <c r="P11" s="18">
        <f t="shared" si="0"/>
        <v>-1</v>
      </c>
      <c r="Q11" s="1">
        <f t="shared" si="1"/>
        <v>-1</v>
      </c>
      <c r="R11" s="22">
        <f>(M11-$U$4)/$V$4</f>
        <v>1</v>
      </c>
      <c r="S11" s="8">
        <v>25.2</v>
      </c>
    </row>
    <row r="12" spans="1:22" x14ac:dyDescent="0.25">
      <c r="J12">
        <v>10</v>
      </c>
      <c r="K12" s="18">
        <v>60</v>
      </c>
      <c r="L12" s="1">
        <v>100</v>
      </c>
      <c r="M12" s="22">
        <v>800</v>
      </c>
      <c r="N12" s="1">
        <v>72.099999999999994</v>
      </c>
      <c r="P12" s="18">
        <f t="shared" si="0"/>
        <v>1</v>
      </c>
      <c r="Q12" s="1">
        <f t="shared" si="1"/>
        <v>-1</v>
      </c>
      <c r="R12" s="22">
        <f t="shared" si="2"/>
        <v>1</v>
      </c>
      <c r="S12" s="8">
        <v>72.099999999999994</v>
      </c>
    </row>
    <row r="13" spans="1:22" x14ac:dyDescent="0.25">
      <c r="J13">
        <v>11</v>
      </c>
      <c r="K13" s="18">
        <v>10</v>
      </c>
      <c r="L13" s="1">
        <v>100</v>
      </c>
      <c r="M13" s="22">
        <v>400</v>
      </c>
      <c r="N13" s="1">
        <v>23.6</v>
      </c>
      <c r="P13" s="18">
        <f t="shared" si="0"/>
        <v>-1</v>
      </c>
      <c r="Q13" s="1">
        <f t="shared" si="1"/>
        <v>-1</v>
      </c>
      <c r="R13" s="22">
        <f t="shared" si="2"/>
        <v>-1</v>
      </c>
      <c r="S13" s="8">
        <v>23.6</v>
      </c>
    </row>
    <row r="14" spans="1:22" x14ac:dyDescent="0.25">
      <c r="J14">
        <v>12</v>
      </c>
      <c r="K14" s="18">
        <v>10</v>
      </c>
      <c r="L14" s="1">
        <v>300</v>
      </c>
      <c r="M14" s="22">
        <v>400</v>
      </c>
      <c r="N14" s="1">
        <v>18.600000000000001</v>
      </c>
      <c r="P14" s="18">
        <f t="shared" si="0"/>
        <v>-1</v>
      </c>
      <c r="Q14" s="1">
        <f t="shared" si="1"/>
        <v>1</v>
      </c>
      <c r="R14" s="22">
        <f t="shared" si="2"/>
        <v>-1</v>
      </c>
      <c r="S14" s="8">
        <v>18.600000000000001</v>
      </c>
    </row>
    <row r="15" spans="1:22" x14ac:dyDescent="0.25">
      <c r="J15">
        <v>13</v>
      </c>
      <c r="K15" s="18">
        <v>60</v>
      </c>
      <c r="L15" s="1">
        <v>300</v>
      </c>
      <c r="M15" s="22">
        <v>400</v>
      </c>
      <c r="N15" s="1">
        <v>28.8</v>
      </c>
      <c r="P15" s="18">
        <f t="shared" si="0"/>
        <v>1</v>
      </c>
      <c r="Q15" s="1">
        <f t="shared" si="1"/>
        <v>1</v>
      </c>
      <c r="R15" s="22">
        <f t="shared" si="2"/>
        <v>-1</v>
      </c>
      <c r="S15" s="8">
        <v>28.8</v>
      </c>
    </row>
    <row r="16" spans="1:22" x14ac:dyDescent="0.25">
      <c r="J16">
        <v>14</v>
      </c>
      <c r="K16" s="18">
        <v>60</v>
      </c>
      <c r="L16" s="1">
        <v>100</v>
      </c>
      <c r="M16" s="22">
        <v>400</v>
      </c>
      <c r="N16" s="1">
        <v>47.8</v>
      </c>
      <c r="P16" s="18">
        <f t="shared" si="0"/>
        <v>1</v>
      </c>
      <c r="Q16" s="1">
        <f t="shared" si="1"/>
        <v>-1</v>
      </c>
      <c r="R16" s="22">
        <f t="shared" si="2"/>
        <v>-1</v>
      </c>
      <c r="S16" s="8">
        <v>47.8</v>
      </c>
    </row>
    <row r="17" spans="10:19" x14ac:dyDescent="0.25">
      <c r="J17">
        <v>15</v>
      </c>
      <c r="K17" s="18">
        <v>10</v>
      </c>
      <c r="L17" s="1">
        <v>300</v>
      </c>
      <c r="M17" s="22">
        <v>800</v>
      </c>
      <c r="N17" s="1">
        <v>21</v>
      </c>
      <c r="P17" s="18">
        <f t="shared" si="0"/>
        <v>-1</v>
      </c>
      <c r="Q17" s="1">
        <f t="shared" si="1"/>
        <v>1</v>
      </c>
      <c r="R17" s="22">
        <f t="shared" si="2"/>
        <v>1</v>
      </c>
      <c r="S17" s="8">
        <v>21</v>
      </c>
    </row>
    <row r="18" spans="10:19" x14ac:dyDescent="0.25">
      <c r="J18">
        <v>16</v>
      </c>
      <c r="K18" s="19">
        <v>60</v>
      </c>
      <c r="L18" s="20">
        <v>300</v>
      </c>
      <c r="M18" s="23">
        <v>800</v>
      </c>
      <c r="N18" s="1">
        <v>44.5</v>
      </c>
      <c r="P18" s="19">
        <f t="shared" si="0"/>
        <v>1</v>
      </c>
      <c r="Q18" s="20">
        <f t="shared" si="1"/>
        <v>1</v>
      </c>
      <c r="R18" s="23">
        <f t="shared" si="2"/>
        <v>1</v>
      </c>
      <c r="S18" s="8">
        <v>44.5</v>
      </c>
    </row>
    <row r="19" spans="10:19" x14ac:dyDescent="0.25">
      <c r="S19">
        <f>AVERAGE(S3:S18)</f>
        <v>35.500000000000007</v>
      </c>
    </row>
    <row r="21" spans="10:19" x14ac:dyDescent="0.25">
      <c r="K21"/>
      <c r="L21"/>
      <c r="M21"/>
      <c r="N21"/>
    </row>
    <row r="22" spans="10:19" x14ac:dyDescent="0.25">
      <c r="K22"/>
      <c r="L22"/>
      <c r="M22"/>
      <c r="N22"/>
    </row>
    <row r="23" spans="10:19" x14ac:dyDescent="0.25">
      <c r="K23"/>
      <c r="L23"/>
      <c r="M23"/>
      <c r="N23"/>
    </row>
    <row r="24" spans="10:19" x14ac:dyDescent="0.25">
      <c r="K24"/>
      <c r="L24"/>
      <c r="M24"/>
      <c r="N24"/>
    </row>
    <row r="25" spans="10:19" x14ac:dyDescent="0.25">
      <c r="K25"/>
      <c r="L25"/>
      <c r="M25"/>
      <c r="N25"/>
    </row>
    <row r="26" spans="10:19" x14ac:dyDescent="0.25">
      <c r="K26"/>
      <c r="L26"/>
      <c r="M26"/>
      <c r="N26"/>
    </row>
    <row r="27" spans="10:19" x14ac:dyDescent="0.25">
      <c r="K27"/>
      <c r="L27"/>
      <c r="M27"/>
      <c r="N27"/>
    </row>
    <row r="28" spans="10:19" x14ac:dyDescent="0.25">
      <c r="K28"/>
      <c r="L28"/>
      <c r="M28"/>
      <c r="N28"/>
    </row>
    <row r="29" spans="10:19" x14ac:dyDescent="0.25">
      <c r="K29"/>
      <c r="L29"/>
      <c r="M29"/>
      <c r="N29"/>
    </row>
    <row r="30" spans="10:19" x14ac:dyDescent="0.25">
      <c r="K30"/>
      <c r="L30"/>
      <c r="M30"/>
      <c r="N30"/>
    </row>
    <row r="31" spans="10:19" x14ac:dyDescent="0.25">
      <c r="K31"/>
      <c r="L31"/>
      <c r="M31"/>
      <c r="N31"/>
    </row>
    <row r="32" spans="10:19" x14ac:dyDescent="0.25">
      <c r="K32"/>
      <c r="L32"/>
      <c r="M32"/>
      <c r="N32"/>
    </row>
  </sheetData>
  <pageMargins left="0.25" right="0.25" top="0.75" bottom="0.75" header="0.3" footer="0.3"/>
  <pageSetup paperSize="9" scale="71" fitToHeight="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O38"/>
  <sheetViews>
    <sheetView topLeftCell="A7" zoomScale="85" zoomScaleNormal="85" workbookViewId="0">
      <selection activeCell="T36" sqref="T36"/>
    </sheetView>
  </sheetViews>
  <sheetFormatPr defaultRowHeight="15" x14ac:dyDescent="0.25"/>
  <sheetData>
    <row r="1" spans="1:36" x14ac:dyDescent="0.25">
      <c r="C1" t="s">
        <v>2</v>
      </c>
      <c r="D1" t="s">
        <v>3</v>
      </c>
      <c r="E1" t="s">
        <v>29</v>
      </c>
      <c r="F1" t="s">
        <v>4</v>
      </c>
      <c r="G1" t="s">
        <v>30</v>
      </c>
      <c r="H1" t="s">
        <v>31</v>
      </c>
      <c r="I1" t="s">
        <v>46</v>
      </c>
      <c r="AA1" s="1" t="s">
        <v>2</v>
      </c>
      <c r="AB1" s="1" t="s">
        <v>3</v>
      </c>
      <c r="AC1" s="1" t="s">
        <v>29</v>
      </c>
      <c r="AD1" t="s">
        <v>4</v>
      </c>
      <c r="AE1" t="s">
        <v>30</v>
      </c>
      <c r="AF1" t="s">
        <v>31</v>
      </c>
      <c r="AG1" t="s">
        <v>46</v>
      </c>
    </row>
    <row r="2" spans="1:36" x14ac:dyDescent="0.25">
      <c r="B2" t="s">
        <v>53</v>
      </c>
      <c r="C2" t="s">
        <v>54</v>
      </c>
      <c r="D2" t="s">
        <v>55</v>
      </c>
      <c r="E2" t="s">
        <v>56</v>
      </c>
      <c r="F2" t="s">
        <v>57</v>
      </c>
      <c r="G2" t="s">
        <v>58</v>
      </c>
      <c r="H2" t="s">
        <v>59</v>
      </c>
      <c r="I2" t="s">
        <v>60</v>
      </c>
      <c r="Z2" t="s">
        <v>53</v>
      </c>
      <c r="AA2" s="1" t="s">
        <v>54</v>
      </c>
      <c r="AB2" s="1" t="s">
        <v>55</v>
      </c>
      <c r="AC2" s="1" t="s">
        <v>56</v>
      </c>
      <c r="AD2" t="s">
        <v>57</v>
      </c>
      <c r="AE2" t="s">
        <v>58</v>
      </c>
      <c r="AF2" t="s">
        <v>59</v>
      </c>
      <c r="AG2" t="s">
        <v>60</v>
      </c>
      <c r="AI2" s="1" t="s">
        <v>51</v>
      </c>
    </row>
    <row r="3" spans="1:36" x14ac:dyDescent="0.25">
      <c r="A3" s="3" t="s">
        <v>35</v>
      </c>
      <c r="B3" s="40">
        <v>1</v>
      </c>
      <c r="C3" s="38">
        <v>-1</v>
      </c>
      <c r="D3" s="38">
        <v>-1</v>
      </c>
      <c r="E3" s="9">
        <v>-1</v>
      </c>
      <c r="F3" s="9">
        <f>C3*D3</f>
        <v>1</v>
      </c>
      <c r="G3" s="9">
        <f>C3*E3</f>
        <v>1</v>
      </c>
      <c r="H3" s="9">
        <f>D3*E3</f>
        <v>1</v>
      </c>
      <c r="I3" s="21">
        <f>C3*D3*E3</f>
        <v>-1</v>
      </c>
      <c r="P3" s="3" t="s">
        <v>36</v>
      </c>
      <c r="Q3" s="4">
        <v>23.6</v>
      </c>
      <c r="R3">
        <f>AVERAGE(Q3:Q4)</f>
        <v>24.8</v>
      </c>
      <c r="V3" s="43">
        <v>-1</v>
      </c>
      <c r="W3" s="44">
        <v>-1</v>
      </c>
      <c r="X3" s="32">
        <v>-1</v>
      </c>
      <c r="Z3" s="50">
        <v>1</v>
      </c>
      <c r="AA3" s="1">
        <v>-1</v>
      </c>
      <c r="AB3" s="1">
        <v>-1</v>
      </c>
      <c r="AC3" s="1">
        <v>1</v>
      </c>
      <c r="AD3" s="1">
        <f>AA3*AB3</f>
        <v>1</v>
      </c>
      <c r="AE3" s="1">
        <f>AA3*AC3</f>
        <v>-1</v>
      </c>
      <c r="AF3" s="1">
        <f>AB3*AC3</f>
        <v>-1</v>
      </c>
      <c r="AG3" s="1">
        <f>AA3*AB3*AC3</f>
        <v>1</v>
      </c>
      <c r="AI3" s="1">
        <v>24.6</v>
      </c>
      <c r="AJ3">
        <v>24.6</v>
      </c>
    </row>
    <row r="4" spans="1:36" x14ac:dyDescent="0.25">
      <c r="B4" s="41">
        <v>1</v>
      </c>
      <c r="C4" s="39">
        <v>-1</v>
      </c>
      <c r="D4" s="39">
        <v>-1</v>
      </c>
      <c r="E4" s="1">
        <v>-1</v>
      </c>
      <c r="F4" s="1">
        <f t="shared" ref="F4:F18" si="0">C4*D4</f>
        <v>1</v>
      </c>
      <c r="G4" s="1">
        <f t="shared" ref="G4:G18" si="1">C4*E4</f>
        <v>1</v>
      </c>
      <c r="H4" s="1">
        <f t="shared" ref="H4:H18" si="2">D4*E4</f>
        <v>1</v>
      </c>
      <c r="I4" s="22">
        <f t="shared" ref="I4:I18" si="3">C4*D4*E4</f>
        <v>-1</v>
      </c>
      <c r="Q4" s="5">
        <v>26</v>
      </c>
      <c r="V4" s="45">
        <v>1</v>
      </c>
      <c r="W4" s="46">
        <v>-1</v>
      </c>
      <c r="X4" s="34">
        <v>-1</v>
      </c>
      <c r="Z4" s="50">
        <v>1</v>
      </c>
      <c r="AA4" s="1">
        <v>-1</v>
      </c>
      <c r="AB4" s="1">
        <v>-1</v>
      </c>
      <c r="AC4" s="1">
        <v>-1</v>
      </c>
      <c r="AD4" s="1">
        <f t="shared" ref="AD4:AD18" si="4">AA4*AB4</f>
        <v>1</v>
      </c>
      <c r="AE4" s="1">
        <f t="shared" ref="AE4:AE18" si="5">AA4*AC4</f>
        <v>1</v>
      </c>
      <c r="AF4" s="1">
        <f t="shared" ref="AF4:AF18" si="6">AB4*AC4</f>
        <v>1</v>
      </c>
      <c r="AG4" s="1">
        <f t="shared" ref="AG4:AG18" si="7">AA4*AB4*AC4</f>
        <v>-1</v>
      </c>
      <c r="AI4" s="1">
        <v>26</v>
      </c>
      <c r="AJ4">
        <v>26</v>
      </c>
    </row>
    <row r="5" spans="1:36" x14ac:dyDescent="0.25">
      <c r="B5" s="41">
        <v>1</v>
      </c>
      <c r="C5" s="39">
        <v>1</v>
      </c>
      <c r="D5" s="39">
        <v>-1</v>
      </c>
      <c r="E5" s="1">
        <v>-1</v>
      </c>
      <c r="F5" s="1">
        <f t="shared" si="0"/>
        <v>-1</v>
      </c>
      <c r="G5" s="1">
        <f t="shared" si="1"/>
        <v>-1</v>
      </c>
      <c r="H5" s="1">
        <f t="shared" si="2"/>
        <v>1</v>
      </c>
      <c r="I5" s="22">
        <f t="shared" si="3"/>
        <v>1</v>
      </c>
      <c r="Q5" s="5">
        <v>49</v>
      </c>
      <c r="V5" s="45">
        <v>-1</v>
      </c>
      <c r="W5" s="46">
        <v>1</v>
      </c>
      <c r="X5" s="34">
        <v>-1</v>
      </c>
      <c r="Z5" s="50">
        <v>1</v>
      </c>
      <c r="AA5" s="1">
        <v>-1</v>
      </c>
      <c r="AB5" s="1">
        <v>1</v>
      </c>
      <c r="AC5" s="1">
        <v>-1</v>
      </c>
      <c r="AD5" s="1">
        <f t="shared" si="4"/>
        <v>-1</v>
      </c>
      <c r="AE5" s="1">
        <f t="shared" si="5"/>
        <v>1</v>
      </c>
      <c r="AF5" s="1">
        <f t="shared" si="6"/>
        <v>-1</v>
      </c>
      <c r="AG5" s="1">
        <f t="shared" si="7"/>
        <v>1</v>
      </c>
      <c r="AI5" s="1">
        <v>19</v>
      </c>
      <c r="AJ5">
        <v>19</v>
      </c>
    </row>
    <row r="6" spans="1:36" x14ac:dyDescent="0.25">
      <c r="B6" s="41">
        <v>1</v>
      </c>
      <c r="C6" s="39">
        <v>1</v>
      </c>
      <c r="D6" s="39">
        <v>-1</v>
      </c>
      <c r="E6" s="1">
        <v>-1</v>
      </c>
      <c r="F6" s="1">
        <f t="shared" si="0"/>
        <v>-1</v>
      </c>
      <c r="G6" s="1">
        <f t="shared" si="1"/>
        <v>-1</v>
      </c>
      <c r="H6" s="1">
        <f t="shared" si="2"/>
        <v>1</v>
      </c>
      <c r="I6" s="22">
        <f t="shared" si="3"/>
        <v>1</v>
      </c>
      <c r="Q6" s="5">
        <v>47.8</v>
      </c>
      <c r="V6" s="45">
        <v>1</v>
      </c>
      <c r="W6" s="46">
        <v>1</v>
      </c>
      <c r="X6" s="34">
        <v>-1</v>
      </c>
      <c r="Z6" s="50">
        <v>1</v>
      </c>
      <c r="AA6" s="1">
        <v>1</v>
      </c>
      <c r="AB6" s="1">
        <v>1</v>
      </c>
      <c r="AC6" s="1">
        <v>-1</v>
      </c>
      <c r="AD6" s="1">
        <f t="shared" si="4"/>
        <v>1</v>
      </c>
      <c r="AE6" s="1">
        <f t="shared" si="5"/>
        <v>-1</v>
      </c>
      <c r="AF6" s="1">
        <f t="shared" si="6"/>
        <v>-1</v>
      </c>
      <c r="AG6" s="1">
        <f t="shared" si="7"/>
        <v>-1</v>
      </c>
      <c r="AI6" s="1">
        <v>31</v>
      </c>
      <c r="AJ6">
        <v>31</v>
      </c>
    </row>
    <row r="7" spans="1:36" x14ac:dyDescent="0.25">
      <c r="B7" s="41">
        <v>1</v>
      </c>
      <c r="C7" s="39">
        <v>-1</v>
      </c>
      <c r="D7" s="39">
        <v>1</v>
      </c>
      <c r="E7" s="1">
        <v>-1</v>
      </c>
      <c r="F7" s="1">
        <f t="shared" si="0"/>
        <v>-1</v>
      </c>
      <c r="G7" s="1">
        <f t="shared" si="1"/>
        <v>1</v>
      </c>
      <c r="H7" s="1">
        <f t="shared" si="2"/>
        <v>-1</v>
      </c>
      <c r="I7" s="22">
        <f t="shared" si="3"/>
        <v>1</v>
      </c>
      <c r="Q7" s="5">
        <v>18.600000000000001</v>
      </c>
      <c r="V7" s="33">
        <v>-1</v>
      </c>
      <c r="W7">
        <v>-1</v>
      </c>
      <c r="X7" s="34">
        <v>1</v>
      </c>
      <c r="Z7" s="50">
        <v>1</v>
      </c>
      <c r="AA7" s="1">
        <v>1</v>
      </c>
      <c r="AB7" s="1">
        <v>-1</v>
      </c>
      <c r="AC7" s="1">
        <v>-1</v>
      </c>
      <c r="AD7" s="1">
        <f t="shared" si="4"/>
        <v>-1</v>
      </c>
      <c r="AE7" s="1">
        <f t="shared" si="5"/>
        <v>-1</v>
      </c>
      <c r="AF7" s="1">
        <f t="shared" si="6"/>
        <v>1</v>
      </c>
      <c r="AG7" s="1">
        <f t="shared" si="7"/>
        <v>1</v>
      </c>
      <c r="AI7" s="1">
        <v>49</v>
      </c>
      <c r="AJ7">
        <v>49</v>
      </c>
    </row>
    <row r="8" spans="1:36" x14ac:dyDescent="0.25">
      <c r="B8" s="41">
        <v>1</v>
      </c>
      <c r="C8" s="39">
        <v>-1</v>
      </c>
      <c r="D8" s="39">
        <v>1</v>
      </c>
      <c r="E8" s="1">
        <v>-1</v>
      </c>
      <c r="F8" s="1">
        <f t="shared" si="0"/>
        <v>-1</v>
      </c>
      <c r="G8" s="1">
        <f t="shared" si="1"/>
        <v>1</v>
      </c>
      <c r="H8" s="1">
        <f t="shared" si="2"/>
        <v>-1</v>
      </c>
      <c r="I8" s="22">
        <f t="shared" si="3"/>
        <v>1</v>
      </c>
      <c r="Q8" s="5">
        <v>19</v>
      </c>
      <c r="V8" s="33">
        <v>1</v>
      </c>
      <c r="W8">
        <v>-1</v>
      </c>
      <c r="X8" s="34">
        <v>1</v>
      </c>
      <c r="Z8" s="50">
        <v>1</v>
      </c>
      <c r="AA8" s="1">
        <v>-1</v>
      </c>
      <c r="AB8" s="1">
        <v>1</v>
      </c>
      <c r="AC8" s="1">
        <v>-1</v>
      </c>
      <c r="AD8" s="1">
        <f t="shared" si="4"/>
        <v>-1</v>
      </c>
      <c r="AE8" s="1">
        <f t="shared" si="5"/>
        <v>1</v>
      </c>
      <c r="AF8" s="1">
        <f t="shared" si="6"/>
        <v>-1</v>
      </c>
      <c r="AG8" s="1">
        <f t="shared" si="7"/>
        <v>1</v>
      </c>
      <c r="AI8" s="1">
        <v>18.600000000000001</v>
      </c>
      <c r="AJ8">
        <v>18.600000000000001</v>
      </c>
    </row>
    <row r="9" spans="1:36" x14ac:dyDescent="0.25">
      <c r="B9" s="41">
        <v>1</v>
      </c>
      <c r="C9" s="39">
        <v>1</v>
      </c>
      <c r="D9" s="39">
        <v>1</v>
      </c>
      <c r="E9" s="1">
        <v>-1</v>
      </c>
      <c r="F9" s="1">
        <f t="shared" si="0"/>
        <v>1</v>
      </c>
      <c r="G9" s="1">
        <f t="shared" si="1"/>
        <v>-1</v>
      </c>
      <c r="H9" s="1">
        <f t="shared" si="2"/>
        <v>-1</v>
      </c>
      <c r="I9" s="22">
        <f t="shared" si="3"/>
        <v>-1</v>
      </c>
      <c r="Q9" s="5">
        <v>31</v>
      </c>
      <c r="V9" s="33">
        <v>-1</v>
      </c>
      <c r="W9">
        <v>1</v>
      </c>
      <c r="X9" s="34">
        <v>1</v>
      </c>
      <c r="Z9" s="50">
        <v>1</v>
      </c>
      <c r="AA9" s="1">
        <v>1</v>
      </c>
      <c r="AB9" s="1">
        <v>-1</v>
      </c>
      <c r="AC9" s="1">
        <v>-1</v>
      </c>
      <c r="AD9" s="1">
        <f t="shared" si="4"/>
        <v>-1</v>
      </c>
      <c r="AE9" s="1">
        <f t="shared" si="5"/>
        <v>-1</v>
      </c>
      <c r="AF9" s="1">
        <f t="shared" si="6"/>
        <v>1</v>
      </c>
      <c r="AG9" s="1">
        <f t="shared" si="7"/>
        <v>1</v>
      </c>
      <c r="AI9" s="1">
        <v>47.8</v>
      </c>
      <c r="AJ9">
        <v>47.8</v>
      </c>
    </row>
    <row r="10" spans="1:36" x14ac:dyDescent="0.25">
      <c r="B10" s="41">
        <v>1</v>
      </c>
      <c r="C10" s="39">
        <v>1</v>
      </c>
      <c r="D10" s="39">
        <v>1</v>
      </c>
      <c r="E10" s="1">
        <v>-1</v>
      </c>
      <c r="F10" s="1">
        <f t="shared" si="0"/>
        <v>1</v>
      </c>
      <c r="G10" s="1">
        <f t="shared" si="1"/>
        <v>-1</v>
      </c>
      <c r="H10" s="1">
        <f t="shared" si="2"/>
        <v>-1</v>
      </c>
      <c r="I10" s="22">
        <f t="shared" si="3"/>
        <v>-1</v>
      </c>
      <c r="Q10" s="5">
        <v>28.8</v>
      </c>
      <c r="V10" s="35">
        <v>1</v>
      </c>
      <c r="W10" s="36">
        <v>1</v>
      </c>
      <c r="X10" s="37">
        <v>1</v>
      </c>
      <c r="Z10" s="50">
        <v>1</v>
      </c>
      <c r="AA10" s="1">
        <v>-1</v>
      </c>
      <c r="AB10" s="1">
        <v>-1</v>
      </c>
      <c r="AC10" s="1">
        <v>-1</v>
      </c>
      <c r="AD10" s="1">
        <f t="shared" si="4"/>
        <v>1</v>
      </c>
      <c r="AE10" s="1">
        <f t="shared" si="5"/>
        <v>1</v>
      </c>
      <c r="AF10" s="1">
        <f t="shared" si="6"/>
        <v>1</v>
      </c>
      <c r="AG10" s="1">
        <f t="shared" si="7"/>
        <v>-1</v>
      </c>
      <c r="AI10" s="1">
        <v>23.6</v>
      </c>
      <c r="AJ10">
        <v>23.6</v>
      </c>
    </row>
    <row r="11" spans="1:36" x14ac:dyDescent="0.25">
      <c r="B11" s="41">
        <v>1</v>
      </c>
      <c r="C11" s="1">
        <v>-1</v>
      </c>
      <c r="D11" s="1">
        <v>-1</v>
      </c>
      <c r="E11" s="1">
        <v>1</v>
      </c>
      <c r="F11" s="1">
        <f t="shared" si="0"/>
        <v>1</v>
      </c>
      <c r="G11" s="1">
        <f t="shared" si="1"/>
        <v>-1</v>
      </c>
      <c r="H11" s="1">
        <f t="shared" si="2"/>
        <v>-1</v>
      </c>
      <c r="I11" s="22">
        <f t="shared" si="3"/>
        <v>1</v>
      </c>
      <c r="Q11" s="5">
        <v>24.6</v>
      </c>
      <c r="V11" s="31">
        <v>-1</v>
      </c>
      <c r="W11" s="16">
        <v>-1</v>
      </c>
      <c r="X11" s="32">
        <v>-1</v>
      </c>
      <c r="Z11" s="50">
        <v>1</v>
      </c>
      <c r="AA11" s="1">
        <v>1</v>
      </c>
      <c r="AB11" s="1">
        <v>1</v>
      </c>
      <c r="AC11" s="1">
        <v>-1</v>
      </c>
      <c r="AD11" s="1">
        <f t="shared" si="4"/>
        <v>1</v>
      </c>
      <c r="AE11" s="1">
        <f t="shared" si="5"/>
        <v>-1</v>
      </c>
      <c r="AF11" s="1">
        <f t="shared" si="6"/>
        <v>-1</v>
      </c>
      <c r="AG11" s="1">
        <f t="shared" si="7"/>
        <v>-1</v>
      </c>
      <c r="AI11" s="1">
        <v>28.8</v>
      </c>
      <c r="AJ11">
        <v>28.8</v>
      </c>
    </row>
    <row r="12" spans="1:36" x14ac:dyDescent="0.25">
      <c r="B12" s="41">
        <v>1</v>
      </c>
      <c r="C12" s="1">
        <v>-1</v>
      </c>
      <c r="D12" s="1">
        <v>-1</v>
      </c>
      <c r="E12" s="1">
        <v>1</v>
      </c>
      <c r="F12" s="1">
        <f t="shared" si="0"/>
        <v>1</v>
      </c>
      <c r="G12" s="1">
        <f t="shared" si="1"/>
        <v>-1</v>
      </c>
      <c r="H12" s="1">
        <f t="shared" si="2"/>
        <v>-1</v>
      </c>
      <c r="I12" s="22">
        <f t="shared" si="3"/>
        <v>1</v>
      </c>
      <c r="Q12" s="5">
        <v>25.2</v>
      </c>
      <c r="V12" s="33">
        <v>1</v>
      </c>
      <c r="W12">
        <v>-1</v>
      </c>
      <c r="X12" s="34">
        <v>-1</v>
      </c>
      <c r="Z12" s="50">
        <v>1</v>
      </c>
      <c r="AA12" s="1">
        <v>-1</v>
      </c>
      <c r="AB12" s="1">
        <v>-1</v>
      </c>
      <c r="AC12" s="1">
        <v>1</v>
      </c>
      <c r="AD12" s="1">
        <f t="shared" si="4"/>
        <v>1</v>
      </c>
      <c r="AE12" s="1">
        <f t="shared" si="5"/>
        <v>-1</v>
      </c>
      <c r="AF12" s="1">
        <f t="shared" si="6"/>
        <v>-1</v>
      </c>
      <c r="AG12" s="1">
        <f t="shared" si="7"/>
        <v>1</v>
      </c>
      <c r="AI12" s="1">
        <v>25.2</v>
      </c>
      <c r="AJ12">
        <v>25.2</v>
      </c>
    </row>
    <row r="13" spans="1:36" x14ac:dyDescent="0.25">
      <c r="B13" s="41">
        <v>1</v>
      </c>
      <c r="C13" s="1">
        <v>1</v>
      </c>
      <c r="D13" s="1">
        <v>-1</v>
      </c>
      <c r="E13" s="1">
        <v>1</v>
      </c>
      <c r="F13" s="1">
        <f t="shared" si="0"/>
        <v>-1</v>
      </c>
      <c r="G13" s="1">
        <f t="shared" si="1"/>
        <v>1</v>
      </c>
      <c r="H13" s="1">
        <f t="shared" si="2"/>
        <v>-1</v>
      </c>
      <c r="I13" s="22">
        <f t="shared" si="3"/>
        <v>-1</v>
      </c>
      <c r="Q13" s="5">
        <v>72.099999999999994</v>
      </c>
      <c r="V13" s="33">
        <v>-1</v>
      </c>
      <c r="W13">
        <v>1</v>
      </c>
      <c r="X13" s="34">
        <v>-1</v>
      </c>
      <c r="Z13" s="50">
        <v>1</v>
      </c>
      <c r="AA13" s="1">
        <v>1</v>
      </c>
      <c r="AB13" s="1">
        <v>-1</v>
      </c>
      <c r="AC13" s="1">
        <v>1</v>
      </c>
      <c r="AD13" s="1">
        <f t="shared" si="4"/>
        <v>-1</v>
      </c>
      <c r="AE13" s="1">
        <f t="shared" si="5"/>
        <v>1</v>
      </c>
      <c r="AF13" s="1">
        <f t="shared" si="6"/>
        <v>-1</v>
      </c>
      <c r="AG13" s="1">
        <f t="shared" si="7"/>
        <v>-1</v>
      </c>
      <c r="AI13" s="1">
        <v>71.3</v>
      </c>
      <c r="AJ13">
        <v>71.3</v>
      </c>
    </row>
    <row r="14" spans="1:36" x14ac:dyDescent="0.25">
      <c r="B14" s="41">
        <v>1</v>
      </c>
      <c r="C14" s="1">
        <v>1</v>
      </c>
      <c r="D14" s="1">
        <v>-1</v>
      </c>
      <c r="E14" s="1">
        <v>1</v>
      </c>
      <c r="F14" s="1">
        <f t="shared" si="0"/>
        <v>-1</v>
      </c>
      <c r="G14" s="1">
        <f t="shared" si="1"/>
        <v>1</v>
      </c>
      <c r="H14" s="1">
        <f t="shared" si="2"/>
        <v>-1</v>
      </c>
      <c r="I14" s="22">
        <f t="shared" si="3"/>
        <v>-1</v>
      </c>
      <c r="Q14" s="5">
        <v>71.3</v>
      </c>
      <c r="V14" s="33">
        <v>1</v>
      </c>
      <c r="W14">
        <v>1</v>
      </c>
      <c r="X14" s="34">
        <v>-1</v>
      </c>
      <c r="Z14" s="50">
        <v>1</v>
      </c>
      <c r="AA14" s="1">
        <v>1</v>
      </c>
      <c r="AB14" s="1">
        <v>1</v>
      </c>
      <c r="AC14" s="1">
        <v>1</v>
      </c>
      <c r="AD14" s="1">
        <f t="shared" si="4"/>
        <v>1</v>
      </c>
      <c r="AE14" s="1">
        <f t="shared" si="5"/>
        <v>1</v>
      </c>
      <c r="AF14" s="1">
        <f t="shared" si="6"/>
        <v>1</v>
      </c>
      <c r="AG14" s="1">
        <f t="shared" si="7"/>
        <v>1</v>
      </c>
      <c r="AI14" s="1">
        <v>44.1</v>
      </c>
      <c r="AJ14">
        <v>44.1</v>
      </c>
    </row>
    <row r="15" spans="1:36" x14ac:dyDescent="0.25">
      <c r="B15" s="41">
        <v>1</v>
      </c>
      <c r="C15" s="1">
        <v>-1</v>
      </c>
      <c r="D15" s="1">
        <v>1</v>
      </c>
      <c r="E15" s="1">
        <v>1</v>
      </c>
      <c r="F15" s="1">
        <f t="shared" si="0"/>
        <v>-1</v>
      </c>
      <c r="G15" s="1">
        <f t="shared" si="1"/>
        <v>-1</v>
      </c>
      <c r="H15" s="1">
        <f t="shared" si="2"/>
        <v>1</v>
      </c>
      <c r="I15" s="22">
        <f t="shared" si="3"/>
        <v>-1</v>
      </c>
      <c r="Q15" s="5">
        <v>21</v>
      </c>
      <c r="V15" s="33">
        <v>-1</v>
      </c>
      <c r="W15">
        <v>-1</v>
      </c>
      <c r="X15" s="34">
        <v>1</v>
      </c>
      <c r="Z15" s="50">
        <v>1</v>
      </c>
      <c r="AA15" s="1">
        <v>1</v>
      </c>
      <c r="AB15" s="1">
        <v>-1</v>
      </c>
      <c r="AC15" s="1">
        <v>1</v>
      </c>
      <c r="AD15" s="1">
        <f t="shared" si="4"/>
        <v>-1</v>
      </c>
      <c r="AE15" s="1">
        <f t="shared" si="5"/>
        <v>1</v>
      </c>
      <c r="AF15" s="1">
        <f t="shared" si="6"/>
        <v>-1</v>
      </c>
      <c r="AG15" s="1">
        <f t="shared" si="7"/>
        <v>-1</v>
      </c>
      <c r="AI15" s="1">
        <v>72.099999999999994</v>
      </c>
      <c r="AJ15">
        <v>72.099999999999994</v>
      </c>
    </row>
    <row r="16" spans="1:36" x14ac:dyDescent="0.25">
      <c r="B16" s="41">
        <v>1</v>
      </c>
      <c r="C16" s="1">
        <v>-1</v>
      </c>
      <c r="D16" s="1">
        <v>1</v>
      </c>
      <c r="E16" s="1">
        <v>1</v>
      </c>
      <c r="F16" s="1">
        <f t="shared" si="0"/>
        <v>-1</v>
      </c>
      <c r="G16" s="1">
        <f t="shared" si="1"/>
        <v>-1</v>
      </c>
      <c r="H16" s="1">
        <f t="shared" si="2"/>
        <v>1</v>
      </c>
      <c r="I16" s="22">
        <f t="shared" si="3"/>
        <v>-1</v>
      </c>
      <c r="Q16" s="5">
        <v>21.4</v>
      </c>
      <c r="V16" s="33">
        <v>1</v>
      </c>
      <c r="W16">
        <v>-1</v>
      </c>
      <c r="X16" s="34">
        <v>1</v>
      </c>
      <c r="Z16" s="50">
        <v>1</v>
      </c>
      <c r="AA16" s="1">
        <v>-1</v>
      </c>
      <c r="AB16" s="1">
        <v>1</v>
      </c>
      <c r="AC16" s="1">
        <v>1</v>
      </c>
      <c r="AD16" s="1">
        <f t="shared" si="4"/>
        <v>-1</v>
      </c>
      <c r="AE16" s="1">
        <f t="shared" si="5"/>
        <v>-1</v>
      </c>
      <c r="AF16" s="1">
        <f t="shared" si="6"/>
        <v>1</v>
      </c>
      <c r="AG16" s="1">
        <f t="shared" si="7"/>
        <v>-1</v>
      </c>
      <c r="AI16" s="1">
        <v>21.4</v>
      </c>
      <c r="AJ16">
        <v>21.4</v>
      </c>
    </row>
    <row r="17" spans="1:41" x14ac:dyDescent="0.25">
      <c r="B17" s="41">
        <v>1</v>
      </c>
      <c r="C17" s="1">
        <v>1</v>
      </c>
      <c r="D17" s="1">
        <v>1</v>
      </c>
      <c r="E17" s="1">
        <v>1</v>
      </c>
      <c r="F17" s="1">
        <f t="shared" si="0"/>
        <v>1</v>
      </c>
      <c r="G17" s="1">
        <f t="shared" si="1"/>
        <v>1</v>
      </c>
      <c r="H17" s="1">
        <f t="shared" si="2"/>
        <v>1</v>
      </c>
      <c r="I17" s="22">
        <f t="shared" si="3"/>
        <v>1</v>
      </c>
      <c r="Q17" s="5">
        <v>44.1</v>
      </c>
      <c r="V17" s="33">
        <v>-1</v>
      </c>
      <c r="W17">
        <v>1</v>
      </c>
      <c r="X17" s="34">
        <v>1</v>
      </c>
      <c r="Z17" s="50">
        <v>1</v>
      </c>
      <c r="AA17" s="1">
        <v>-1</v>
      </c>
      <c r="AB17" s="1">
        <v>1</v>
      </c>
      <c r="AC17" s="1">
        <v>1</v>
      </c>
      <c r="AD17" s="1">
        <f t="shared" si="4"/>
        <v>-1</v>
      </c>
      <c r="AE17" s="1">
        <f t="shared" si="5"/>
        <v>-1</v>
      </c>
      <c r="AF17" s="1">
        <f t="shared" si="6"/>
        <v>1</v>
      </c>
      <c r="AG17" s="1">
        <f t="shared" si="7"/>
        <v>-1</v>
      </c>
      <c r="AI17" s="1">
        <v>21</v>
      </c>
      <c r="AJ17">
        <v>21</v>
      </c>
    </row>
    <row r="18" spans="1:41" x14ac:dyDescent="0.25">
      <c r="B18" s="42">
        <v>1</v>
      </c>
      <c r="C18" s="20">
        <v>1</v>
      </c>
      <c r="D18" s="20">
        <v>1</v>
      </c>
      <c r="E18" s="20">
        <v>1</v>
      </c>
      <c r="F18" s="20">
        <f t="shared" si="0"/>
        <v>1</v>
      </c>
      <c r="G18" s="20">
        <f t="shared" si="1"/>
        <v>1</v>
      </c>
      <c r="H18" s="20">
        <f t="shared" si="2"/>
        <v>1</v>
      </c>
      <c r="I18" s="23">
        <f t="shared" si="3"/>
        <v>1</v>
      </c>
      <c r="Q18" s="6">
        <v>44.5</v>
      </c>
      <c r="R18" t="s">
        <v>64</v>
      </c>
      <c r="V18" s="35">
        <v>1</v>
      </c>
      <c r="W18" s="36">
        <v>1</v>
      </c>
      <c r="X18" s="37">
        <v>1</v>
      </c>
      <c r="Z18" s="50">
        <v>1</v>
      </c>
      <c r="AA18" s="1">
        <v>1</v>
      </c>
      <c r="AB18" s="1">
        <v>1</v>
      </c>
      <c r="AC18" s="1">
        <v>1</v>
      </c>
      <c r="AD18" s="1">
        <f t="shared" si="4"/>
        <v>1</v>
      </c>
      <c r="AE18" s="1">
        <f t="shared" si="5"/>
        <v>1</v>
      </c>
      <c r="AF18" s="1">
        <f t="shared" si="6"/>
        <v>1</v>
      </c>
      <c r="AG18" s="1">
        <f t="shared" si="7"/>
        <v>1</v>
      </c>
      <c r="AI18" s="1">
        <v>44.5</v>
      </c>
      <c r="AJ18">
        <v>44.5</v>
      </c>
    </row>
    <row r="20" spans="1:41" x14ac:dyDescent="0.25">
      <c r="A20" s="3" t="s">
        <v>34</v>
      </c>
      <c r="B20" s="17">
        <f t="array" ref="B20:Q27">TRANSPOSE(B3:I18)</f>
        <v>1</v>
      </c>
      <c r="C20" s="9">
        <v>1</v>
      </c>
      <c r="D20" s="9">
        <v>1</v>
      </c>
      <c r="E20" s="9">
        <v>1</v>
      </c>
      <c r="F20" s="9">
        <v>1</v>
      </c>
      <c r="G20" s="9">
        <v>1</v>
      </c>
      <c r="H20" s="9">
        <v>1</v>
      </c>
      <c r="I20" s="9">
        <v>1</v>
      </c>
      <c r="J20" s="9">
        <v>1</v>
      </c>
      <c r="K20" s="9">
        <v>1</v>
      </c>
      <c r="L20" s="9">
        <v>1</v>
      </c>
      <c r="M20" s="9">
        <v>1</v>
      </c>
      <c r="N20" s="9">
        <v>1</v>
      </c>
      <c r="O20" s="9">
        <v>1</v>
      </c>
      <c r="P20" s="9">
        <v>1</v>
      </c>
      <c r="Q20" s="21">
        <v>1</v>
      </c>
      <c r="Y20" t="s">
        <v>34</v>
      </c>
      <c r="Z20" s="17">
        <f t="array" ref="Z20:AO27">TRANSPOSE(Z3:AG18)</f>
        <v>1</v>
      </c>
      <c r="AA20" s="9">
        <v>1</v>
      </c>
      <c r="AB20" s="9">
        <v>1</v>
      </c>
      <c r="AC20" s="9">
        <v>1</v>
      </c>
      <c r="AD20" s="9">
        <v>1</v>
      </c>
      <c r="AE20" s="9">
        <v>1</v>
      </c>
      <c r="AF20" s="9">
        <v>1</v>
      </c>
      <c r="AG20" s="9">
        <v>1</v>
      </c>
      <c r="AH20" s="9">
        <v>1</v>
      </c>
      <c r="AI20" s="9">
        <v>1</v>
      </c>
      <c r="AJ20" s="9">
        <v>1</v>
      </c>
      <c r="AK20" s="9">
        <v>1</v>
      </c>
      <c r="AL20" s="9">
        <v>1</v>
      </c>
      <c r="AM20" s="9">
        <v>1</v>
      </c>
      <c r="AN20" s="9">
        <v>1</v>
      </c>
      <c r="AO20" s="21">
        <v>1</v>
      </c>
    </row>
    <row r="21" spans="1:41" x14ac:dyDescent="0.25">
      <c r="B21" s="18">
        <v>-1</v>
      </c>
      <c r="C21" s="1">
        <v>-1</v>
      </c>
      <c r="D21" s="1">
        <v>1</v>
      </c>
      <c r="E21" s="1">
        <v>1</v>
      </c>
      <c r="F21" s="1">
        <v>-1</v>
      </c>
      <c r="G21" s="1">
        <v>-1</v>
      </c>
      <c r="H21" s="1">
        <v>1</v>
      </c>
      <c r="I21" s="1">
        <v>1</v>
      </c>
      <c r="J21" s="1">
        <v>-1</v>
      </c>
      <c r="K21" s="1">
        <v>-1</v>
      </c>
      <c r="L21" s="1">
        <v>1</v>
      </c>
      <c r="M21" s="1">
        <v>1</v>
      </c>
      <c r="N21" s="1">
        <v>-1</v>
      </c>
      <c r="O21" s="1">
        <v>-1</v>
      </c>
      <c r="P21" s="1">
        <v>1</v>
      </c>
      <c r="Q21" s="22">
        <v>1</v>
      </c>
      <c r="Z21" s="18">
        <v>-1</v>
      </c>
      <c r="AA21" s="1">
        <v>-1</v>
      </c>
      <c r="AB21" s="1">
        <v>-1</v>
      </c>
      <c r="AC21" s="1">
        <v>1</v>
      </c>
      <c r="AD21" s="1">
        <v>1</v>
      </c>
      <c r="AE21" s="1">
        <v>-1</v>
      </c>
      <c r="AF21" s="1">
        <v>1</v>
      </c>
      <c r="AG21" s="1">
        <v>-1</v>
      </c>
      <c r="AH21" s="1">
        <v>1</v>
      </c>
      <c r="AI21" s="1">
        <v>-1</v>
      </c>
      <c r="AJ21" s="1">
        <v>1</v>
      </c>
      <c r="AK21" s="1">
        <v>1</v>
      </c>
      <c r="AL21" s="1">
        <v>1</v>
      </c>
      <c r="AM21" s="1">
        <v>-1</v>
      </c>
      <c r="AN21" s="1">
        <v>-1</v>
      </c>
      <c r="AO21" s="22">
        <v>1</v>
      </c>
    </row>
    <row r="22" spans="1:41" x14ac:dyDescent="0.25">
      <c r="B22" s="18">
        <v>-1</v>
      </c>
      <c r="C22" s="1">
        <v>-1</v>
      </c>
      <c r="D22" s="1">
        <v>-1</v>
      </c>
      <c r="E22" s="1">
        <v>-1</v>
      </c>
      <c r="F22" s="1">
        <v>1</v>
      </c>
      <c r="G22" s="1">
        <v>1</v>
      </c>
      <c r="H22" s="1">
        <v>1</v>
      </c>
      <c r="I22" s="1">
        <v>1</v>
      </c>
      <c r="J22" s="1">
        <v>-1</v>
      </c>
      <c r="K22" s="1">
        <v>-1</v>
      </c>
      <c r="L22" s="1">
        <v>-1</v>
      </c>
      <c r="M22" s="1">
        <v>-1</v>
      </c>
      <c r="N22" s="1">
        <v>1</v>
      </c>
      <c r="O22" s="1">
        <v>1</v>
      </c>
      <c r="P22" s="1">
        <v>1</v>
      </c>
      <c r="Q22" s="22">
        <v>1</v>
      </c>
      <c r="Z22" s="18">
        <v>-1</v>
      </c>
      <c r="AA22" s="1">
        <v>-1</v>
      </c>
      <c r="AB22" s="1">
        <v>1</v>
      </c>
      <c r="AC22" s="1">
        <v>1</v>
      </c>
      <c r="AD22" s="1">
        <v>-1</v>
      </c>
      <c r="AE22" s="1">
        <v>1</v>
      </c>
      <c r="AF22" s="1">
        <v>-1</v>
      </c>
      <c r="AG22" s="1">
        <v>-1</v>
      </c>
      <c r="AH22" s="1">
        <v>1</v>
      </c>
      <c r="AI22" s="1">
        <v>-1</v>
      </c>
      <c r="AJ22" s="1">
        <v>-1</v>
      </c>
      <c r="AK22" s="1">
        <v>1</v>
      </c>
      <c r="AL22" s="1">
        <v>-1</v>
      </c>
      <c r="AM22" s="1">
        <v>1</v>
      </c>
      <c r="AN22" s="1">
        <v>1</v>
      </c>
      <c r="AO22" s="22">
        <v>1</v>
      </c>
    </row>
    <row r="23" spans="1:41" x14ac:dyDescent="0.25">
      <c r="B23" s="18">
        <v>-1</v>
      </c>
      <c r="C23" s="1">
        <v>-1</v>
      </c>
      <c r="D23" s="1">
        <v>-1</v>
      </c>
      <c r="E23" s="1">
        <v>-1</v>
      </c>
      <c r="F23" s="1">
        <v>-1</v>
      </c>
      <c r="G23" s="1">
        <v>-1</v>
      </c>
      <c r="H23" s="1">
        <v>-1</v>
      </c>
      <c r="I23" s="1">
        <v>-1</v>
      </c>
      <c r="J23" s="1">
        <v>1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1</v>
      </c>
      <c r="Q23" s="22">
        <v>1</v>
      </c>
      <c r="Z23" s="18">
        <v>1</v>
      </c>
      <c r="AA23" s="1">
        <v>-1</v>
      </c>
      <c r="AB23" s="1">
        <v>-1</v>
      </c>
      <c r="AC23" s="1">
        <v>-1</v>
      </c>
      <c r="AD23" s="1">
        <v>-1</v>
      </c>
      <c r="AE23" s="1">
        <v>-1</v>
      </c>
      <c r="AF23" s="1">
        <v>-1</v>
      </c>
      <c r="AG23" s="1">
        <v>-1</v>
      </c>
      <c r="AH23" s="1">
        <v>-1</v>
      </c>
      <c r="AI23" s="1">
        <v>1</v>
      </c>
      <c r="AJ23" s="1">
        <v>1</v>
      </c>
      <c r="AK23" s="1">
        <v>1</v>
      </c>
      <c r="AL23" s="1">
        <v>1</v>
      </c>
      <c r="AM23" s="1">
        <v>1</v>
      </c>
      <c r="AN23" s="1">
        <v>1</v>
      </c>
      <c r="AO23" s="22">
        <v>1</v>
      </c>
    </row>
    <row r="24" spans="1:41" x14ac:dyDescent="0.25">
      <c r="B24" s="18">
        <v>1</v>
      </c>
      <c r="C24" s="1">
        <v>1</v>
      </c>
      <c r="D24" s="1">
        <v>-1</v>
      </c>
      <c r="E24" s="1">
        <v>-1</v>
      </c>
      <c r="F24" s="1">
        <v>-1</v>
      </c>
      <c r="G24" s="1">
        <v>-1</v>
      </c>
      <c r="H24" s="1">
        <v>1</v>
      </c>
      <c r="I24" s="1">
        <v>1</v>
      </c>
      <c r="J24" s="1">
        <v>1</v>
      </c>
      <c r="K24" s="1">
        <v>1</v>
      </c>
      <c r="L24" s="1">
        <v>-1</v>
      </c>
      <c r="M24" s="1">
        <v>-1</v>
      </c>
      <c r="N24" s="1">
        <v>-1</v>
      </c>
      <c r="O24" s="1">
        <v>-1</v>
      </c>
      <c r="P24" s="1">
        <v>1</v>
      </c>
      <c r="Q24" s="22">
        <v>1</v>
      </c>
      <c r="Z24" s="18">
        <v>1</v>
      </c>
      <c r="AA24" s="1">
        <v>1</v>
      </c>
      <c r="AB24" s="1">
        <v>-1</v>
      </c>
      <c r="AC24" s="1">
        <v>1</v>
      </c>
      <c r="AD24" s="1">
        <v>-1</v>
      </c>
      <c r="AE24" s="1">
        <v>-1</v>
      </c>
      <c r="AF24" s="1">
        <v>-1</v>
      </c>
      <c r="AG24" s="1">
        <v>1</v>
      </c>
      <c r="AH24" s="1">
        <v>1</v>
      </c>
      <c r="AI24" s="1">
        <v>1</v>
      </c>
      <c r="AJ24" s="1">
        <v>-1</v>
      </c>
      <c r="AK24" s="1">
        <v>1</v>
      </c>
      <c r="AL24" s="1">
        <v>-1</v>
      </c>
      <c r="AM24" s="1">
        <v>-1</v>
      </c>
      <c r="AN24" s="1">
        <v>-1</v>
      </c>
      <c r="AO24" s="22">
        <v>1</v>
      </c>
    </row>
    <row r="25" spans="1:41" x14ac:dyDescent="0.25">
      <c r="B25" s="18">
        <v>1</v>
      </c>
      <c r="C25" s="1">
        <v>1</v>
      </c>
      <c r="D25" s="1">
        <v>-1</v>
      </c>
      <c r="E25" s="1">
        <v>-1</v>
      </c>
      <c r="F25" s="1">
        <v>1</v>
      </c>
      <c r="G25" s="1">
        <v>1</v>
      </c>
      <c r="H25" s="1">
        <v>-1</v>
      </c>
      <c r="I25" s="1">
        <v>-1</v>
      </c>
      <c r="J25" s="1">
        <v>-1</v>
      </c>
      <c r="K25" s="1">
        <v>-1</v>
      </c>
      <c r="L25" s="1">
        <v>1</v>
      </c>
      <c r="M25" s="1">
        <v>1</v>
      </c>
      <c r="N25" s="1">
        <v>-1</v>
      </c>
      <c r="O25" s="1">
        <v>-1</v>
      </c>
      <c r="P25" s="1">
        <v>1</v>
      </c>
      <c r="Q25" s="22">
        <v>1</v>
      </c>
      <c r="Z25" s="18">
        <v>-1</v>
      </c>
      <c r="AA25" s="1">
        <v>1</v>
      </c>
      <c r="AB25" s="1">
        <v>1</v>
      </c>
      <c r="AC25" s="1">
        <v>-1</v>
      </c>
      <c r="AD25" s="1">
        <v>-1</v>
      </c>
      <c r="AE25" s="1">
        <v>1</v>
      </c>
      <c r="AF25" s="1">
        <v>-1</v>
      </c>
      <c r="AG25" s="1">
        <v>1</v>
      </c>
      <c r="AH25" s="1">
        <v>-1</v>
      </c>
      <c r="AI25" s="1">
        <v>-1</v>
      </c>
      <c r="AJ25" s="1">
        <v>1</v>
      </c>
      <c r="AK25" s="1">
        <v>1</v>
      </c>
      <c r="AL25" s="1">
        <v>1</v>
      </c>
      <c r="AM25" s="1">
        <v>-1</v>
      </c>
      <c r="AN25" s="1">
        <v>-1</v>
      </c>
      <c r="AO25" s="22">
        <v>1</v>
      </c>
    </row>
    <row r="26" spans="1:41" x14ac:dyDescent="0.25">
      <c r="B26" s="18">
        <v>1</v>
      </c>
      <c r="C26" s="1">
        <v>1</v>
      </c>
      <c r="D26" s="1">
        <v>1</v>
      </c>
      <c r="E26" s="1">
        <v>1</v>
      </c>
      <c r="F26" s="1">
        <v>-1</v>
      </c>
      <c r="G26" s="1">
        <v>-1</v>
      </c>
      <c r="H26" s="1">
        <v>-1</v>
      </c>
      <c r="I26" s="1">
        <v>-1</v>
      </c>
      <c r="J26" s="1">
        <v>-1</v>
      </c>
      <c r="K26" s="1">
        <v>-1</v>
      </c>
      <c r="L26" s="1">
        <v>-1</v>
      </c>
      <c r="M26" s="1">
        <v>-1</v>
      </c>
      <c r="N26" s="1">
        <v>1</v>
      </c>
      <c r="O26" s="1">
        <v>1</v>
      </c>
      <c r="P26" s="1">
        <v>1</v>
      </c>
      <c r="Q26" s="22">
        <v>1</v>
      </c>
      <c r="Z26" s="18">
        <v>-1</v>
      </c>
      <c r="AA26" s="1">
        <v>1</v>
      </c>
      <c r="AB26" s="1">
        <v>-1</v>
      </c>
      <c r="AC26" s="1">
        <v>-1</v>
      </c>
      <c r="AD26" s="1">
        <v>1</v>
      </c>
      <c r="AE26" s="1">
        <v>-1</v>
      </c>
      <c r="AF26" s="1">
        <v>1</v>
      </c>
      <c r="AG26" s="1">
        <v>1</v>
      </c>
      <c r="AH26" s="1">
        <v>-1</v>
      </c>
      <c r="AI26" s="1">
        <v>-1</v>
      </c>
      <c r="AJ26" s="1">
        <v>-1</v>
      </c>
      <c r="AK26" s="1">
        <v>1</v>
      </c>
      <c r="AL26" s="1">
        <v>-1</v>
      </c>
      <c r="AM26" s="1">
        <v>1</v>
      </c>
      <c r="AN26" s="1">
        <v>1</v>
      </c>
      <c r="AO26" s="22">
        <v>1</v>
      </c>
    </row>
    <row r="27" spans="1:41" x14ac:dyDescent="0.25">
      <c r="B27" s="19">
        <v>-1</v>
      </c>
      <c r="C27" s="20">
        <v>-1</v>
      </c>
      <c r="D27" s="20">
        <v>1</v>
      </c>
      <c r="E27" s="20">
        <v>1</v>
      </c>
      <c r="F27" s="20">
        <v>1</v>
      </c>
      <c r="G27" s="20">
        <v>1</v>
      </c>
      <c r="H27" s="20">
        <v>-1</v>
      </c>
      <c r="I27" s="20">
        <v>-1</v>
      </c>
      <c r="J27" s="20">
        <v>1</v>
      </c>
      <c r="K27" s="20">
        <v>1</v>
      </c>
      <c r="L27" s="20">
        <v>-1</v>
      </c>
      <c r="M27" s="20">
        <v>-1</v>
      </c>
      <c r="N27" s="20">
        <v>-1</v>
      </c>
      <c r="O27" s="20">
        <v>-1</v>
      </c>
      <c r="P27" s="20">
        <v>1</v>
      </c>
      <c r="Q27" s="23">
        <v>1</v>
      </c>
      <c r="R27" t="s">
        <v>63</v>
      </c>
      <c r="Z27" s="19">
        <v>1</v>
      </c>
      <c r="AA27" s="20">
        <v>-1</v>
      </c>
      <c r="AB27" s="20">
        <v>1</v>
      </c>
      <c r="AC27" s="20">
        <v>-1</v>
      </c>
      <c r="AD27" s="20">
        <v>1</v>
      </c>
      <c r="AE27" s="20">
        <v>1</v>
      </c>
      <c r="AF27" s="20">
        <v>1</v>
      </c>
      <c r="AG27" s="20">
        <v>-1</v>
      </c>
      <c r="AH27" s="20">
        <v>-1</v>
      </c>
      <c r="AI27" s="20">
        <v>1</v>
      </c>
      <c r="AJ27" s="20">
        <v>-1</v>
      </c>
      <c r="AK27" s="20">
        <v>1</v>
      </c>
      <c r="AL27" s="20">
        <v>-1</v>
      </c>
      <c r="AM27" s="20">
        <v>-1</v>
      </c>
      <c r="AN27" s="20">
        <v>-1</v>
      </c>
      <c r="AO27" s="23">
        <v>1</v>
      </c>
    </row>
    <row r="29" spans="1:41" ht="18" x14ac:dyDescent="0.35">
      <c r="A29" s="3" t="s">
        <v>37</v>
      </c>
      <c r="B29" s="24">
        <f t="array" ref="B29:B36">MMULT(B20:Q27,Q3:Q18)</f>
        <v>567.99999999999989</v>
      </c>
      <c r="D29" s="3" t="s">
        <v>38</v>
      </c>
      <c r="E29" s="24">
        <f>B29/16</f>
        <v>35.499999999999993</v>
      </c>
      <c r="G29" s="27" t="s">
        <v>39</v>
      </c>
      <c r="H29" s="13">
        <f>E29</f>
        <v>35.499999999999993</v>
      </c>
    </row>
    <row r="30" spans="1:41" ht="18" x14ac:dyDescent="0.35">
      <c r="B30" s="25">
        <v>209.2</v>
      </c>
      <c r="E30" s="24">
        <f t="shared" ref="E30:E36" si="8">B30/16</f>
        <v>13.074999999999999</v>
      </c>
      <c r="G30" s="27" t="s">
        <v>40</v>
      </c>
      <c r="H30" s="13">
        <f t="shared" ref="H30:H36" si="9">E30</f>
        <v>13.074999999999999</v>
      </c>
      <c r="Y30" s="3" t="s">
        <v>37</v>
      </c>
      <c r="Z30" s="24">
        <f t="array" ref="Z30:Z37">MMULT(Z20:AO27,AI3:AI18)</f>
        <v>568</v>
      </c>
      <c r="AB30" s="14">
        <f>Z30/16</f>
        <v>35.5</v>
      </c>
    </row>
    <row r="31" spans="1:41" ht="18" x14ac:dyDescent="0.35">
      <c r="B31" s="25">
        <v>-111.19999999999999</v>
      </c>
      <c r="E31" s="24">
        <f t="shared" si="8"/>
        <v>-6.9499999999999993</v>
      </c>
      <c r="G31" s="27" t="s">
        <v>41</v>
      </c>
      <c r="H31" s="13">
        <f t="shared" si="9"/>
        <v>-6.9499999999999993</v>
      </c>
      <c r="Z31" s="25">
        <v>209.2</v>
      </c>
      <c r="AB31" s="14">
        <f t="shared" ref="AB31:AB37" si="10">Z31/16</f>
        <v>13.074999999999999</v>
      </c>
    </row>
    <row r="32" spans="1:41" ht="18" x14ac:dyDescent="0.35">
      <c r="B32" s="25">
        <v>80.399999999999991</v>
      </c>
      <c r="E32" s="24">
        <f t="shared" si="8"/>
        <v>5.0249999999999995</v>
      </c>
      <c r="G32" s="27" t="s">
        <v>43</v>
      </c>
      <c r="H32" s="13">
        <f t="shared" si="9"/>
        <v>5.0249999999999995</v>
      </c>
      <c r="Z32" s="25">
        <v>-111.20000000000002</v>
      </c>
      <c r="AB32" s="14">
        <f t="shared" si="10"/>
        <v>-6.9500000000000011</v>
      </c>
    </row>
    <row r="33" spans="2:28" ht="18" x14ac:dyDescent="0.35">
      <c r="B33" s="25">
        <v>-72.400000000000006</v>
      </c>
      <c r="E33" s="24">
        <f t="shared" si="8"/>
        <v>-4.5250000000000004</v>
      </c>
      <c r="G33" s="27" t="s">
        <v>42</v>
      </c>
      <c r="H33" s="13">
        <f t="shared" si="9"/>
        <v>-4.5250000000000004</v>
      </c>
      <c r="Z33" s="25">
        <v>80.399999999999977</v>
      </c>
      <c r="AB33" s="14">
        <f t="shared" si="10"/>
        <v>5.0249999999999986</v>
      </c>
    </row>
    <row r="34" spans="2:28" ht="18" x14ac:dyDescent="0.35">
      <c r="B34" s="25">
        <v>70.399999999999991</v>
      </c>
      <c r="E34" s="24">
        <f t="shared" si="8"/>
        <v>4.3999999999999995</v>
      </c>
      <c r="G34" s="27" t="s">
        <v>44</v>
      </c>
      <c r="H34" s="13">
        <f t="shared" si="9"/>
        <v>4.3999999999999995</v>
      </c>
      <c r="Z34" s="25">
        <v>-72.399999999999977</v>
      </c>
      <c r="AB34" s="14">
        <f t="shared" si="10"/>
        <v>-4.5249999999999986</v>
      </c>
    </row>
    <row r="35" spans="2:28" ht="18" x14ac:dyDescent="0.35">
      <c r="B35" s="25">
        <v>-13.199999999999982</v>
      </c>
      <c r="E35" s="24">
        <f t="shared" si="8"/>
        <v>-0.82499999999999885</v>
      </c>
      <c r="G35" s="27" t="s">
        <v>45</v>
      </c>
      <c r="H35" s="13">
        <f t="shared" si="9"/>
        <v>-0.82499999999999885</v>
      </c>
      <c r="Z35" s="25">
        <v>70.400000000000006</v>
      </c>
      <c r="AB35" s="14">
        <f t="shared" si="10"/>
        <v>4.4000000000000004</v>
      </c>
    </row>
    <row r="36" spans="2:28" ht="18" x14ac:dyDescent="0.35">
      <c r="B36" s="26">
        <v>-22.400000000000006</v>
      </c>
      <c r="E36" s="24">
        <f t="shared" si="8"/>
        <v>-1.4000000000000004</v>
      </c>
      <c r="G36" s="27" t="s">
        <v>47</v>
      </c>
      <c r="H36" s="13">
        <f t="shared" si="9"/>
        <v>-1.4000000000000004</v>
      </c>
      <c r="Z36" s="25">
        <v>-13.199999999999989</v>
      </c>
      <c r="AB36" s="14">
        <f t="shared" si="10"/>
        <v>-0.82499999999999929</v>
      </c>
    </row>
    <row r="37" spans="2:28" x14ac:dyDescent="0.25">
      <c r="Z37" s="26">
        <v>-22.399999999999977</v>
      </c>
      <c r="AB37" s="14">
        <f t="shared" si="10"/>
        <v>-1.3999999999999986</v>
      </c>
    </row>
    <row r="38" spans="2:28" x14ac:dyDescent="0.25">
      <c r="C38" t="s">
        <v>72</v>
      </c>
      <c r="D38" t="s">
        <v>72</v>
      </c>
      <c r="G38" t="s">
        <v>73</v>
      </c>
    </row>
  </sheetData>
  <pageMargins left="0.7" right="0.7" top="0.75" bottom="0.75" header="0.3" footer="0.3"/>
  <pageSetup paperSize="9" scale="61" orientation="landscape" horizontalDpi="300" verticalDpi="300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4"/>
  <sheetViews>
    <sheetView zoomScaleNormal="100" workbookViewId="0">
      <selection activeCell="K98" sqref="K98"/>
    </sheetView>
  </sheetViews>
  <sheetFormatPr defaultRowHeight="15" x14ac:dyDescent="0.25"/>
  <cols>
    <col min="1" max="1" width="11.42578125" customWidth="1"/>
    <col min="2" max="2" width="11" customWidth="1"/>
    <col min="3" max="3" width="14.5703125" bestFit="1" customWidth="1"/>
    <col min="4" max="4" width="12.85546875" bestFit="1" customWidth="1"/>
    <col min="5" max="5" width="12.28515625" bestFit="1" customWidth="1"/>
    <col min="6" max="6" width="28.7109375" bestFit="1" customWidth="1"/>
    <col min="7" max="7" width="12.85546875" bestFit="1" customWidth="1"/>
    <col min="9" max="9" width="12.85546875" customWidth="1"/>
    <col min="10" max="10" width="15.28515625" customWidth="1"/>
    <col min="11" max="11" width="25.5703125" customWidth="1"/>
    <col min="12" max="12" width="17" bestFit="1" customWidth="1"/>
    <col min="13" max="13" width="24.7109375" customWidth="1"/>
    <col min="14" max="15" width="12.85546875" bestFit="1" customWidth="1"/>
    <col min="16" max="16" width="22" bestFit="1" customWidth="1"/>
  </cols>
  <sheetData>
    <row r="1" spans="1:22" x14ac:dyDescent="0.25">
      <c r="O1" s="1" t="s">
        <v>0</v>
      </c>
      <c r="P1" s="1" t="s">
        <v>1</v>
      </c>
    </row>
    <row r="2" spans="1:22" x14ac:dyDescent="0.25">
      <c r="A2" s="15" t="s">
        <v>2</v>
      </c>
      <c r="B2" s="15" t="s">
        <v>3</v>
      </c>
      <c r="C2" s="15" t="s">
        <v>29</v>
      </c>
      <c r="D2" s="15" t="s">
        <v>4</v>
      </c>
      <c r="E2" s="15" t="s">
        <v>30</v>
      </c>
      <c r="F2" s="15" t="s">
        <v>31</v>
      </c>
      <c r="G2" s="51" t="s">
        <v>46</v>
      </c>
      <c r="H2" s="1" t="s">
        <v>5</v>
      </c>
      <c r="K2" s="2"/>
      <c r="L2" s="3" t="s">
        <v>67</v>
      </c>
      <c r="M2" t="s">
        <v>69</v>
      </c>
      <c r="O2" s="1">
        <f>(10+60)/2</f>
        <v>35</v>
      </c>
      <c r="P2" s="1">
        <f>(60-10)/2</f>
        <v>25</v>
      </c>
    </row>
    <row r="3" spans="1:22" x14ac:dyDescent="0.25">
      <c r="A3" s="1">
        <v>-1</v>
      </c>
      <c r="B3" s="1">
        <v>-1</v>
      </c>
      <c r="C3" s="1">
        <v>-1</v>
      </c>
      <c r="D3" s="1">
        <f t="shared" ref="D3:D18" si="0">A3*B3</f>
        <v>1</v>
      </c>
      <c r="E3" s="1">
        <f t="shared" ref="E3:E18" si="1">A3*C3</f>
        <v>1</v>
      </c>
      <c r="F3" s="1">
        <f t="shared" ref="F3:F18" si="2">B3*C3</f>
        <v>1</v>
      </c>
      <c r="G3" s="1">
        <f t="shared" ref="G3:G18" si="3">A3*B3*C3</f>
        <v>-1</v>
      </c>
      <c r="H3" s="8">
        <v>26</v>
      </c>
      <c r="L3" s="3" t="s">
        <v>68</v>
      </c>
      <c r="M3" t="s">
        <v>70</v>
      </c>
      <c r="O3" s="1">
        <f>(100+300)/2</f>
        <v>200</v>
      </c>
      <c r="P3" s="1">
        <f>(300-100)/2</f>
        <v>100</v>
      </c>
      <c r="T3" t="s">
        <v>91</v>
      </c>
    </row>
    <row r="4" spans="1:22" x14ac:dyDescent="0.25">
      <c r="A4" s="1">
        <v>-1</v>
      </c>
      <c r="B4" s="1">
        <v>-1</v>
      </c>
      <c r="C4" s="1">
        <v>-1</v>
      </c>
      <c r="D4" s="1">
        <f t="shared" si="0"/>
        <v>1</v>
      </c>
      <c r="E4" s="1">
        <f t="shared" si="1"/>
        <v>1</v>
      </c>
      <c r="F4" s="1">
        <f t="shared" si="2"/>
        <v>1</v>
      </c>
      <c r="G4" s="1">
        <f t="shared" si="3"/>
        <v>-1</v>
      </c>
      <c r="H4" s="8">
        <v>23.6</v>
      </c>
      <c r="J4" s="1"/>
      <c r="L4" s="3" t="s">
        <v>98</v>
      </c>
      <c r="M4" t="s">
        <v>71</v>
      </c>
      <c r="O4" s="1">
        <f>(400+800)/2</f>
        <v>600</v>
      </c>
      <c r="P4" s="1">
        <f>(800-400)/2</f>
        <v>200</v>
      </c>
    </row>
    <row r="5" spans="1:22" x14ac:dyDescent="0.25">
      <c r="A5" s="1">
        <v>1</v>
      </c>
      <c r="B5" s="1">
        <v>-1</v>
      </c>
      <c r="C5" s="1">
        <v>-1</v>
      </c>
      <c r="D5" s="1">
        <f t="shared" si="0"/>
        <v>-1</v>
      </c>
      <c r="E5" s="1">
        <f t="shared" si="1"/>
        <v>-1</v>
      </c>
      <c r="F5" s="1">
        <f t="shared" si="2"/>
        <v>1</v>
      </c>
      <c r="G5" s="1">
        <f t="shared" si="3"/>
        <v>1</v>
      </c>
      <c r="H5" s="8">
        <v>49</v>
      </c>
      <c r="J5" s="1"/>
    </row>
    <row r="6" spans="1:22" x14ac:dyDescent="0.25">
      <c r="A6" s="1">
        <v>1</v>
      </c>
      <c r="B6" s="1">
        <v>-1</v>
      </c>
      <c r="C6" s="1">
        <v>-1</v>
      </c>
      <c r="D6" s="1">
        <f t="shared" si="0"/>
        <v>-1</v>
      </c>
      <c r="E6" s="1">
        <f t="shared" si="1"/>
        <v>-1</v>
      </c>
      <c r="F6" s="1">
        <f t="shared" si="2"/>
        <v>1</v>
      </c>
      <c r="G6" s="1">
        <f t="shared" si="3"/>
        <v>1</v>
      </c>
      <c r="H6" s="8">
        <v>47.8</v>
      </c>
      <c r="T6" s="28" t="s">
        <v>48</v>
      </c>
      <c r="U6" s="28"/>
      <c r="V6" s="28"/>
    </row>
    <row r="7" spans="1:22" x14ac:dyDescent="0.25">
      <c r="A7" s="1">
        <v>-1</v>
      </c>
      <c r="B7" s="1">
        <v>1</v>
      </c>
      <c r="C7" s="1">
        <v>-1</v>
      </c>
      <c r="D7" s="1">
        <f t="shared" si="0"/>
        <v>-1</v>
      </c>
      <c r="E7" s="1">
        <f t="shared" si="1"/>
        <v>1</v>
      </c>
      <c r="F7" s="1">
        <f t="shared" si="2"/>
        <v>-1</v>
      </c>
      <c r="G7" s="1">
        <f t="shared" si="3"/>
        <v>1</v>
      </c>
      <c r="H7" s="8">
        <v>19</v>
      </c>
      <c r="T7" s="29">
        <v>-1</v>
      </c>
      <c r="U7" s="29">
        <f>B84-B85</f>
        <v>23.674999999999997</v>
      </c>
      <c r="V7" s="29">
        <f>AVERAGE(G51,G52,G55,G59,G60,G63,G64)</f>
        <v>24.400000000000002</v>
      </c>
    </row>
    <row r="8" spans="1:22" x14ac:dyDescent="0.25">
      <c r="A8" s="1">
        <v>-1</v>
      </c>
      <c r="B8" s="1">
        <v>1</v>
      </c>
      <c r="C8" s="1">
        <v>-1</v>
      </c>
      <c r="D8" s="1">
        <f t="shared" si="0"/>
        <v>-1</v>
      </c>
      <c r="E8" s="1">
        <f t="shared" si="1"/>
        <v>1</v>
      </c>
      <c r="F8" s="1">
        <f t="shared" si="2"/>
        <v>-1</v>
      </c>
      <c r="G8" s="1">
        <f t="shared" si="3"/>
        <v>1</v>
      </c>
      <c r="H8" s="8">
        <v>18.600000000000001</v>
      </c>
      <c r="T8" s="29">
        <v>1</v>
      </c>
      <c r="U8" s="29">
        <f>B84+B85</f>
        <v>47.325000000000003</v>
      </c>
      <c r="V8" s="29">
        <f>AVERAGE(G53,G54,G57,G58,G61,G62,G65,G66)</f>
        <v>47.325000000000003</v>
      </c>
    </row>
    <row r="9" spans="1:22" x14ac:dyDescent="0.25">
      <c r="A9" s="1">
        <v>1</v>
      </c>
      <c r="B9" s="1">
        <v>1</v>
      </c>
      <c r="C9" s="1">
        <v>-1</v>
      </c>
      <c r="D9" s="1">
        <f t="shared" si="0"/>
        <v>1</v>
      </c>
      <c r="E9" s="1">
        <f t="shared" si="1"/>
        <v>-1</v>
      </c>
      <c r="F9" s="1">
        <f t="shared" si="2"/>
        <v>-1</v>
      </c>
      <c r="G9" s="1">
        <f t="shared" si="3"/>
        <v>-1</v>
      </c>
      <c r="H9" s="8">
        <v>24.6</v>
      </c>
      <c r="T9" s="29" t="s">
        <v>92</v>
      </c>
      <c r="U9" s="29">
        <f>U8-U7</f>
        <v>23.650000000000006</v>
      </c>
      <c r="V9" s="29">
        <f>V8-V7</f>
        <v>22.925000000000001</v>
      </c>
    </row>
    <row r="10" spans="1:22" x14ac:dyDescent="0.25">
      <c r="A10" s="1">
        <v>1</v>
      </c>
      <c r="B10" s="1">
        <v>1</v>
      </c>
      <c r="C10" s="1">
        <v>-1</v>
      </c>
      <c r="D10" s="1">
        <f t="shared" si="0"/>
        <v>1</v>
      </c>
      <c r="E10" s="1">
        <f t="shared" si="1"/>
        <v>-1</v>
      </c>
      <c r="F10" s="1">
        <f t="shared" si="2"/>
        <v>-1</v>
      </c>
      <c r="G10" s="1">
        <f t="shared" si="3"/>
        <v>-1</v>
      </c>
      <c r="H10" s="8">
        <v>25.2</v>
      </c>
    </row>
    <row r="11" spans="1:22" x14ac:dyDescent="0.25">
      <c r="A11" s="1">
        <v>-1</v>
      </c>
      <c r="B11" s="1">
        <v>-1</v>
      </c>
      <c r="C11" s="1">
        <v>1</v>
      </c>
      <c r="D11" s="1">
        <f t="shared" si="0"/>
        <v>1</v>
      </c>
      <c r="E11" s="1">
        <f t="shared" si="1"/>
        <v>-1</v>
      </c>
      <c r="F11" s="1">
        <f t="shared" si="2"/>
        <v>-1</v>
      </c>
      <c r="G11" s="1">
        <f t="shared" si="3"/>
        <v>1</v>
      </c>
      <c r="H11" s="8">
        <v>31</v>
      </c>
    </row>
    <row r="12" spans="1:22" x14ac:dyDescent="0.25">
      <c r="A12" s="1">
        <v>-1</v>
      </c>
      <c r="B12" s="1">
        <v>-1</v>
      </c>
      <c r="C12" s="1">
        <v>1</v>
      </c>
      <c r="D12" s="1">
        <f t="shared" si="0"/>
        <v>1</v>
      </c>
      <c r="E12" s="1">
        <f t="shared" si="1"/>
        <v>-1</v>
      </c>
      <c r="F12" s="1">
        <f t="shared" si="2"/>
        <v>-1</v>
      </c>
      <c r="G12" s="1">
        <f t="shared" si="3"/>
        <v>1</v>
      </c>
      <c r="H12" s="8">
        <v>28.8</v>
      </c>
    </row>
    <row r="13" spans="1:22" x14ac:dyDescent="0.25">
      <c r="A13" s="1">
        <v>1</v>
      </c>
      <c r="B13" s="1">
        <v>-1</v>
      </c>
      <c r="C13" s="1">
        <v>1</v>
      </c>
      <c r="D13" s="1">
        <f t="shared" si="0"/>
        <v>-1</v>
      </c>
      <c r="E13" s="1">
        <f t="shared" si="1"/>
        <v>1</v>
      </c>
      <c r="F13" s="1">
        <f t="shared" si="2"/>
        <v>-1</v>
      </c>
      <c r="G13" s="1">
        <f t="shared" si="3"/>
        <v>-1</v>
      </c>
      <c r="H13" s="8">
        <v>71.3</v>
      </c>
      <c r="K13" s="49" t="s">
        <v>95</v>
      </c>
      <c r="L13" s="16"/>
      <c r="M13" s="16"/>
      <c r="N13" s="16"/>
      <c r="O13" s="16"/>
      <c r="P13" s="16"/>
      <c r="Q13" s="32"/>
    </row>
    <row r="14" spans="1:22" x14ac:dyDescent="0.25">
      <c r="A14" s="1">
        <v>1</v>
      </c>
      <c r="B14" s="1">
        <v>-1</v>
      </c>
      <c r="C14" s="1">
        <v>1</v>
      </c>
      <c r="D14" s="1">
        <f t="shared" si="0"/>
        <v>-1</v>
      </c>
      <c r="E14" s="1">
        <f t="shared" si="1"/>
        <v>1</v>
      </c>
      <c r="F14" s="1">
        <f t="shared" si="2"/>
        <v>-1</v>
      </c>
      <c r="G14" s="1">
        <f t="shared" si="3"/>
        <v>-1</v>
      </c>
      <c r="H14" s="8">
        <v>72.099999999999994</v>
      </c>
      <c r="K14" s="33"/>
      <c r="O14" s="65" t="s">
        <v>96</v>
      </c>
      <c r="P14" s="65"/>
      <c r="Q14" s="34"/>
    </row>
    <row r="15" spans="1:22" x14ac:dyDescent="0.25">
      <c r="A15" s="1">
        <v>-1</v>
      </c>
      <c r="B15" s="1">
        <v>1</v>
      </c>
      <c r="C15" s="1">
        <v>1</v>
      </c>
      <c r="D15" s="1">
        <f t="shared" si="0"/>
        <v>-1</v>
      </c>
      <c r="E15" s="1">
        <f t="shared" si="1"/>
        <v>-1</v>
      </c>
      <c r="F15" s="1">
        <f t="shared" si="2"/>
        <v>1</v>
      </c>
      <c r="G15" s="1">
        <f t="shared" si="3"/>
        <v>-1</v>
      </c>
      <c r="H15" s="8">
        <v>21.4</v>
      </c>
      <c r="K15" s="33"/>
      <c r="O15" s="28">
        <v>10</v>
      </c>
      <c r="P15" s="28">
        <v>60</v>
      </c>
      <c r="Q15" s="34"/>
    </row>
    <row r="16" spans="1:22" x14ac:dyDescent="0.25">
      <c r="A16" s="1">
        <v>-1</v>
      </c>
      <c r="B16" s="1">
        <v>1</v>
      </c>
      <c r="C16" s="1">
        <v>1</v>
      </c>
      <c r="D16" s="1">
        <f t="shared" si="0"/>
        <v>-1</v>
      </c>
      <c r="E16" s="1">
        <f t="shared" si="1"/>
        <v>-1</v>
      </c>
      <c r="F16" s="1">
        <f t="shared" si="2"/>
        <v>1</v>
      </c>
      <c r="G16" s="1">
        <f t="shared" si="3"/>
        <v>-1</v>
      </c>
      <c r="H16" s="8">
        <v>21</v>
      </c>
      <c r="K16" s="18"/>
      <c r="O16" s="28">
        <v>-1</v>
      </c>
      <c r="P16" s="28">
        <v>1</v>
      </c>
      <c r="Q16" s="34"/>
    </row>
    <row r="17" spans="1:29" x14ac:dyDescent="0.25">
      <c r="A17" s="1">
        <v>1</v>
      </c>
      <c r="B17" s="1">
        <v>1</v>
      </c>
      <c r="C17" s="1">
        <v>1</v>
      </c>
      <c r="D17" s="1">
        <f t="shared" si="0"/>
        <v>1</v>
      </c>
      <c r="E17" s="1">
        <f t="shared" si="1"/>
        <v>1</v>
      </c>
      <c r="F17" s="1">
        <f t="shared" si="2"/>
        <v>1</v>
      </c>
      <c r="G17" s="1">
        <f t="shared" si="3"/>
        <v>1</v>
      </c>
      <c r="H17" s="8">
        <v>44.1</v>
      </c>
      <c r="K17" s="33"/>
      <c r="L17" s="64" t="s">
        <v>97</v>
      </c>
      <c r="M17" s="28">
        <v>100</v>
      </c>
      <c r="N17" s="30">
        <v>-1</v>
      </c>
      <c r="O17" s="29">
        <f>AVERAGE(H3:H4,H11:H12)</f>
        <v>27.349999999999998</v>
      </c>
      <c r="P17" s="29">
        <f>AVERAGE(H5:H6,H13:H14)</f>
        <v>60.05</v>
      </c>
      <c r="Q17" s="34"/>
    </row>
    <row r="18" spans="1:29" x14ac:dyDescent="0.25">
      <c r="A18" s="1">
        <v>1</v>
      </c>
      <c r="B18" s="1">
        <v>1</v>
      </c>
      <c r="C18" s="1">
        <v>1</v>
      </c>
      <c r="D18" s="1">
        <f t="shared" si="0"/>
        <v>1</v>
      </c>
      <c r="E18" s="1">
        <f t="shared" si="1"/>
        <v>1</v>
      </c>
      <c r="F18" s="1">
        <f t="shared" si="2"/>
        <v>1</v>
      </c>
      <c r="G18" s="1">
        <f t="shared" si="3"/>
        <v>1</v>
      </c>
      <c r="H18" s="8">
        <v>44.5</v>
      </c>
      <c r="K18" s="33"/>
      <c r="L18" s="64"/>
      <c r="M18" s="28">
        <v>300</v>
      </c>
      <c r="N18" s="30">
        <v>1</v>
      </c>
      <c r="O18" s="29">
        <f>AVERAGE(H7:H8,H15:H16)</f>
        <v>20</v>
      </c>
      <c r="P18" s="29">
        <f>AVERAGE(H9:H10,H17:H18)</f>
        <v>34.6</v>
      </c>
      <c r="Q18" s="34"/>
    </row>
    <row r="19" spans="1:29" x14ac:dyDescent="0.25">
      <c r="K19" s="18"/>
      <c r="Q19" s="34"/>
    </row>
    <row r="20" spans="1:29" x14ac:dyDescent="0.25">
      <c r="K20" s="48"/>
      <c r="Q20" s="34"/>
    </row>
    <row r="21" spans="1:29" x14ac:dyDescent="0.25">
      <c r="A21" t="s">
        <v>6</v>
      </c>
      <c r="K21" s="48"/>
      <c r="Q21" s="34"/>
    </row>
    <row r="22" spans="1:29" ht="15.75" thickBot="1" x14ac:dyDescent="0.3">
      <c r="K22" s="48"/>
      <c r="Q22" s="34"/>
      <c r="AC22" s="7"/>
    </row>
    <row r="23" spans="1:29" x14ac:dyDescent="0.25">
      <c r="A23" s="10" t="s">
        <v>7</v>
      </c>
      <c r="B23" s="10"/>
      <c r="K23" s="48"/>
      <c r="Q23" s="34"/>
    </row>
    <row r="24" spans="1:29" x14ac:dyDescent="0.25">
      <c r="A24" t="s">
        <v>8</v>
      </c>
      <c r="B24">
        <v>0.99926471058163613</v>
      </c>
      <c r="K24" s="48"/>
      <c r="Q24" s="34"/>
    </row>
    <row r="25" spans="1:29" x14ac:dyDescent="0.25">
      <c r="A25" t="s">
        <v>9</v>
      </c>
      <c r="B25">
        <v>0.99852996181380094</v>
      </c>
      <c r="K25" s="33"/>
      <c r="Q25" s="34"/>
      <c r="T25" s="28" t="s">
        <v>49</v>
      </c>
      <c r="U25" s="28"/>
      <c r="V25" s="28"/>
    </row>
    <row r="26" spans="1:29" x14ac:dyDescent="0.25">
      <c r="A26" t="s">
        <v>10</v>
      </c>
      <c r="B26">
        <v>0.99724367840087669</v>
      </c>
      <c r="K26" s="18"/>
      <c r="Q26" s="34"/>
      <c r="T26" s="29">
        <v>-1</v>
      </c>
      <c r="U26" s="29">
        <f>B84-B86</f>
        <v>43.7</v>
      </c>
      <c r="V26" s="29">
        <f>AVERAGE(G51,G52,G53,G54,G59,G60,G61,G62)</f>
        <v>43.7</v>
      </c>
    </row>
    <row r="27" spans="1:29" x14ac:dyDescent="0.25">
      <c r="A27" t="s">
        <v>11</v>
      </c>
      <c r="B27">
        <v>0.91923881554250952</v>
      </c>
      <c r="K27" s="33"/>
      <c r="Q27" s="34"/>
      <c r="T27" s="29">
        <v>1</v>
      </c>
      <c r="U27" s="29">
        <f>B84+B86</f>
        <v>27.3</v>
      </c>
      <c r="V27" s="29">
        <f>AVERAGE(G55,G56,G57,G58,G63,G64,G65,G66)</f>
        <v>27.3</v>
      </c>
    </row>
    <row r="28" spans="1:29" ht="15.75" thickBot="1" x14ac:dyDescent="0.3">
      <c r="A28" s="11" t="s">
        <v>12</v>
      </c>
      <c r="B28" s="11">
        <v>16</v>
      </c>
      <c r="K28" s="33"/>
      <c r="Q28" s="34"/>
      <c r="T28" s="29" t="s">
        <v>93</v>
      </c>
      <c r="U28" s="29">
        <f>U27-U26</f>
        <v>-16.400000000000002</v>
      </c>
      <c r="V28" s="29">
        <f>V27-V26</f>
        <v>-16.400000000000002</v>
      </c>
    </row>
    <row r="29" spans="1:29" x14ac:dyDescent="0.25">
      <c r="K29" s="33"/>
      <c r="Q29" s="34"/>
    </row>
    <row r="30" spans="1:29" ht="15.75" thickBot="1" x14ac:dyDescent="0.3">
      <c r="A30" t="s">
        <v>13</v>
      </c>
      <c r="K30" s="35"/>
      <c r="L30" s="36"/>
      <c r="M30" s="36"/>
      <c r="N30" s="36"/>
      <c r="O30" s="36"/>
      <c r="P30" s="36"/>
      <c r="Q30" s="37"/>
    </row>
    <row r="31" spans="1:29" x14ac:dyDescent="0.25">
      <c r="A31" s="12"/>
      <c r="B31" s="12" t="s">
        <v>14</v>
      </c>
      <c r="C31" s="12" t="s">
        <v>15</v>
      </c>
      <c r="D31" s="12" t="s">
        <v>16</v>
      </c>
      <c r="E31" s="12" t="s">
        <v>17</v>
      </c>
      <c r="F31" s="12" t="s">
        <v>18</v>
      </c>
    </row>
    <row r="32" spans="1:29" x14ac:dyDescent="0.25">
      <c r="A32" t="s">
        <v>19</v>
      </c>
      <c r="B32">
        <v>7</v>
      </c>
      <c r="C32">
        <v>4591.7599999999993</v>
      </c>
      <c r="D32">
        <v>655.96571428571417</v>
      </c>
      <c r="E32">
        <v>776.29078613694378</v>
      </c>
      <c r="F32">
        <v>1.0924014409494111E-10</v>
      </c>
    </row>
    <row r="33" spans="1:22" x14ac:dyDescent="0.25">
      <c r="A33" t="s">
        <v>20</v>
      </c>
      <c r="B33">
        <v>8</v>
      </c>
      <c r="C33">
        <v>6.759999999999966</v>
      </c>
      <c r="D33">
        <v>0.84499999999999575</v>
      </c>
    </row>
    <row r="34" spans="1:22" ht="15.75" thickBot="1" x14ac:dyDescent="0.3">
      <c r="A34" s="11" t="s">
        <v>21</v>
      </c>
      <c r="B34" s="11">
        <v>15</v>
      </c>
      <c r="C34" s="11">
        <v>4598.5199999999995</v>
      </c>
      <c r="D34" s="11"/>
      <c r="E34" s="11"/>
      <c r="F34" s="11"/>
    </row>
    <row r="35" spans="1:22" ht="15.75" thickBot="1" x14ac:dyDescent="0.3">
      <c r="K35" s="49" t="s">
        <v>99</v>
      </c>
      <c r="L35" s="16"/>
      <c r="M35" s="16"/>
      <c r="N35" s="16"/>
      <c r="O35" s="16"/>
      <c r="P35" s="16"/>
      <c r="Q35" s="32"/>
    </row>
    <row r="36" spans="1:22" x14ac:dyDescent="0.25">
      <c r="A36" s="12"/>
      <c r="B36" s="12" t="s">
        <v>22</v>
      </c>
      <c r="C36" s="12" t="s">
        <v>11</v>
      </c>
      <c r="D36" s="12" t="s">
        <v>23</v>
      </c>
      <c r="E36" s="12" t="s">
        <v>24</v>
      </c>
      <c r="F36" s="12" t="s">
        <v>25</v>
      </c>
      <c r="G36" s="12" t="s">
        <v>26</v>
      </c>
      <c r="H36" s="12" t="s">
        <v>32</v>
      </c>
      <c r="I36" s="12" t="s">
        <v>33</v>
      </c>
      <c r="K36" s="33"/>
      <c r="O36" s="65" t="s">
        <v>96</v>
      </c>
      <c r="P36" s="65"/>
      <c r="Q36" s="34"/>
    </row>
    <row r="37" spans="1:22" x14ac:dyDescent="0.25">
      <c r="A37" t="s">
        <v>27</v>
      </c>
      <c r="B37" s="14">
        <v>35.5</v>
      </c>
      <c r="C37">
        <v>0.22980970388562738</v>
      </c>
      <c r="D37">
        <v>154.47563527459999</v>
      </c>
      <c r="E37">
        <v>3.4499598296281438E-15</v>
      </c>
      <c r="F37">
        <v>34.970057872529701</v>
      </c>
      <c r="G37">
        <v>36.029942127470299</v>
      </c>
      <c r="H37">
        <v>34.970057872529701</v>
      </c>
      <c r="I37">
        <v>36.029942127470299</v>
      </c>
      <c r="K37" s="33"/>
      <c r="O37" s="28">
        <v>10</v>
      </c>
      <c r="P37" s="28">
        <v>60</v>
      </c>
      <c r="Q37" s="34"/>
    </row>
    <row r="38" spans="1:22" x14ac:dyDescent="0.25">
      <c r="A38" t="s">
        <v>2</v>
      </c>
      <c r="B38" s="14">
        <v>11.825000000000001</v>
      </c>
      <c r="C38">
        <v>0.22980970388562738</v>
      </c>
      <c r="D38">
        <v>51.455616538651974</v>
      </c>
      <c r="E38" s="14">
        <v>2.2544402100280342E-11</v>
      </c>
      <c r="F38">
        <v>11.2950578725297</v>
      </c>
      <c r="G38">
        <v>12.354942127470302</v>
      </c>
      <c r="H38">
        <v>11.2950578725297</v>
      </c>
      <c r="I38">
        <v>12.354942127470302</v>
      </c>
      <c r="K38" s="18"/>
      <c r="O38" s="28">
        <v>-1</v>
      </c>
      <c r="P38" s="28">
        <v>1</v>
      </c>
      <c r="Q38" s="34"/>
    </row>
    <row r="39" spans="1:22" x14ac:dyDescent="0.25">
      <c r="A39" t="s">
        <v>3</v>
      </c>
      <c r="B39" s="14">
        <v>-8.1999999999999993</v>
      </c>
      <c r="C39">
        <v>0.22980970388562738</v>
      </c>
      <c r="D39">
        <v>-35.681696035259712</v>
      </c>
      <c r="E39" s="14">
        <v>4.1673539657289847E-10</v>
      </c>
      <c r="F39">
        <v>-8.7299421274703004</v>
      </c>
      <c r="G39">
        <v>-7.6700578725296973</v>
      </c>
      <c r="H39">
        <v>-8.7299421274703004</v>
      </c>
      <c r="I39">
        <v>-7.6700578725296973</v>
      </c>
      <c r="K39" s="33"/>
      <c r="L39" s="64" t="s">
        <v>100</v>
      </c>
      <c r="M39" s="28">
        <v>400</v>
      </c>
      <c r="N39" s="30">
        <v>-1</v>
      </c>
      <c r="O39" s="29">
        <f>AVERAGE(H3:H4,H7:H8)</f>
        <v>21.799999999999997</v>
      </c>
      <c r="P39" s="29">
        <f>AVERAGE(H5:H6,H9:H10)</f>
        <v>36.65</v>
      </c>
      <c r="Q39" s="34"/>
    </row>
    <row r="40" spans="1:22" x14ac:dyDescent="0.25">
      <c r="A40" t="s">
        <v>29</v>
      </c>
      <c r="B40" s="14">
        <v>6.2749999999999986</v>
      </c>
      <c r="C40">
        <v>0.22980970388562738</v>
      </c>
      <c r="D40">
        <v>27.305200319665204</v>
      </c>
      <c r="E40" s="14">
        <v>3.4879243391636947E-9</v>
      </c>
      <c r="F40">
        <v>5.7450578725296966</v>
      </c>
      <c r="G40">
        <v>6.8049421274703006</v>
      </c>
      <c r="H40">
        <v>5.7450578725296966</v>
      </c>
      <c r="I40">
        <v>6.8049421274703006</v>
      </c>
      <c r="K40" s="33"/>
      <c r="L40" s="64"/>
      <c r="M40" s="28">
        <v>800</v>
      </c>
      <c r="N40" s="30">
        <v>1</v>
      </c>
      <c r="O40" s="29">
        <f>AVERAGE(H11:H12,H15:H16)</f>
        <v>25.549999999999997</v>
      </c>
      <c r="P40" s="29">
        <f>AVERAGE(H13:H14,H17:H18)</f>
        <v>57.999999999999993</v>
      </c>
      <c r="Q40" s="34"/>
    </row>
    <row r="41" spans="1:22" x14ac:dyDescent="0.25">
      <c r="A41" t="s">
        <v>4</v>
      </c>
      <c r="B41" s="14">
        <v>-4.5250000000000004</v>
      </c>
      <c r="C41">
        <v>0.22980970388562738</v>
      </c>
      <c r="D41">
        <v>-19.690204214579296</v>
      </c>
      <c r="E41" s="14">
        <v>4.605515541781009E-8</v>
      </c>
      <c r="F41">
        <v>-5.0549421274703024</v>
      </c>
      <c r="G41">
        <v>-3.9950578725296984</v>
      </c>
      <c r="H41">
        <v>-5.0549421274703024</v>
      </c>
      <c r="I41">
        <v>-3.9950578725296984</v>
      </c>
      <c r="K41" s="18"/>
      <c r="Q41" s="34"/>
    </row>
    <row r="42" spans="1:22" x14ac:dyDescent="0.25">
      <c r="A42" t="s">
        <v>30</v>
      </c>
      <c r="B42" s="14">
        <v>4.3999999999999995</v>
      </c>
      <c r="C42">
        <v>0.22980970388562738</v>
      </c>
      <c r="D42">
        <v>19.146275921358871</v>
      </c>
      <c r="E42" s="14">
        <v>5.7383161459992856E-8</v>
      </c>
      <c r="F42">
        <v>3.8700578725296975</v>
      </c>
      <c r="G42">
        <v>4.9299421274703015</v>
      </c>
      <c r="H42">
        <v>3.8700578725296975</v>
      </c>
      <c r="I42">
        <v>4.9299421274703015</v>
      </c>
      <c r="K42" s="48"/>
      <c r="Q42" s="34"/>
      <c r="T42" s="28" t="s">
        <v>50</v>
      </c>
      <c r="U42" s="28"/>
      <c r="V42" s="28"/>
    </row>
    <row r="43" spans="1:22" x14ac:dyDescent="0.25">
      <c r="A43" t="s">
        <v>31</v>
      </c>
      <c r="B43" s="14">
        <v>-0.82500000000000173</v>
      </c>
      <c r="C43">
        <v>0.22980970388562738</v>
      </c>
      <c r="D43">
        <v>-3.5899267352547959</v>
      </c>
      <c r="E43" s="14">
        <v>7.0852429158290535E-3</v>
      </c>
      <c r="F43">
        <v>-1.3549421274703035</v>
      </c>
      <c r="G43">
        <v>-0.29505787252969984</v>
      </c>
      <c r="H43">
        <v>-1.3549421274703035</v>
      </c>
      <c r="I43">
        <v>-0.29505787252969984</v>
      </c>
      <c r="K43" s="48"/>
      <c r="Q43" s="34"/>
      <c r="T43" s="29">
        <v>-1</v>
      </c>
      <c r="U43" s="29">
        <f>B84-B87</f>
        <v>29.225000000000001</v>
      </c>
      <c r="V43" s="29">
        <f>AVERAGE(G51,G52,G53,G54,G55,G56,G57,G58)</f>
        <v>29.224999999999994</v>
      </c>
    </row>
    <row r="44" spans="1:22" ht="15.75" thickBot="1" x14ac:dyDescent="0.3">
      <c r="A44" s="11" t="s">
        <v>46</v>
      </c>
      <c r="B44" s="47">
        <v>-0.14999999999999972</v>
      </c>
      <c r="C44" s="11">
        <v>0.22980970388562738</v>
      </c>
      <c r="D44" s="11">
        <v>-0.65271395186450576</v>
      </c>
      <c r="E44" s="11">
        <v>0.53224476417128552</v>
      </c>
      <c r="F44" s="11">
        <v>-0.67994212747030158</v>
      </c>
      <c r="G44" s="11">
        <v>0.3799421274703022</v>
      </c>
      <c r="H44" s="11">
        <v>-0.67994212747030158</v>
      </c>
      <c r="I44" s="11">
        <v>0.3799421274703022</v>
      </c>
      <c r="K44" s="48"/>
      <c r="Q44" s="34"/>
      <c r="T44" s="29">
        <v>1</v>
      </c>
      <c r="U44" s="29">
        <f>B84+B87</f>
        <v>41.774999999999999</v>
      </c>
      <c r="V44" s="29">
        <f>AVERAGE(G59,G60,G61,G62,G63,G64,G65,G66)</f>
        <v>41.774999999999999</v>
      </c>
    </row>
    <row r="45" spans="1:22" ht="15.75" x14ac:dyDescent="0.25">
      <c r="A45" s="52" t="s">
        <v>74</v>
      </c>
      <c r="K45" s="48"/>
      <c r="Q45" s="34"/>
      <c r="T45" s="29" t="s">
        <v>94</v>
      </c>
      <c r="U45" s="29">
        <f>U44-U43</f>
        <v>12.549999999999997</v>
      </c>
      <c r="V45" s="29">
        <f>V44-V43</f>
        <v>12.550000000000004</v>
      </c>
    </row>
    <row r="46" spans="1:22" x14ac:dyDescent="0.25">
      <c r="K46" s="48"/>
      <c r="Q46" s="34"/>
    </row>
    <row r="47" spans="1:22" x14ac:dyDescent="0.25">
      <c r="K47" s="33"/>
      <c r="Q47" s="34"/>
    </row>
    <row r="48" spans="1:22" x14ac:dyDescent="0.25">
      <c r="K48" s="18"/>
      <c r="Q48" s="34"/>
    </row>
    <row r="49" spans="1:17" x14ac:dyDescent="0.25">
      <c r="K49" s="33"/>
      <c r="Q49" s="34"/>
    </row>
    <row r="50" spans="1:17" x14ac:dyDescent="0.25">
      <c r="A50" s="53" t="s">
        <v>2</v>
      </c>
      <c r="B50" s="53" t="s">
        <v>3</v>
      </c>
      <c r="C50" s="53" t="s">
        <v>29</v>
      </c>
      <c r="D50" s="53" t="s">
        <v>4</v>
      </c>
      <c r="E50" s="53" t="s">
        <v>30</v>
      </c>
      <c r="F50" s="53" t="s">
        <v>31</v>
      </c>
      <c r="G50" s="28" t="s">
        <v>5</v>
      </c>
      <c r="K50" s="33"/>
      <c r="Q50" s="34"/>
    </row>
    <row r="51" spans="1:17" x14ac:dyDescent="0.25">
      <c r="A51" s="28">
        <v>-1</v>
      </c>
      <c r="B51" s="28">
        <v>-1</v>
      </c>
      <c r="C51" s="28">
        <v>-1</v>
      </c>
      <c r="D51" s="28">
        <f>A51*B51</f>
        <v>1</v>
      </c>
      <c r="E51" s="28">
        <f>A51*C51</f>
        <v>1</v>
      </c>
      <c r="F51" s="28">
        <f>B51*C51</f>
        <v>1</v>
      </c>
      <c r="G51" s="54">
        <v>26</v>
      </c>
      <c r="K51" s="33"/>
      <c r="Q51" s="34"/>
    </row>
    <row r="52" spans="1:17" x14ac:dyDescent="0.25">
      <c r="A52" s="28">
        <v>-1</v>
      </c>
      <c r="B52" s="28">
        <v>-1</v>
      </c>
      <c r="C52" s="28">
        <v>-1</v>
      </c>
      <c r="D52" s="28">
        <f t="shared" ref="D52:D66" si="4">A52*B52</f>
        <v>1</v>
      </c>
      <c r="E52" s="28">
        <f t="shared" ref="E52:E66" si="5">A52*C52</f>
        <v>1</v>
      </c>
      <c r="F52" s="28">
        <f t="shared" ref="F52:F66" si="6">B52*C52</f>
        <v>1</v>
      </c>
      <c r="G52" s="54">
        <v>23.6</v>
      </c>
      <c r="K52" s="35"/>
      <c r="L52" s="36"/>
      <c r="M52" s="36"/>
      <c r="N52" s="36"/>
      <c r="O52" s="36"/>
      <c r="P52" s="36"/>
      <c r="Q52" s="37"/>
    </row>
    <row r="53" spans="1:17" x14ac:dyDescent="0.25">
      <c r="A53" s="28">
        <v>1</v>
      </c>
      <c r="B53" s="28">
        <v>-1</v>
      </c>
      <c r="C53" s="28">
        <v>-1</v>
      </c>
      <c r="D53" s="28">
        <f t="shared" si="4"/>
        <v>-1</v>
      </c>
      <c r="E53" s="28">
        <f t="shared" si="5"/>
        <v>-1</v>
      </c>
      <c r="F53" s="28">
        <f t="shared" si="6"/>
        <v>1</v>
      </c>
      <c r="G53" s="54">
        <v>49</v>
      </c>
    </row>
    <row r="54" spans="1:17" x14ac:dyDescent="0.25">
      <c r="A54" s="28">
        <v>1</v>
      </c>
      <c r="B54" s="28">
        <v>-1</v>
      </c>
      <c r="C54" s="28">
        <v>-1</v>
      </c>
      <c r="D54" s="28">
        <f t="shared" si="4"/>
        <v>-1</v>
      </c>
      <c r="E54" s="28">
        <f t="shared" si="5"/>
        <v>-1</v>
      </c>
      <c r="F54" s="28">
        <f t="shared" si="6"/>
        <v>1</v>
      </c>
      <c r="G54" s="54">
        <v>47.8</v>
      </c>
    </row>
    <row r="55" spans="1:17" x14ac:dyDescent="0.25">
      <c r="A55" s="28">
        <v>-1</v>
      </c>
      <c r="B55" s="28">
        <v>1</v>
      </c>
      <c r="C55" s="28">
        <v>-1</v>
      </c>
      <c r="D55" s="28">
        <f t="shared" si="4"/>
        <v>-1</v>
      </c>
      <c r="E55" s="28">
        <f t="shared" si="5"/>
        <v>1</v>
      </c>
      <c r="F55" s="28">
        <f t="shared" si="6"/>
        <v>-1</v>
      </c>
      <c r="G55" s="54">
        <v>19</v>
      </c>
    </row>
    <row r="56" spans="1:17" x14ac:dyDescent="0.25">
      <c r="A56" s="28">
        <v>-1</v>
      </c>
      <c r="B56" s="28">
        <v>1</v>
      </c>
      <c r="C56" s="28">
        <v>-1</v>
      </c>
      <c r="D56" s="28">
        <f t="shared" si="4"/>
        <v>-1</v>
      </c>
      <c r="E56" s="28">
        <f t="shared" si="5"/>
        <v>1</v>
      </c>
      <c r="F56" s="28">
        <f t="shared" si="6"/>
        <v>-1</v>
      </c>
      <c r="G56" s="54">
        <v>18.600000000000001</v>
      </c>
    </row>
    <row r="57" spans="1:17" x14ac:dyDescent="0.25">
      <c r="A57" s="28">
        <v>1</v>
      </c>
      <c r="B57" s="28">
        <v>1</v>
      </c>
      <c r="C57" s="28">
        <v>-1</v>
      </c>
      <c r="D57" s="28">
        <f t="shared" si="4"/>
        <v>1</v>
      </c>
      <c r="E57" s="28">
        <f t="shared" si="5"/>
        <v>-1</v>
      </c>
      <c r="F57" s="28">
        <f t="shared" si="6"/>
        <v>-1</v>
      </c>
      <c r="G57" s="54">
        <v>24.6</v>
      </c>
      <c r="K57" s="49" t="s">
        <v>101</v>
      </c>
      <c r="L57" s="16"/>
      <c r="M57" s="16"/>
      <c r="N57" s="16"/>
      <c r="O57" s="16"/>
      <c r="P57" s="16"/>
      <c r="Q57" s="32"/>
    </row>
    <row r="58" spans="1:17" x14ac:dyDescent="0.25">
      <c r="A58" s="28">
        <v>1</v>
      </c>
      <c r="B58" s="28">
        <v>1</v>
      </c>
      <c r="C58" s="28">
        <v>-1</v>
      </c>
      <c r="D58" s="28">
        <f t="shared" si="4"/>
        <v>1</v>
      </c>
      <c r="E58" s="28">
        <f t="shared" si="5"/>
        <v>-1</v>
      </c>
      <c r="F58" s="28">
        <f t="shared" si="6"/>
        <v>-1</v>
      </c>
      <c r="G58" s="54">
        <v>25.2</v>
      </c>
      <c r="K58" s="33"/>
      <c r="O58" s="65" t="s">
        <v>97</v>
      </c>
      <c r="P58" s="65"/>
      <c r="Q58" s="34"/>
    </row>
    <row r="59" spans="1:17" x14ac:dyDescent="0.25">
      <c r="A59" s="28">
        <v>-1</v>
      </c>
      <c r="B59" s="28">
        <v>-1</v>
      </c>
      <c r="C59" s="28">
        <v>1</v>
      </c>
      <c r="D59" s="28">
        <f t="shared" si="4"/>
        <v>1</v>
      </c>
      <c r="E59" s="28">
        <f t="shared" si="5"/>
        <v>-1</v>
      </c>
      <c r="F59" s="28">
        <f t="shared" si="6"/>
        <v>-1</v>
      </c>
      <c r="G59" s="54">
        <v>31</v>
      </c>
      <c r="K59" s="33"/>
      <c r="O59" s="28">
        <v>100</v>
      </c>
      <c r="P59" s="28">
        <v>300</v>
      </c>
      <c r="Q59" s="34"/>
    </row>
    <row r="60" spans="1:17" x14ac:dyDescent="0.25">
      <c r="A60" s="28">
        <v>-1</v>
      </c>
      <c r="B60" s="28">
        <v>-1</v>
      </c>
      <c r="C60" s="28">
        <v>1</v>
      </c>
      <c r="D60" s="28">
        <f t="shared" si="4"/>
        <v>1</v>
      </c>
      <c r="E60" s="28">
        <f t="shared" si="5"/>
        <v>-1</v>
      </c>
      <c r="F60" s="28">
        <f t="shared" si="6"/>
        <v>-1</v>
      </c>
      <c r="G60" s="54">
        <v>28.8</v>
      </c>
      <c r="K60" s="18"/>
      <c r="O60" s="28">
        <v>-1</v>
      </c>
      <c r="P60" s="28">
        <v>1</v>
      </c>
      <c r="Q60" s="34"/>
    </row>
    <row r="61" spans="1:17" x14ac:dyDescent="0.25">
      <c r="A61" s="28">
        <v>1</v>
      </c>
      <c r="B61" s="28">
        <v>-1</v>
      </c>
      <c r="C61" s="28">
        <v>1</v>
      </c>
      <c r="D61" s="28">
        <f t="shared" si="4"/>
        <v>-1</v>
      </c>
      <c r="E61" s="28">
        <f t="shared" si="5"/>
        <v>1</v>
      </c>
      <c r="F61" s="28">
        <f t="shared" si="6"/>
        <v>-1</v>
      </c>
      <c r="G61" s="54">
        <v>71.3</v>
      </c>
      <c r="K61" s="33"/>
      <c r="L61" s="64" t="s">
        <v>100</v>
      </c>
      <c r="M61" s="28">
        <v>400</v>
      </c>
      <c r="N61" s="30">
        <v>-1</v>
      </c>
      <c r="O61" s="29">
        <f>AVERAGE(H3:H4,H5:H6)</f>
        <v>36.599999999999994</v>
      </c>
      <c r="P61" s="29">
        <f>AVERAGE(H7:H8,H9:H10)</f>
        <v>21.85</v>
      </c>
      <c r="Q61" s="34"/>
    </row>
    <row r="62" spans="1:17" x14ac:dyDescent="0.25">
      <c r="A62" s="28">
        <v>1</v>
      </c>
      <c r="B62" s="28">
        <v>-1</v>
      </c>
      <c r="C62" s="28">
        <v>1</v>
      </c>
      <c r="D62" s="28">
        <f t="shared" si="4"/>
        <v>-1</v>
      </c>
      <c r="E62" s="28">
        <f t="shared" si="5"/>
        <v>1</v>
      </c>
      <c r="F62" s="28">
        <f t="shared" si="6"/>
        <v>-1</v>
      </c>
      <c r="G62" s="54">
        <v>72.099999999999994</v>
      </c>
      <c r="K62" s="33"/>
      <c r="L62" s="64"/>
      <c r="M62" s="28">
        <v>800</v>
      </c>
      <c r="N62" s="30">
        <v>1</v>
      </c>
      <c r="O62" s="29">
        <f>AVERAGE(H11:H12,H13:H14)</f>
        <v>50.8</v>
      </c>
      <c r="P62" s="29">
        <f>AVERAGE(H15:H16,H17:H18)</f>
        <v>32.75</v>
      </c>
      <c r="Q62" s="34"/>
    </row>
    <row r="63" spans="1:17" x14ac:dyDescent="0.25">
      <c r="A63" s="28">
        <v>-1</v>
      </c>
      <c r="B63" s="28">
        <v>1</v>
      </c>
      <c r="C63" s="28">
        <v>1</v>
      </c>
      <c r="D63" s="28">
        <f t="shared" si="4"/>
        <v>-1</v>
      </c>
      <c r="E63" s="28">
        <f t="shared" si="5"/>
        <v>-1</v>
      </c>
      <c r="F63" s="28">
        <f t="shared" si="6"/>
        <v>1</v>
      </c>
      <c r="G63" s="54">
        <v>21.4</v>
      </c>
      <c r="K63" s="18"/>
      <c r="Q63" s="34"/>
    </row>
    <row r="64" spans="1:17" x14ac:dyDescent="0.25">
      <c r="A64" s="28">
        <v>-1</v>
      </c>
      <c r="B64" s="28">
        <v>1</v>
      </c>
      <c r="C64" s="28">
        <v>1</v>
      </c>
      <c r="D64" s="28">
        <f t="shared" si="4"/>
        <v>-1</v>
      </c>
      <c r="E64" s="28">
        <f t="shared" si="5"/>
        <v>-1</v>
      </c>
      <c r="F64" s="28">
        <f t="shared" si="6"/>
        <v>1</v>
      </c>
      <c r="G64" s="54">
        <v>21</v>
      </c>
      <c r="K64" s="48"/>
      <c r="Q64" s="34"/>
    </row>
    <row r="65" spans="1:17" x14ac:dyDescent="0.25">
      <c r="A65" s="28">
        <v>1</v>
      </c>
      <c r="B65" s="28">
        <v>1</v>
      </c>
      <c r="C65" s="28">
        <v>1</v>
      </c>
      <c r="D65" s="28">
        <f t="shared" si="4"/>
        <v>1</v>
      </c>
      <c r="E65" s="28">
        <f t="shared" si="5"/>
        <v>1</v>
      </c>
      <c r="F65" s="28">
        <f t="shared" si="6"/>
        <v>1</v>
      </c>
      <c r="G65" s="54">
        <v>44.1</v>
      </c>
      <c r="K65" s="48"/>
      <c r="Q65" s="34"/>
    </row>
    <row r="66" spans="1:17" x14ac:dyDescent="0.25">
      <c r="A66" s="28">
        <v>1</v>
      </c>
      <c r="B66" s="28">
        <v>1</v>
      </c>
      <c r="C66" s="28">
        <v>1</v>
      </c>
      <c r="D66" s="28">
        <f t="shared" si="4"/>
        <v>1</v>
      </c>
      <c r="E66" s="28">
        <f t="shared" si="5"/>
        <v>1</v>
      </c>
      <c r="F66" s="28">
        <f t="shared" si="6"/>
        <v>1</v>
      </c>
      <c r="G66" s="54">
        <v>44.5</v>
      </c>
      <c r="K66" s="48"/>
      <c r="Q66" s="34"/>
    </row>
    <row r="67" spans="1:17" x14ac:dyDescent="0.25">
      <c r="K67" s="48"/>
      <c r="Q67" s="34"/>
    </row>
    <row r="68" spans="1:17" x14ac:dyDescent="0.25">
      <c r="A68" t="s">
        <v>6</v>
      </c>
      <c r="K68" s="48"/>
      <c r="Q68" s="34"/>
    </row>
    <row r="69" spans="1:17" ht="15.75" thickBot="1" x14ac:dyDescent="0.3">
      <c r="K69" s="33"/>
      <c r="Q69" s="34"/>
    </row>
    <row r="70" spans="1:17" x14ac:dyDescent="0.25">
      <c r="A70" s="10" t="s">
        <v>7</v>
      </c>
      <c r="B70" s="10"/>
      <c r="K70" s="18"/>
      <c r="Q70" s="34"/>
    </row>
    <row r="71" spans="1:17" x14ac:dyDescent="0.25">
      <c r="A71" t="s">
        <v>8</v>
      </c>
      <c r="B71">
        <v>0.99922553798256564</v>
      </c>
      <c r="K71" s="33"/>
      <c r="Q71" s="34"/>
    </row>
    <row r="72" spans="1:17" x14ac:dyDescent="0.25">
      <c r="A72" t="s">
        <v>9</v>
      </c>
      <c r="B72">
        <v>0.99845167575654781</v>
      </c>
      <c r="K72" s="33"/>
      <c r="Q72" s="34"/>
    </row>
    <row r="73" spans="1:17" x14ac:dyDescent="0.25">
      <c r="A73" t="s">
        <v>10</v>
      </c>
      <c r="B73">
        <v>0.99741945959424627</v>
      </c>
      <c r="K73" s="33"/>
      <c r="Q73" s="34"/>
    </row>
    <row r="74" spans="1:17" x14ac:dyDescent="0.25">
      <c r="A74" t="s">
        <v>11</v>
      </c>
      <c r="B74">
        <v>0.88944427094175327</v>
      </c>
      <c r="K74" s="35"/>
      <c r="L74" s="36"/>
      <c r="M74" s="36"/>
      <c r="N74" s="36"/>
      <c r="O74" s="36"/>
      <c r="P74" s="36"/>
      <c r="Q74" s="37"/>
    </row>
    <row r="75" spans="1:17" ht="15.75" thickBot="1" x14ac:dyDescent="0.3">
      <c r="A75" s="11" t="s">
        <v>12</v>
      </c>
      <c r="B75" s="11">
        <v>16</v>
      </c>
    </row>
    <row r="77" spans="1:17" ht="15.75" thickBot="1" x14ac:dyDescent="0.3">
      <c r="A77" t="s">
        <v>13</v>
      </c>
    </row>
    <row r="78" spans="1:17" x14ac:dyDescent="0.25">
      <c r="A78" s="12"/>
      <c r="B78" s="12" t="s">
        <v>14</v>
      </c>
      <c r="C78" s="12" t="s">
        <v>15</v>
      </c>
      <c r="D78" s="12" t="s">
        <v>16</v>
      </c>
      <c r="E78" s="12" t="s">
        <v>17</v>
      </c>
      <c r="F78" s="12" t="s">
        <v>18</v>
      </c>
    </row>
    <row r="79" spans="1:17" x14ac:dyDescent="0.25">
      <c r="A79" t="s">
        <v>19</v>
      </c>
      <c r="B79">
        <v>6</v>
      </c>
      <c r="C79">
        <v>4591.3999999999996</v>
      </c>
      <c r="D79">
        <v>765.23333333333323</v>
      </c>
      <c r="E79">
        <v>967.28932584270149</v>
      </c>
      <c r="F79">
        <v>4.0320290442010717E-12</v>
      </c>
    </row>
    <row r="80" spans="1:17" x14ac:dyDescent="0.25">
      <c r="A80" t="s">
        <v>20</v>
      </c>
      <c r="B80">
        <v>9</v>
      </c>
      <c r="C80">
        <v>7.1199999999999628</v>
      </c>
      <c r="D80">
        <v>0.79111111111110699</v>
      </c>
    </row>
    <row r="81" spans="1:15" ht="15.75" thickBot="1" x14ac:dyDescent="0.3">
      <c r="A81" s="11" t="s">
        <v>21</v>
      </c>
      <c r="B81" s="11">
        <v>15</v>
      </c>
      <c r="C81" s="11">
        <v>4598.5199999999995</v>
      </c>
      <c r="D81" s="11"/>
      <c r="E81" s="11"/>
      <c r="F81" s="11"/>
    </row>
    <row r="82" spans="1:15" ht="15.75" thickBot="1" x14ac:dyDescent="0.3"/>
    <row r="83" spans="1:15" x14ac:dyDescent="0.25">
      <c r="A83" s="12"/>
      <c r="B83" s="12" t="s">
        <v>22</v>
      </c>
      <c r="C83" s="12" t="s">
        <v>11</v>
      </c>
      <c r="D83" s="12" t="s">
        <v>23</v>
      </c>
      <c r="E83" s="12" t="s">
        <v>24</v>
      </c>
      <c r="F83" s="12" t="s">
        <v>25</v>
      </c>
      <c r="G83" s="12" t="s">
        <v>26</v>
      </c>
      <c r="H83" s="12" t="s">
        <v>32</v>
      </c>
      <c r="I83" s="12" t="s">
        <v>33</v>
      </c>
    </row>
    <row r="84" spans="1:15" x14ac:dyDescent="0.25">
      <c r="A84" t="s">
        <v>27</v>
      </c>
      <c r="B84">
        <v>35.5</v>
      </c>
      <c r="C84">
        <v>0.22236106773543832</v>
      </c>
      <c r="D84">
        <v>159.65024975611891</v>
      </c>
      <c r="E84">
        <v>7.546006474323911E-17</v>
      </c>
      <c r="F84">
        <v>34.996984317894821</v>
      </c>
      <c r="G84">
        <v>36.003015682105179</v>
      </c>
      <c r="H84">
        <v>34.996984317894821</v>
      </c>
      <c r="I84">
        <v>36.003015682105179</v>
      </c>
    </row>
    <row r="85" spans="1:15" x14ac:dyDescent="0.25">
      <c r="A85" t="s">
        <v>2</v>
      </c>
      <c r="B85">
        <v>11.825000000000003</v>
      </c>
      <c r="C85">
        <v>0.22236106773543832</v>
      </c>
      <c r="D85">
        <v>53.179273334256521</v>
      </c>
      <c r="E85">
        <v>1.477556229013029E-12</v>
      </c>
      <c r="F85">
        <v>11.321984317894824</v>
      </c>
      <c r="G85">
        <v>12.328015682105182</v>
      </c>
      <c r="H85">
        <v>11.321984317894824</v>
      </c>
      <c r="I85">
        <v>12.328015682105182</v>
      </c>
    </row>
    <row r="86" spans="1:15" x14ac:dyDescent="0.25">
      <c r="A86" t="s">
        <v>3</v>
      </c>
      <c r="B86">
        <v>-8.1999999999999993</v>
      </c>
      <c r="C86">
        <v>0.22236106773543832</v>
      </c>
      <c r="D86">
        <v>-36.876959098596473</v>
      </c>
      <c r="E86">
        <v>3.9296605045295972E-11</v>
      </c>
      <c r="F86">
        <v>-8.7030156821051783</v>
      </c>
      <c r="G86">
        <v>-7.6969843178948203</v>
      </c>
      <c r="H86">
        <v>-8.7030156821051783</v>
      </c>
      <c r="I86">
        <v>-7.6969843178948203</v>
      </c>
    </row>
    <row r="87" spans="1:15" x14ac:dyDescent="0.25">
      <c r="A87" t="s">
        <v>29</v>
      </c>
      <c r="B87">
        <v>6.2749999999999986</v>
      </c>
      <c r="C87">
        <v>0.22236106773543832</v>
      </c>
      <c r="D87">
        <v>28.219868090694252</v>
      </c>
      <c r="E87">
        <v>4.2845804922509295E-10</v>
      </c>
      <c r="F87">
        <v>5.7719843178948196</v>
      </c>
      <c r="G87">
        <v>6.7780156821051776</v>
      </c>
      <c r="H87">
        <v>5.7719843178948196</v>
      </c>
      <c r="I87">
        <v>6.7780156821051776</v>
      </c>
    </row>
    <row r="88" spans="1:15" x14ac:dyDescent="0.25">
      <c r="A88" t="s">
        <v>4</v>
      </c>
      <c r="B88">
        <v>-4.5250000000000004</v>
      </c>
      <c r="C88">
        <v>0.22236106773543832</v>
      </c>
      <c r="D88">
        <v>-20.349785356237692</v>
      </c>
      <c r="E88">
        <v>7.7916200012305263E-9</v>
      </c>
      <c r="F88">
        <v>-5.0280156821051794</v>
      </c>
      <c r="G88">
        <v>-4.0219843178948214</v>
      </c>
      <c r="H88">
        <v>-5.0280156821051794</v>
      </c>
      <c r="I88">
        <v>-4.0219843178948214</v>
      </c>
    </row>
    <row r="89" spans="1:15" x14ac:dyDescent="0.25">
      <c r="A89" t="s">
        <v>30</v>
      </c>
      <c r="B89">
        <v>4.3999999999999995</v>
      </c>
      <c r="C89">
        <v>0.22236106773543832</v>
      </c>
      <c r="D89">
        <v>19.787636589490791</v>
      </c>
      <c r="E89">
        <v>9.975711096601363E-9</v>
      </c>
      <c r="F89">
        <v>3.8969843178948209</v>
      </c>
      <c r="G89">
        <v>4.9030156821051785</v>
      </c>
      <c r="H89">
        <v>3.8969843178948209</v>
      </c>
      <c r="I89">
        <v>4.9030156821051785</v>
      </c>
    </row>
    <row r="90" spans="1:15" ht="15.75" thickBot="1" x14ac:dyDescent="0.3">
      <c r="A90" s="11" t="s">
        <v>31</v>
      </c>
      <c r="B90" s="11">
        <v>-0.82500000000000173</v>
      </c>
      <c r="C90" s="11">
        <v>0.22236106773543832</v>
      </c>
      <c r="D90" s="11">
        <v>-3.7101818605295316</v>
      </c>
      <c r="E90" s="11">
        <v>4.8436193310572116E-3</v>
      </c>
      <c r="F90" s="11">
        <v>-1.3280156821051805</v>
      </c>
      <c r="G90" s="11">
        <v>-0.32198431789482307</v>
      </c>
      <c r="H90" s="11">
        <v>-1.3280156821051805</v>
      </c>
      <c r="I90" s="11">
        <v>-0.32198431789482307</v>
      </c>
    </row>
    <row r="92" spans="1:15" x14ac:dyDescent="0.25">
      <c r="A92" t="s">
        <v>75</v>
      </c>
      <c r="B92">
        <f>B84</f>
        <v>35.5</v>
      </c>
      <c r="C92" t="s">
        <v>28</v>
      </c>
      <c r="D92">
        <f>B85</f>
        <v>11.825000000000003</v>
      </c>
      <c r="E92" t="s">
        <v>61</v>
      </c>
      <c r="F92">
        <f>B86</f>
        <v>-8.1999999999999993</v>
      </c>
      <c r="G92" t="s">
        <v>76</v>
      </c>
      <c r="H92">
        <f>B87</f>
        <v>6.2749999999999986</v>
      </c>
      <c r="I92" t="s">
        <v>62</v>
      </c>
      <c r="J92">
        <f>B88</f>
        <v>-4.5250000000000004</v>
      </c>
      <c r="K92" t="s">
        <v>84</v>
      </c>
      <c r="L92">
        <f>B89</f>
        <v>4.3999999999999995</v>
      </c>
      <c r="M92" t="s">
        <v>77</v>
      </c>
      <c r="N92">
        <f>B90</f>
        <v>-0.82500000000000173</v>
      </c>
      <c r="O92" t="s">
        <v>78</v>
      </c>
    </row>
    <row r="93" spans="1:15" x14ac:dyDescent="0.25">
      <c r="B93">
        <f>B84</f>
        <v>35.5</v>
      </c>
      <c r="C93" t="s">
        <v>28</v>
      </c>
      <c r="D93">
        <f>B85</f>
        <v>11.825000000000003</v>
      </c>
      <c r="E93" t="s">
        <v>85</v>
      </c>
      <c r="F93">
        <f>B86</f>
        <v>-8.1999999999999993</v>
      </c>
      <c r="G93" t="s">
        <v>86</v>
      </c>
      <c r="H93">
        <f>B87</f>
        <v>6.2749999999999986</v>
      </c>
      <c r="I93" t="s">
        <v>87</v>
      </c>
      <c r="J93">
        <f>B88</f>
        <v>-4.5250000000000004</v>
      </c>
      <c r="K93" t="s">
        <v>88</v>
      </c>
      <c r="L93">
        <f>B89</f>
        <v>4.3999999999999995</v>
      </c>
      <c r="M93" t="s">
        <v>89</v>
      </c>
      <c r="N93">
        <f>B90</f>
        <v>-0.82500000000000173</v>
      </c>
      <c r="O93" t="s">
        <v>90</v>
      </c>
    </row>
    <row r="94" spans="1:15" x14ac:dyDescent="0.25">
      <c r="A94" t="s">
        <v>79</v>
      </c>
      <c r="B94">
        <f>B92+D92*(-35/25)+F92*(-200/100)+H92*(-600/200)+J92*(-35/25)*(-200/100)+L92*(-35/25)*(-600/200)+N92*(-200/100)*(-600/200)</f>
        <v>17.379999999999988</v>
      </c>
      <c r="C94" t="s">
        <v>28</v>
      </c>
      <c r="D94">
        <f>D93/25+(J93/25)*(-200/100)+(L93/25)*(-600/200)</f>
        <v>0.30700000000000016</v>
      </c>
      <c r="E94" t="s">
        <v>65</v>
      </c>
      <c r="F94">
        <f>F93/100+(J93/100)*(-35/25)+(N93/100)*(-600/200)</f>
        <v>6.1000000000000672E-3</v>
      </c>
      <c r="G94" t="s">
        <v>80</v>
      </c>
      <c r="H94">
        <f>H93/200+(L92/200)*(-35/25)+(N92/200)*(-200/100)</f>
        <v>8.8250000000000134E-3</v>
      </c>
      <c r="I94" t="s">
        <v>81</v>
      </c>
      <c r="J94">
        <f>J93/(25*100)</f>
        <v>-1.8100000000000002E-3</v>
      </c>
      <c r="K94" t="s">
        <v>82</v>
      </c>
      <c r="L94">
        <f>L93/(25*200)</f>
        <v>8.7999999999999992E-4</v>
      </c>
      <c r="M94" t="s">
        <v>82</v>
      </c>
      <c r="N94">
        <f>N93/(100*200)</f>
        <v>-4.1250000000000088E-5</v>
      </c>
      <c r="O94" t="s">
        <v>83</v>
      </c>
    </row>
  </sheetData>
  <mergeCells count="6">
    <mergeCell ref="L61:L62"/>
    <mergeCell ref="O14:P14"/>
    <mergeCell ref="L17:L18"/>
    <mergeCell ref="O36:P36"/>
    <mergeCell ref="L39:L40"/>
    <mergeCell ref="O58:P58"/>
  </mergeCells>
  <pageMargins left="0.25" right="0.25" top="0.75" bottom="0.75" header="0.3" footer="0.3"/>
  <pageSetup paperSize="9" scale="53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C473"/>
  <sheetViews>
    <sheetView topLeftCell="A331" workbookViewId="0">
      <selection activeCell="M443" sqref="M443"/>
    </sheetView>
  </sheetViews>
  <sheetFormatPr defaultRowHeight="15" x14ac:dyDescent="0.25"/>
  <cols>
    <col min="3" max="3" width="16.28515625" customWidth="1"/>
    <col min="4" max="4" width="12" bestFit="1" customWidth="1"/>
    <col min="7" max="7" width="9.7109375" customWidth="1"/>
    <col min="11" max="11" width="15" customWidth="1"/>
    <col min="12" max="12" width="11.28515625" customWidth="1"/>
  </cols>
  <sheetData>
    <row r="4" spans="2:20" x14ac:dyDescent="0.25">
      <c r="B4" s="53" t="s">
        <v>2</v>
      </c>
      <c r="C4" s="53" t="s">
        <v>3</v>
      </c>
      <c r="D4" s="53" t="s">
        <v>29</v>
      </c>
      <c r="E4" s="53" t="s">
        <v>4</v>
      </c>
      <c r="F4" s="53" t="s">
        <v>30</v>
      </c>
      <c r="G4" s="53" t="s">
        <v>31</v>
      </c>
      <c r="H4" s="28" t="s">
        <v>5</v>
      </c>
      <c r="J4" t="s">
        <v>102</v>
      </c>
      <c r="K4" t="s">
        <v>103</v>
      </c>
      <c r="O4" t="s">
        <v>6</v>
      </c>
    </row>
    <row r="5" spans="2:20" ht="15.75" thickBot="1" x14ac:dyDescent="0.3">
      <c r="B5" s="28">
        <v>-1</v>
      </c>
      <c r="C5" s="28">
        <v>-1</v>
      </c>
      <c r="D5" s="28">
        <v>-1</v>
      </c>
      <c r="E5" s="28">
        <f>B5*C5</f>
        <v>1</v>
      </c>
      <c r="F5" s="28">
        <f>B5*D5</f>
        <v>1</v>
      </c>
      <c r="G5" s="28">
        <f>C5*D5</f>
        <v>1</v>
      </c>
      <c r="H5" s="54">
        <v>26</v>
      </c>
      <c r="J5" s="1">
        <f>DEVSQ(H5,H6)</f>
        <v>2.8799999999999968</v>
      </c>
      <c r="K5" s="1">
        <v>1</v>
      </c>
    </row>
    <row r="6" spans="2:20" x14ac:dyDescent="0.25">
      <c r="B6" s="28">
        <v>-1</v>
      </c>
      <c r="C6" s="28">
        <v>-1</v>
      </c>
      <c r="D6" s="28">
        <v>-1</v>
      </c>
      <c r="E6" s="28">
        <f t="shared" ref="E6:E21" si="0">B6*C6</f>
        <v>1</v>
      </c>
      <c r="F6" s="28">
        <f t="shared" ref="F6:F25" si="1">B6*D6</f>
        <v>1</v>
      </c>
      <c r="G6" s="28">
        <f t="shared" ref="G6:G25" si="2">C6*D6</f>
        <v>1</v>
      </c>
      <c r="H6" s="54">
        <v>23.6</v>
      </c>
      <c r="J6" s="1"/>
      <c r="K6" s="1"/>
      <c r="O6" s="10" t="s">
        <v>7</v>
      </c>
      <c r="P6" s="10"/>
    </row>
    <row r="7" spans="2:20" x14ac:dyDescent="0.25">
      <c r="B7" s="28">
        <v>1</v>
      </c>
      <c r="C7" s="28">
        <v>-1</v>
      </c>
      <c r="D7" s="28">
        <v>-1</v>
      </c>
      <c r="E7" s="28">
        <f t="shared" si="0"/>
        <v>-1</v>
      </c>
      <c r="F7" s="28">
        <f t="shared" si="1"/>
        <v>-1</v>
      </c>
      <c r="G7" s="28">
        <f t="shared" si="2"/>
        <v>1</v>
      </c>
      <c r="H7" s="54">
        <v>49</v>
      </c>
      <c r="J7" s="1">
        <f>DEVSQ(H7,H8)</f>
        <v>0.72000000000000342</v>
      </c>
      <c r="K7" s="1">
        <v>1</v>
      </c>
      <c r="O7" t="s">
        <v>8</v>
      </c>
      <c r="P7">
        <v>0.99922553798256564</v>
      </c>
    </row>
    <row r="8" spans="2:20" x14ac:dyDescent="0.25">
      <c r="B8" s="28">
        <v>1</v>
      </c>
      <c r="C8" s="28">
        <v>-1</v>
      </c>
      <c r="D8" s="28">
        <v>-1</v>
      </c>
      <c r="E8" s="28">
        <f t="shared" si="0"/>
        <v>-1</v>
      </c>
      <c r="F8" s="28">
        <f t="shared" si="1"/>
        <v>-1</v>
      </c>
      <c r="G8" s="28">
        <f t="shared" si="2"/>
        <v>1</v>
      </c>
      <c r="H8" s="54">
        <v>47.8</v>
      </c>
      <c r="J8" s="1"/>
      <c r="K8" s="1"/>
      <c r="O8" t="s">
        <v>9</v>
      </c>
      <c r="P8">
        <v>0.99845167575654781</v>
      </c>
    </row>
    <row r="9" spans="2:20" x14ac:dyDescent="0.25">
      <c r="B9" s="28">
        <v>-1</v>
      </c>
      <c r="C9" s="28">
        <v>1</v>
      </c>
      <c r="D9" s="28">
        <v>-1</v>
      </c>
      <c r="E9" s="28">
        <f t="shared" si="0"/>
        <v>-1</v>
      </c>
      <c r="F9" s="28">
        <f t="shared" si="1"/>
        <v>1</v>
      </c>
      <c r="G9" s="28">
        <f t="shared" si="2"/>
        <v>-1</v>
      </c>
      <c r="H9" s="54">
        <v>19</v>
      </c>
      <c r="J9" s="1">
        <f>DEVSQ(H9,H10)</f>
        <v>7.9999999999999433E-2</v>
      </c>
      <c r="K9" s="1">
        <v>1</v>
      </c>
      <c r="O9" t="s">
        <v>10</v>
      </c>
      <c r="P9">
        <v>0.99741945959424627</v>
      </c>
    </row>
    <row r="10" spans="2:20" x14ac:dyDescent="0.25">
      <c r="B10" s="28">
        <v>-1</v>
      </c>
      <c r="C10" s="28">
        <v>1</v>
      </c>
      <c r="D10" s="28">
        <v>-1</v>
      </c>
      <c r="E10" s="28">
        <f t="shared" si="0"/>
        <v>-1</v>
      </c>
      <c r="F10" s="28">
        <f t="shared" si="1"/>
        <v>1</v>
      </c>
      <c r="G10" s="28">
        <f t="shared" si="2"/>
        <v>-1</v>
      </c>
      <c r="H10" s="54">
        <v>18.600000000000001</v>
      </c>
      <c r="J10" s="1"/>
      <c r="K10" s="1"/>
      <c r="O10" t="s">
        <v>11</v>
      </c>
      <c r="P10">
        <v>0.88944427094175327</v>
      </c>
    </row>
    <row r="11" spans="2:20" ht="15.75" thickBot="1" x14ac:dyDescent="0.3">
      <c r="B11" s="28">
        <v>1</v>
      </c>
      <c r="C11" s="28">
        <v>1</v>
      </c>
      <c r="D11" s="28">
        <v>-1</v>
      </c>
      <c r="E11" s="28">
        <f t="shared" si="0"/>
        <v>1</v>
      </c>
      <c r="F11" s="28">
        <f t="shared" si="1"/>
        <v>-1</v>
      </c>
      <c r="G11" s="28">
        <f t="shared" si="2"/>
        <v>-1</v>
      </c>
      <c r="H11" s="54">
        <v>24.6</v>
      </c>
      <c r="J11" s="1">
        <f>DEVSQ(H11,H12)</f>
        <v>0.17999999999999872</v>
      </c>
      <c r="K11" s="1">
        <v>1</v>
      </c>
      <c r="O11" s="11" t="s">
        <v>12</v>
      </c>
      <c r="P11" s="11">
        <v>16</v>
      </c>
    </row>
    <row r="12" spans="2:20" x14ac:dyDescent="0.25">
      <c r="B12" s="28">
        <v>1</v>
      </c>
      <c r="C12" s="28">
        <v>1</v>
      </c>
      <c r="D12" s="28">
        <v>-1</v>
      </c>
      <c r="E12" s="28">
        <f t="shared" si="0"/>
        <v>1</v>
      </c>
      <c r="F12" s="28">
        <f t="shared" si="1"/>
        <v>-1</v>
      </c>
      <c r="G12" s="28">
        <f t="shared" si="2"/>
        <v>-1</v>
      </c>
      <c r="H12" s="54">
        <v>25.2</v>
      </c>
      <c r="J12" s="1"/>
      <c r="K12" s="1"/>
    </row>
    <row r="13" spans="2:20" ht="15.75" thickBot="1" x14ac:dyDescent="0.3">
      <c r="B13" s="28">
        <v>-1</v>
      </c>
      <c r="C13" s="28">
        <v>-1</v>
      </c>
      <c r="D13" s="28">
        <v>1</v>
      </c>
      <c r="E13" s="28">
        <f t="shared" si="0"/>
        <v>1</v>
      </c>
      <c r="F13" s="28">
        <f t="shared" si="1"/>
        <v>-1</v>
      </c>
      <c r="G13" s="28">
        <f t="shared" si="2"/>
        <v>-1</v>
      </c>
      <c r="H13" s="54">
        <v>31</v>
      </c>
      <c r="J13" s="1">
        <f>DEVSQ(H13,H14)</f>
        <v>2.4199999999999982</v>
      </c>
      <c r="K13" s="1">
        <v>1</v>
      </c>
      <c r="O13" t="s">
        <v>13</v>
      </c>
    </row>
    <row r="14" spans="2:20" x14ac:dyDescent="0.25">
      <c r="B14" s="28">
        <v>-1</v>
      </c>
      <c r="C14" s="28">
        <v>-1</v>
      </c>
      <c r="D14" s="28">
        <v>1</v>
      </c>
      <c r="E14" s="28">
        <f t="shared" si="0"/>
        <v>1</v>
      </c>
      <c r="F14" s="28">
        <f t="shared" si="1"/>
        <v>-1</v>
      </c>
      <c r="G14" s="28">
        <f t="shared" si="2"/>
        <v>-1</v>
      </c>
      <c r="H14" s="54">
        <v>28.8</v>
      </c>
      <c r="J14" s="1"/>
      <c r="K14" s="1"/>
      <c r="O14" s="12"/>
      <c r="P14" s="12" t="s">
        <v>14</v>
      </c>
      <c r="Q14" s="12" t="s">
        <v>15</v>
      </c>
      <c r="R14" s="12" t="s">
        <v>16</v>
      </c>
      <c r="S14" s="12" t="s">
        <v>17</v>
      </c>
      <c r="T14" s="12" t="s">
        <v>18</v>
      </c>
    </row>
    <row r="15" spans="2:20" x14ac:dyDescent="0.25">
      <c r="B15" s="28">
        <v>1</v>
      </c>
      <c r="C15" s="28">
        <v>-1</v>
      </c>
      <c r="D15" s="28">
        <v>1</v>
      </c>
      <c r="E15" s="28">
        <f t="shared" si="0"/>
        <v>-1</v>
      </c>
      <c r="F15" s="28">
        <f t="shared" si="1"/>
        <v>1</v>
      </c>
      <c r="G15" s="28">
        <f t="shared" si="2"/>
        <v>-1</v>
      </c>
      <c r="H15" s="54">
        <v>71.3</v>
      </c>
      <c r="J15" s="1">
        <f>DEVSQ(H15,H16)</f>
        <v>0.31999999999999773</v>
      </c>
      <c r="K15" s="1">
        <v>1</v>
      </c>
      <c r="O15" t="s">
        <v>19</v>
      </c>
      <c r="P15">
        <v>6</v>
      </c>
      <c r="Q15">
        <v>4591.3999999999996</v>
      </c>
      <c r="R15">
        <v>765.23333333333323</v>
      </c>
      <c r="S15">
        <v>967.28932584270149</v>
      </c>
      <c r="T15">
        <v>4.0320290442010717E-12</v>
      </c>
    </row>
    <row r="16" spans="2:20" x14ac:dyDescent="0.25">
      <c r="B16" s="28">
        <v>1</v>
      </c>
      <c r="C16" s="28">
        <v>-1</v>
      </c>
      <c r="D16" s="28">
        <v>1</v>
      </c>
      <c r="E16" s="28">
        <f t="shared" si="0"/>
        <v>-1</v>
      </c>
      <c r="F16" s="28">
        <f t="shared" si="1"/>
        <v>1</v>
      </c>
      <c r="G16" s="28">
        <f t="shared" si="2"/>
        <v>-1</v>
      </c>
      <c r="H16" s="54">
        <v>72.099999999999994</v>
      </c>
      <c r="J16" s="1"/>
      <c r="K16" s="1"/>
      <c r="O16" t="s">
        <v>20</v>
      </c>
      <c r="P16">
        <v>9</v>
      </c>
      <c r="Q16">
        <v>7.1199999999999628</v>
      </c>
      <c r="R16">
        <v>0.79111111111110699</v>
      </c>
    </row>
    <row r="17" spans="2:29" ht="15.75" thickBot="1" x14ac:dyDescent="0.3">
      <c r="B17" s="28">
        <v>-1</v>
      </c>
      <c r="C17" s="28">
        <v>1</v>
      </c>
      <c r="D17" s="28">
        <v>1</v>
      </c>
      <c r="E17" s="28">
        <f t="shared" si="0"/>
        <v>-1</v>
      </c>
      <c r="F17" s="28">
        <f t="shared" si="1"/>
        <v>-1</v>
      </c>
      <c r="G17" s="28">
        <f t="shared" si="2"/>
        <v>1</v>
      </c>
      <c r="H17" s="54">
        <v>21.4</v>
      </c>
      <c r="J17" s="1">
        <f>DEVSQ(H17,H18)</f>
        <v>7.9999999999999433E-2</v>
      </c>
      <c r="K17" s="1">
        <v>1</v>
      </c>
      <c r="O17" s="11" t="s">
        <v>21</v>
      </c>
      <c r="P17" s="11">
        <v>15</v>
      </c>
      <c r="Q17" s="11">
        <v>4598.5199999999995</v>
      </c>
      <c r="R17" s="11"/>
      <c r="S17" s="11"/>
      <c r="T17" s="11"/>
    </row>
    <row r="18" spans="2:29" ht="15.75" thickBot="1" x14ac:dyDescent="0.3">
      <c r="B18" s="28">
        <v>-1</v>
      </c>
      <c r="C18" s="28">
        <v>1</v>
      </c>
      <c r="D18" s="28">
        <v>1</v>
      </c>
      <c r="E18" s="28">
        <f t="shared" si="0"/>
        <v>-1</v>
      </c>
      <c r="F18" s="28">
        <f t="shared" si="1"/>
        <v>-1</v>
      </c>
      <c r="G18" s="28">
        <f t="shared" si="2"/>
        <v>1</v>
      </c>
      <c r="H18" s="54">
        <v>21</v>
      </c>
      <c r="J18" s="1"/>
      <c r="K18" s="1"/>
    </row>
    <row r="19" spans="2:29" x14ac:dyDescent="0.25">
      <c r="B19" s="28">
        <v>1</v>
      </c>
      <c r="C19" s="28">
        <v>1</v>
      </c>
      <c r="D19" s="28">
        <v>1</v>
      </c>
      <c r="E19" s="28">
        <f t="shared" si="0"/>
        <v>1</v>
      </c>
      <c r="F19" s="28">
        <f t="shared" si="1"/>
        <v>1</v>
      </c>
      <c r="G19" s="28">
        <f t="shared" si="2"/>
        <v>1</v>
      </c>
      <c r="H19" s="54">
        <v>44.1</v>
      </c>
      <c r="J19" s="1">
        <f>DEVSQ(H19,H20)</f>
        <v>7.9999999999999433E-2</v>
      </c>
      <c r="K19" s="1">
        <v>1</v>
      </c>
      <c r="O19" s="12"/>
      <c r="P19" s="12" t="s">
        <v>22</v>
      </c>
      <c r="Q19" s="12" t="s">
        <v>11</v>
      </c>
      <c r="R19" s="12" t="s">
        <v>23</v>
      </c>
      <c r="S19" s="12" t="s">
        <v>24</v>
      </c>
      <c r="T19" s="12" t="s">
        <v>25</v>
      </c>
      <c r="U19" s="12" t="s">
        <v>26</v>
      </c>
      <c r="V19" s="12" t="s">
        <v>32</v>
      </c>
      <c r="W19" s="12" t="s">
        <v>33</v>
      </c>
    </row>
    <row r="20" spans="2:29" x14ac:dyDescent="0.25">
      <c r="B20" s="28">
        <v>1</v>
      </c>
      <c r="C20" s="28">
        <v>1</v>
      </c>
      <c r="D20" s="28">
        <v>1</v>
      </c>
      <c r="E20" s="28">
        <f t="shared" si="0"/>
        <v>1</v>
      </c>
      <c r="F20" s="28">
        <f t="shared" si="1"/>
        <v>1</v>
      </c>
      <c r="G20" s="28">
        <f t="shared" si="2"/>
        <v>1</v>
      </c>
      <c r="H20" s="54">
        <v>44.5</v>
      </c>
      <c r="J20" s="1"/>
      <c r="K20" s="1"/>
      <c r="O20" t="s">
        <v>27</v>
      </c>
      <c r="P20">
        <v>35.5</v>
      </c>
      <c r="Q20">
        <v>0.22236106773543832</v>
      </c>
      <c r="R20">
        <v>159.65024975611891</v>
      </c>
      <c r="S20">
        <v>7.546006474323911E-17</v>
      </c>
      <c r="T20">
        <v>34.996984317894821</v>
      </c>
      <c r="U20">
        <v>36.003015682105179</v>
      </c>
      <c r="V20">
        <v>34.996984317894821</v>
      </c>
      <c r="W20">
        <v>36.003015682105179</v>
      </c>
    </row>
    <row r="21" spans="2:29" x14ac:dyDescent="0.25">
      <c r="B21" s="28">
        <v>0</v>
      </c>
      <c r="C21" s="28">
        <v>0</v>
      </c>
      <c r="D21" s="28">
        <v>0</v>
      </c>
      <c r="E21" s="28">
        <f t="shared" si="0"/>
        <v>0</v>
      </c>
      <c r="F21" s="28">
        <f t="shared" si="1"/>
        <v>0</v>
      </c>
      <c r="G21" s="28">
        <f t="shared" si="2"/>
        <v>0</v>
      </c>
      <c r="H21" s="54">
        <v>39.200000000000003</v>
      </c>
      <c r="J21" s="1">
        <f>DEVSQ(H21:H25)</f>
        <v>55.232000000000028</v>
      </c>
      <c r="K21" s="1">
        <v>4</v>
      </c>
      <c r="O21" t="s">
        <v>2</v>
      </c>
      <c r="P21">
        <v>11.825000000000003</v>
      </c>
      <c r="Q21">
        <v>0.22236106773543832</v>
      </c>
      <c r="R21">
        <v>53.179273334256521</v>
      </c>
      <c r="S21">
        <v>1.477556229013029E-12</v>
      </c>
      <c r="T21">
        <v>11.321984317894824</v>
      </c>
      <c r="U21">
        <v>12.328015682105182</v>
      </c>
      <c r="V21">
        <v>11.321984317894824</v>
      </c>
      <c r="W21">
        <v>12.328015682105182</v>
      </c>
    </row>
    <row r="22" spans="2:29" x14ac:dyDescent="0.25">
      <c r="B22" s="28">
        <v>0</v>
      </c>
      <c r="C22" s="28">
        <v>0</v>
      </c>
      <c r="D22" s="28">
        <v>0</v>
      </c>
      <c r="E22" s="28">
        <v>0</v>
      </c>
      <c r="F22" s="28">
        <f t="shared" si="1"/>
        <v>0</v>
      </c>
      <c r="G22" s="28">
        <f t="shared" si="2"/>
        <v>0</v>
      </c>
      <c r="H22" s="54">
        <v>34.299999999999997</v>
      </c>
      <c r="O22" t="s">
        <v>3</v>
      </c>
      <c r="P22">
        <v>-8.1999999999999993</v>
      </c>
      <c r="Q22">
        <v>0.22236106773543832</v>
      </c>
      <c r="R22">
        <v>-36.876959098596473</v>
      </c>
      <c r="S22">
        <v>3.9296605045295972E-11</v>
      </c>
      <c r="T22">
        <v>-8.7030156821051783</v>
      </c>
      <c r="U22">
        <v>-7.6969843178948203</v>
      </c>
      <c r="V22">
        <v>-8.7030156821051783</v>
      </c>
      <c r="W22">
        <v>-7.6969843178948203</v>
      </c>
    </row>
    <row r="23" spans="2:29" x14ac:dyDescent="0.25">
      <c r="B23" s="28">
        <v>0</v>
      </c>
      <c r="C23" s="28">
        <v>0</v>
      </c>
      <c r="D23" s="28">
        <v>0</v>
      </c>
      <c r="E23" s="28">
        <v>0</v>
      </c>
      <c r="F23" s="28">
        <f t="shared" si="1"/>
        <v>0</v>
      </c>
      <c r="G23" s="28">
        <f t="shared" si="2"/>
        <v>0</v>
      </c>
      <c r="H23" s="54">
        <v>36.700000000000003</v>
      </c>
      <c r="O23" t="s">
        <v>29</v>
      </c>
      <c r="P23">
        <v>6.2749999999999986</v>
      </c>
      <c r="Q23">
        <v>0.22236106773543832</v>
      </c>
      <c r="R23">
        <v>28.219868090694252</v>
      </c>
      <c r="S23">
        <v>4.2845804922509295E-10</v>
      </c>
      <c r="T23">
        <v>5.7719843178948196</v>
      </c>
      <c r="U23">
        <v>6.7780156821051776</v>
      </c>
      <c r="V23">
        <v>5.7719843178948196</v>
      </c>
      <c r="W23">
        <v>6.7780156821051776</v>
      </c>
    </row>
    <row r="24" spans="2:29" x14ac:dyDescent="0.25">
      <c r="B24" s="28">
        <v>0</v>
      </c>
      <c r="C24" s="28">
        <v>0</v>
      </c>
      <c r="D24" s="28">
        <v>0</v>
      </c>
      <c r="E24" s="28">
        <v>0</v>
      </c>
      <c r="F24" s="28">
        <f t="shared" si="1"/>
        <v>0</v>
      </c>
      <c r="G24" s="28">
        <f t="shared" si="2"/>
        <v>0</v>
      </c>
      <c r="H24" s="54">
        <v>30.1</v>
      </c>
      <c r="O24" t="s">
        <v>4</v>
      </c>
      <c r="P24">
        <v>-4.5250000000000004</v>
      </c>
      <c r="Q24">
        <v>0.22236106773543832</v>
      </c>
      <c r="R24">
        <v>-20.349785356237692</v>
      </c>
      <c r="S24">
        <v>7.7916200012305263E-9</v>
      </c>
      <c r="T24">
        <v>-5.0280156821051794</v>
      </c>
      <c r="U24">
        <v>-4.0219843178948214</v>
      </c>
      <c r="V24">
        <v>-5.0280156821051794</v>
      </c>
      <c r="W24">
        <v>-4.0219843178948214</v>
      </c>
    </row>
    <row r="25" spans="2:29" x14ac:dyDescent="0.25">
      <c r="B25" s="28">
        <v>0</v>
      </c>
      <c r="C25" s="28">
        <v>0</v>
      </c>
      <c r="D25" s="28">
        <v>0</v>
      </c>
      <c r="E25" s="28">
        <v>0</v>
      </c>
      <c r="F25" s="28">
        <f t="shared" si="1"/>
        <v>0</v>
      </c>
      <c r="G25" s="28">
        <f t="shared" si="2"/>
        <v>0</v>
      </c>
      <c r="H25" s="54">
        <v>31.5</v>
      </c>
      <c r="O25" t="s">
        <v>30</v>
      </c>
      <c r="P25">
        <v>4.3999999999999995</v>
      </c>
      <c r="Q25">
        <v>0.22236106773543832</v>
      </c>
      <c r="R25">
        <v>19.787636589490791</v>
      </c>
      <c r="S25">
        <v>9.975711096601363E-9</v>
      </c>
      <c r="T25">
        <v>3.8969843178948209</v>
      </c>
      <c r="U25">
        <v>4.9030156821051785</v>
      </c>
      <c r="V25">
        <v>3.8969843178948209</v>
      </c>
      <c r="W25">
        <v>4.9030156821051785</v>
      </c>
    </row>
    <row r="26" spans="2:29" ht="15.75" thickBot="1" x14ac:dyDescent="0.3">
      <c r="J26" s="1">
        <f>SUM(J5:J21)</f>
        <v>61.992000000000019</v>
      </c>
      <c r="K26">
        <f>SUM(K5:K21)</f>
        <v>12</v>
      </c>
      <c r="O26" s="11" t="s">
        <v>31</v>
      </c>
      <c r="P26" s="11">
        <v>-0.82500000000000173</v>
      </c>
      <c r="Q26" s="11">
        <v>0.22236106773543832</v>
      </c>
      <c r="R26" s="11">
        <v>-3.7101818605295316</v>
      </c>
      <c r="S26" s="11">
        <v>4.8436193310572116E-3</v>
      </c>
      <c r="T26" s="11">
        <v>-1.3280156821051805</v>
      </c>
      <c r="U26" s="11">
        <v>-0.32198431789482307</v>
      </c>
      <c r="V26" s="11">
        <v>-1.3280156821051805</v>
      </c>
      <c r="W26" s="11">
        <v>-0.32198431789482307</v>
      </c>
    </row>
    <row r="28" spans="2:29" x14ac:dyDescent="0.25">
      <c r="O28" t="s">
        <v>75</v>
      </c>
      <c r="P28">
        <f>P20</f>
        <v>35.5</v>
      </c>
      <c r="Q28" t="s">
        <v>28</v>
      </c>
      <c r="R28">
        <f>P21</f>
        <v>11.825000000000003</v>
      </c>
      <c r="S28" t="s">
        <v>61</v>
      </c>
      <c r="T28">
        <f>P22</f>
        <v>-8.1999999999999993</v>
      </c>
      <c r="U28" t="s">
        <v>76</v>
      </c>
      <c r="V28">
        <f>P23</f>
        <v>6.2749999999999986</v>
      </c>
      <c r="W28" t="s">
        <v>62</v>
      </c>
      <c r="X28">
        <f>P24</f>
        <v>-4.5250000000000004</v>
      </c>
      <c r="Y28" t="s">
        <v>84</v>
      </c>
      <c r="Z28">
        <f>P25</f>
        <v>4.3999999999999995</v>
      </c>
      <c r="AA28" t="s">
        <v>77</v>
      </c>
      <c r="AB28">
        <f>P26</f>
        <v>-0.82500000000000173</v>
      </c>
      <c r="AC28" t="s">
        <v>78</v>
      </c>
    </row>
    <row r="29" spans="2:29" x14ac:dyDescent="0.25">
      <c r="P29">
        <f>P20</f>
        <v>35.5</v>
      </c>
      <c r="Q29" t="s">
        <v>28</v>
      </c>
      <c r="R29">
        <f>P21</f>
        <v>11.825000000000003</v>
      </c>
      <c r="S29" t="s">
        <v>85</v>
      </c>
      <c r="T29">
        <f>P22</f>
        <v>-8.1999999999999993</v>
      </c>
      <c r="U29" t="s">
        <v>86</v>
      </c>
      <c r="V29">
        <f>P23</f>
        <v>6.2749999999999986</v>
      </c>
      <c r="W29" t="s">
        <v>87</v>
      </c>
      <c r="X29">
        <f>P24</f>
        <v>-4.5250000000000004</v>
      </c>
      <c r="Y29" t="s">
        <v>88</v>
      </c>
      <c r="Z29">
        <f>P25</f>
        <v>4.3999999999999995</v>
      </c>
      <c r="AA29" t="s">
        <v>89</v>
      </c>
      <c r="AB29">
        <f>P26</f>
        <v>-0.82500000000000173</v>
      </c>
      <c r="AC29" t="s">
        <v>90</v>
      </c>
    </row>
    <row r="30" spans="2:29" x14ac:dyDescent="0.25">
      <c r="O30" t="s">
        <v>79</v>
      </c>
      <c r="P30">
        <f>P28+R28*(-35/25)+T28*(-200/100)+V28*(-600/200)+X28*(-35/25)*(-200/100)+Z28*(-35/25)*(-600/200)+AB28*(-200/100)*(-600/200)</f>
        <v>17.379999999999988</v>
      </c>
      <c r="Q30" t="s">
        <v>28</v>
      </c>
      <c r="R30">
        <f>R29/25+(X29/25)*(-200/100)+(Z29/25)*(-600/200)</f>
        <v>0.30700000000000016</v>
      </c>
      <c r="S30" t="s">
        <v>65</v>
      </c>
      <c r="T30">
        <f>T29/100+(X29/100)*(-35/25)+(AB29/100)*(-600/200)</f>
        <v>6.1000000000000672E-3</v>
      </c>
      <c r="U30" t="s">
        <v>80</v>
      </c>
      <c r="V30">
        <f>V29/200+(Z28/200)*(-35/25)+(AB28/200)*(-200/100)</f>
        <v>8.8250000000000134E-3</v>
      </c>
      <c r="W30" t="s">
        <v>81</v>
      </c>
      <c r="X30">
        <f>X29/(25*100)</f>
        <v>-1.8100000000000002E-3</v>
      </c>
      <c r="Y30" t="s">
        <v>82</v>
      </c>
      <c r="Z30">
        <f>Z29/(25*200)</f>
        <v>8.7999999999999992E-4</v>
      </c>
      <c r="AA30" t="s">
        <v>82</v>
      </c>
      <c r="AB30">
        <f>AB29/(100*200)</f>
        <v>-4.1250000000000088E-5</v>
      </c>
      <c r="AC30" t="s">
        <v>83</v>
      </c>
    </row>
    <row r="34" spans="3:9" x14ac:dyDescent="0.25">
      <c r="C34" t="s">
        <v>104</v>
      </c>
    </row>
    <row r="35" spans="3:9" x14ac:dyDescent="0.25">
      <c r="C35" t="s">
        <v>105</v>
      </c>
    </row>
    <row r="36" spans="3:9" x14ac:dyDescent="0.25">
      <c r="C36" t="s">
        <v>106</v>
      </c>
    </row>
    <row r="37" spans="3:9" x14ac:dyDescent="0.25">
      <c r="C37" t="s">
        <v>114</v>
      </c>
    </row>
    <row r="39" spans="3:9" x14ac:dyDescent="0.25">
      <c r="C39" t="s">
        <v>107</v>
      </c>
      <c r="D39">
        <f>S15</f>
        <v>967.28932584270149</v>
      </c>
      <c r="I39" t="s">
        <v>108</v>
      </c>
    </row>
    <row r="40" spans="3:9" x14ac:dyDescent="0.25">
      <c r="C40" t="s">
        <v>113</v>
      </c>
      <c r="D40">
        <f>_xlfn.F.INV(0.96,P15,P16)</f>
        <v>3.6636862604440439</v>
      </c>
      <c r="I40" t="s">
        <v>109</v>
      </c>
    </row>
    <row r="41" spans="3:9" x14ac:dyDescent="0.25">
      <c r="C41" t="s">
        <v>110</v>
      </c>
      <c r="D41">
        <f>T15</f>
        <v>4.0320290442010717E-12</v>
      </c>
      <c r="E41" t="s">
        <v>111</v>
      </c>
    </row>
    <row r="42" spans="3:9" x14ac:dyDescent="0.25">
      <c r="I42" t="s">
        <v>112</v>
      </c>
    </row>
    <row r="78" spans="2:2" x14ac:dyDescent="0.25">
      <c r="B78" t="s">
        <v>115</v>
      </c>
    </row>
    <row r="79" spans="2:2" x14ac:dyDescent="0.25">
      <c r="B79" t="s">
        <v>118</v>
      </c>
    </row>
    <row r="81" spans="2:13" x14ac:dyDescent="0.25">
      <c r="B81" t="s">
        <v>6</v>
      </c>
    </row>
    <row r="82" spans="2:13" ht="15.75" thickBot="1" x14ac:dyDescent="0.3"/>
    <row r="83" spans="2:13" x14ac:dyDescent="0.25">
      <c r="B83" s="10" t="s">
        <v>7</v>
      </c>
      <c r="C83" s="10"/>
    </row>
    <row r="84" spans="2:13" x14ac:dyDescent="0.25">
      <c r="B84" t="s">
        <v>8</v>
      </c>
      <c r="C84">
        <v>0.99275037419141299</v>
      </c>
    </row>
    <row r="85" spans="2:13" x14ac:dyDescent="0.25">
      <c r="B85" t="s">
        <v>9</v>
      </c>
      <c r="C85">
        <v>0.98555330545719044</v>
      </c>
    </row>
    <row r="86" spans="2:13" x14ac:dyDescent="0.25">
      <c r="B86" t="s">
        <v>10</v>
      </c>
      <c r="C86">
        <v>0.97936186493884336</v>
      </c>
    </row>
    <row r="87" spans="2:13" x14ac:dyDescent="0.25">
      <c r="B87" t="s">
        <v>11</v>
      </c>
      <c r="C87">
        <v>2.1925662906228198</v>
      </c>
    </row>
    <row r="88" spans="2:13" ht="15.75" thickBot="1" x14ac:dyDescent="0.3">
      <c r="B88" s="11" t="s">
        <v>12</v>
      </c>
      <c r="C88" s="11">
        <v>21</v>
      </c>
    </row>
    <row r="90" spans="2:13" ht="15.75" thickBot="1" x14ac:dyDescent="0.3">
      <c r="B90" t="s">
        <v>13</v>
      </c>
    </row>
    <row r="91" spans="2:13" x14ac:dyDescent="0.25">
      <c r="B91" s="12"/>
      <c r="C91" s="12" t="s">
        <v>14</v>
      </c>
      <c r="D91" s="12" t="s">
        <v>15</v>
      </c>
      <c r="E91" s="12" t="s">
        <v>16</v>
      </c>
      <c r="F91" s="12" t="s">
        <v>17</v>
      </c>
      <c r="G91" s="57" t="s">
        <v>116</v>
      </c>
      <c r="H91" s="12" t="s">
        <v>18</v>
      </c>
      <c r="K91" t="s">
        <v>119</v>
      </c>
    </row>
    <row r="92" spans="2:13" x14ac:dyDescent="0.25">
      <c r="B92" t="s">
        <v>19</v>
      </c>
      <c r="C92">
        <v>6</v>
      </c>
      <c r="D92">
        <v>4591.3999999999996</v>
      </c>
      <c r="E92">
        <v>765.23333333333323</v>
      </c>
      <c r="F92">
        <v>159.17996830248481</v>
      </c>
      <c r="G92">
        <f>_xlfn.F.INV(0.96,C92,C93)</f>
        <v>3.0523748924543681</v>
      </c>
      <c r="H92">
        <v>4.6092829204646717E-12</v>
      </c>
    </row>
    <row r="93" spans="2:13" x14ac:dyDescent="0.25">
      <c r="B93" t="s">
        <v>20</v>
      </c>
      <c r="C93">
        <v>14</v>
      </c>
      <c r="D93">
        <v>67.302857142857164</v>
      </c>
      <c r="E93">
        <v>4.8073469387755114</v>
      </c>
      <c r="K93" t="s">
        <v>107</v>
      </c>
      <c r="L93">
        <f>F94</f>
        <v>0.51402024224323883</v>
      </c>
    </row>
    <row r="94" spans="2:13" x14ac:dyDescent="0.25">
      <c r="B94" s="14" t="s">
        <v>115</v>
      </c>
      <c r="C94" s="14">
        <f>C93-C95</f>
        <v>2</v>
      </c>
      <c r="D94" s="14">
        <f>D93-D95</f>
        <v>5.3108571428571452</v>
      </c>
      <c r="E94" s="14">
        <f>D94/C94</f>
        <v>2.6554285714285726</v>
      </c>
      <c r="F94" s="14">
        <f>E94/E95</f>
        <v>0.51402024224323883</v>
      </c>
      <c r="G94" s="14">
        <f>_xlfn.F.INV(0.96,C94,C95)</f>
        <v>4.2598556800601797</v>
      </c>
      <c r="H94" s="14">
        <f>1-_xlfn.F.DIST(F94,C94,C95,1)</f>
        <v>0.61067885062637761</v>
      </c>
      <c r="K94" t="s">
        <v>121</v>
      </c>
      <c r="L94">
        <f>G94</f>
        <v>4.2598556800601797</v>
      </c>
    </row>
    <row r="95" spans="2:13" x14ac:dyDescent="0.25">
      <c r="B95" s="14" t="s">
        <v>117</v>
      </c>
      <c r="C95" s="14">
        <f>K26</f>
        <v>12</v>
      </c>
      <c r="D95" s="14">
        <f>J26</f>
        <v>61.992000000000019</v>
      </c>
      <c r="E95" s="14">
        <f>D95/C95</f>
        <v>5.1660000000000013</v>
      </c>
      <c r="F95" s="14"/>
      <c r="G95" s="14"/>
      <c r="K95" t="s">
        <v>110</v>
      </c>
      <c r="L95">
        <f>H94</f>
        <v>0.61067885062637761</v>
      </c>
      <c r="M95" t="s">
        <v>120</v>
      </c>
    </row>
    <row r="96" spans="2:13" ht="15.75" thickBot="1" x14ac:dyDescent="0.3">
      <c r="B96" s="11" t="s">
        <v>21</v>
      </c>
      <c r="C96" s="11">
        <v>20</v>
      </c>
      <c r="D96" s="11">
        <v>4658.7028571428564</v>
      </c>
      <c r="E96" s="11"/>
      <c r="F96" s="11"/>
      <c r="G96" s="11"/>
    </row>
    <row r="97" spans="8:8" x14ac:dyDescent="0.25">
      <c r="H97" s="58"/>
    </row>
    <row r="128" spans="2:2" x14ac:dyDescent="0.25">
      <c r="B128" t="s">
        <v>122</v>
      </c>
    </row>
    <row r="134" spans="2:7" x14ac:dyDescent="0.25">
      <c r="B134" t="s">
        <v>123</v>
      </c>
    </row>
    <row r="136" spans="2:7" x14ac:dyDescent="0.25">
      <c r="B136" t="s">
        <v>124</v>
      </c>
    </row>
    <row r="137" spans="2:7" x14ac:dyDescent="0.25">
      <c r="B137" t="s">
        <v>125</v>
      </c>
    </row>
    <row r="141" spans="2:7" x14ac:dyDescent="0.25">
      <c r="B141" t="s">
        <v>126</v>
      </c>
      <c r="F141" t="s">
        <v>127</v>
      </c>
    </row>
    <row r="142" spans="2:7" x14ac:dyDescent="0.25">
      <c r="B142" s="60">
        <v>39.200000000000003</v>
      </c>
      <c r="C142">
        <f>(B142-B147)^2</f>
        <v>23.425600000000031</v>
      </c>
      <c r="G142">
        <f>AVERAGE(H5,H6)</f>
        <v>24.8</v>
      </c>
    </row>
    <row r="143" spans="2:7" x14ac:dyDescent="0.25">
      <c r="B143" s="60">
        <v>34.299999999999997</v>
      </c>
      <c r="C143">
        <f>(B143-B147)^2</f>
        <v>3.6000000000002727E-3</v>
      </c>
      <c r="G143">
        <f>AVERAGE(H7,H8)</f>
        <v>48.4</v>
      </c>
    </row>
    <row r="144" spans="2:7" x14ac:dyDescent="0.25">
      <c r="B144" s="60">
        <v>36.700000000000003</v>
      </c>
      <c r="C144">
        <f>(B144-B147)^2</f>
        <v>5.475600000000016</v>
      </c>
      <c r="G144">
        <f>AVERAGE(H9,H10)</f>
        <v>18.8</v>
      </c>
    </row>
    <row r="145" spans="2:11" x14ac:dyDescent="0.25">
      <c r="B145" s="60">
        <v>30.1</v>
      </c>
      <c r="C145">
        <f>(B145-B147)^2</f>
        <v>18.147599999999983</v>
      </c>
      <c r="G145">
        <f>AVERAGE(H11,H12)</f>
        <v>24.9</v>
      </c>
    </row>
    <row r="146" spans="2:11" x14ac:dyDescent="0.25">
      <c r="B146" s="60">
        <v>31.5</v>
      </c>
      <c r="C146">
        <f>(B146-B147)^2</f>
        <v>8.1795999999999971</v>
      </c>
      <c r="G146">
        <f>AVERAGE(H13,H14)</f>
        <v>29.9</v>
      </c>
    </row>
    <row r="147" spans="2:11" x14ac:dyDescent="0.25">
      <c r="B147">
        <f>AVERAGE(B142:B146)</f>
        <v>34.36</v>
      </c>
      <c r="C147">
        <f>SUM(C142:C146)</f>
        <v>55.232000000000028</v>
      </c>
      <c r="G147">
        <f>AVERAGE(H15,H16)</f>
        <v>71.699999999999989</v>
      </c>
      <c r="K147" s="59"/>
    </row>
    <row r="148" spans="2:11" x14ac:dyDescent="0.25">
      <c r="B148">
        <v>5</v>
      </c>
      <c r="C148">
        <f>DEVSQ(B142:B146)</f>
        <v>55.232000000000028</v>
      </c>
      <c r="G148">
        <f>AVERAGE(H17,H18)</f>
        <v>21.2</v>
      </c>
    </row>
    <row r="149" spans="2:11" x14ac:dyDescent="0.25">
      <c r="G149">
        <f>AVERAGE(H19,H20)</f>
        <v>44.3</v>
      </c>
    </row>
    <row r="150" spans="2:11" x14ac:dyDescent="0.25">
      <c r="F150" t="s">
        <v>128</v>
      </c>
      <c r="G150">
        <f>AVERAGE(G142:G149)</f>
        <v>35.5</v>
      </c>
    </row>
    <row r="151" spans="2:11" x14ac:dyDescent="0.25">
      <c r="F151" t="s">
        <v>129</v>
      </c>
      <c r="G151">
        <v>8</v>
      </c>
    </row>
    <row r="154" spans="2:11" x14ac:dyDescent="0.25">
      <c r="B154">
        <f>(B148*G151*(G150-B147)^2)/(B148+G151)</f>
        <v>3.9987692307692346</v>
      </c>
    </row>
    <row r="157" spans="2:11" x14ac:dyDescent="0.25">
      <c r="C157">
        <f>B154/(C148/4)</f>
        <v>0.28959800338711128</v>
      </c>
      <c r="D157" t="s">
        <v>130</v>
      </c>
      <c r="E157">
        <f>_xlfn.F.INV(0.96,1,8)</f>
        <v>5.9975274794858411</v>
      </c>
      <c r="G157" t="s">
        <v>110</v>
      </c>
      <c r="H157">
        <f>_xlfn.F.DIST(B154,1,4,1)</f>
        <v>0.88384267087532931</v>
      </c>
      <c r="J157" t="s">
        <v>131</v>
      </c>
    </row>
    <row r="185" spans="2:4" x14ac:dyDescent="0.25">
      <c r="B185" t="s">
        <v>132</v>
      </c>
    </row>
    <row r="191" spans="2:4" x14ac:dyDescent="0.25">
      <c r="D191" t="s">
        <v>6</v>
      </c>
    </row>
    <row r="192" spans="2:4" ht="15.75" thickBot="1" x14ac:dyDescent="0.3"/>
    <row r="193" spans="4:12" x14ac:dyDescent="0.25">
      <c r="D193" s="10" t="s">
        <v>7</v>
      </c>
      <c r="E193" s="10"/>
    </row>
    <row r="194" spans="4:12" x14ac:dyDescent="0.25">
      <c r="D194" t="s">
        <v>8</v>
      </c>
      <c r="E194">
        <v>0.99275037419141299</v>
      </c>
    </row>
    <row r="195" spans="4:12" x14ac:dyDescent="0.25">
      <c r="D195" t="s">
        <v>9</v>
      </c>
      <c r="E195">
        <v>0.98555330545719044</v>
      </c>
    </row>
    <row r="196" spans="4:12" x14ac:dyDescent="0.25">
      <c r="D196" t="s">
        <v>10</v>
      </c>
      <c r="E196">
        <v>0.97936186493884336</v>
      </c>
    </row>
    <row r="197" spans="4:12" x14ac:dyDescent="0.25">
      <c r="D197" t="s">
        <v>11</v>
      </c>
      <c r="E197">
        <v>2.1925662906228198</v>
      </c>
    </row>
    <row r="198" spans="4:12" ht="15.75" thickBot="1" x14ac:dyDescent="0.3">
      <c r="D198" s="11" t="s">
        <v>12</v>
      </c>
      <c r="E198" s="11">
        <v>21</v>
      </c>
    </row>
    <row r="200" spans="4:12" ht="15.75" thickBot="1" x14ac:dyDescent="0.3">
      <c r="D200" t="s">
        <v>13</v>
      </c>
    </row>
    <row r="201" spans="4:12" x14ac:dyDescent="0.25">
      <c r="D201" s="12"/>
      <c r="E201" s="12" t="s">
        <v>14</v>
      </c>
      <c r="F201" s="12" t="s">
        <v>15</v>
      </c>
      <c r="G201" s="12" t="s">
        <v>16</v>
      </c>
      <c r="H201" s="12" t="s">
        <v>17</v>
      </c>
      <c r="I201" s="12" t="s">
        <v>18</v>
      </c>
    </row>
    <row r="202" spans="4:12" x14ac:dyDescent="0.25">
      <c r="D202" t="s">
        <v>19</v>
      </c>
      <c r="E202">
        <v>6</v>
      </c>
      <c r="F202">
        <v>4591.3999999999996</v>
      </c>
      <c r="G202">
        <v>765.23333333333323</v>
      </c>
      <c r="H202">
        <v>159.17996830248481</v>
      </c>
      <c r="I202">
        <v>4.6092829204646717E-12</v>
      </c>
    </row>
    <row r="203" spans="4:12" x14ac:dyDescent="0.25">
      <c r="D203" t="s">
        <v>20</v>
      </c>
      <c r="E203">
        <v>14</v>
      </c>
      <c r="F203">
        <v>67.302857142857164</v>
      </c>
      <c r="G203">
        <v>4.8073469387755114</v>
      </c>
    </row>
    <row r="204" spans="4:12" ht="15.75" thickBot="1" x14ac:dyDescent="0.3">
      <c r="D204" s="11" t="s">
        <v>21</v>
      </c>
      <c r="E204" s="11">
        <v>20</v>
      </c>
      <c r="F204" s="11">
        <v>4658.7028571428564</v>
      </c>
      <c r="G204" s="11"/>
      <c r="H204" s="11"/>
      <c r="I204" s="11"/>
    </row>
    <row r="205" spans="4:12" ht="15.75" thickBot="1" x14ac:dyDescent="0.3"/>
    <row r="206" spans="4:12" x14ac:dyDescent="0.25">
      <c r="D206" s="12"/>
      <c r="E206" s="12" t="s">
        <v>22</v>
      </c>
      <c r="F206" s="12" t="s">
        <v>11</v>
      </c>
      <c r="G206" s="12" t="s">
        <v>23</v>
      </c>
      <c r="H206" s="12" t="s">
        <v>24</v>
      </c>
      <c r="I206" s="12" t="s">
        <v>25</v>
      </c>
      <c r="J206" s="12" t="s">
        <v>26</v>
      </c>
      <c r="K206" s="12" t="s">
        <v>133</v>
      </c>
      <c r="L206" s="12" t="s">
        <v>134</v>
      </c>
    </row>
    <row r="207" spans="4:12" x14ac:dyDescent="0.25">
      <c r="D207" t="s">
        <v>27</v>
      </c>
      <c r="E207">
        <v>35.228571428571435</v>
      </c>
      <c r="F207">
        <v>0.47845719014226745</v>
      </c>
      <c r="G207">
        <v>73.629516191608175</v>
      </c>
      <c r="H207">
        <v>1.5774142368512742E-19</v>
      </c>
      <c r="I207">
        <v>34.202382816415742</v>
      </c>
      <c r="J207">
        <v>36.254760040727128</v>
      </c>
      <c r="K207">
        <v>34.145448998718727</v>
      </c>
      <c r="L207">
        <v>36.311693858424142</v>
      </c>
    </row>
    <row r="208" spans="4:12" x14ac:dyDescent="0.25">
      <c r="D208" t="s">
        <v>2</v>
      </c>
      <c r="E208">
        <v>11.824999999999999</v>
      </c>
      <c r="F208">
        <v>0.54814157265570496</v>
      </c>
      <c r="G208">
        <v>21.572893919920649</v>
      </c>
      <c r="H208">
        <v>3.8443692920223496E-12</v>
      </c>
      <c r="I208">
        <v>10.649353251873713</v>
      </c>
      <c r="J208">
        <v>13.000646748126286</v>
      </c>
      <c r="K208">
        <v>10.584127369573869</v>
      </c>
      <c r="L208">
        <v>13.06587263042613</v>
      </c>
    </row>
    <row r="209" spans="2:12" x14ac:dyDescent="0.25">
      <c r="D209" t="s">
        <v>3</v>
      </c>
      <c r="E209">
        <v>-8.1999999999999993</v>
      </c>
      <c r="F209">
        <v>0.54814157265570496</v>
      </c>
      <c r="G209">
        <v>-14.959638912756812</v>
      </c>
      <c r="H209">
        <v>5.2741300406342195E-10</v>
      </c>
      <c r="I209">
        <v>-9.375646748126286</v>
      </c>
      <c r="J209">
        <v>-7.0243532518737135</v>
      </c>
      <c r="K209">
        <v>-9.4408726304261297</v>
      </c>
      <c r="L209">
        <v>-6.9591273695738689</v>
      </c>
    </row>
    <row r="210" spans="2:12" x14ac:dyDescent="0.25">
      <c r="D210" t="s">
        <v>29</v>
      </c>
      <c r="E210">
        <v>6.2749999999999995</v>
      </c>
      <c r="F210">
        <v>0.54814157265570496</v>
      </c>
      <c r="G210">
        <v>11.447772460676706</v>
      </c>
      <c r="H210">
        <v>1.7082423228745112E-8</v>
      </c>
      <c r="I210">
        <v>5.0993532518737137</v>
      </c>
      <c r="J210">
        <v>7.4506467481262852</v>
      </c>
      <c r="K210">
        <v>5.03412736957387</v>
      </c>
      <c r="L210">
        <v>7.515872630426129</v>
      </c>
    </row>
    <row r="211" spans="2:12" x14ac:dyDescent="0.25">
      <c r="D211" t="s">
        <v>4</v>
      </c>
      <c r="E211">
        <v>-4.5249999999999977</v>
      </c>
      <c r="F211">
        <v>0.54814157265570496</v>
      </c>
      <c r="G211">
        <v>-8.2551665951493352</v>
      </c>
      <c r="H211">
        <v>9.4841125761273089E-7</v>
      </c>
      <c r="I211">
        <v>-5.7006467481262835</v>
      </c>
      <c r="J211">
        <v>-3.3493532518737119</v>
      </c>
      <c r="K211">
        <v>-5.7658726304261272</v>
      </c>
      <c r="L211">
        <v>-3.2841273695738677</v>
      </c>
    </row>
    <row r="212" spans="2:12" x14ac:dyDescent="0.25">
      <c r="D212" t="s">
        <v>30</v>
      </c>
      <c r="E212">
        <v>4.3999999999999977</v>
      </c>
      <c r="F212">
        <v>0.54814157265570496</v>
      </c>
      <c r="G212">
        <v>8.0271233190402373</v>
      </c>
      <c r="H212">
        <v>1.3165193810955031E-6</v>
      </c>
      <c r="I212">
        <v>3.2243532518737119</v>
      </c>
      <c r="J212">
        <v>5.5756467481262835</v>
      </c>
      <c r="K212">
        <v>3.1591273695738677</v>
      </c>
      <c r="L212">
        <v>5.6408726304261272</v>
      </c>
    </row>
    <row r="213" spans="2:12" ht="15.75" thickBot="1" x14ac:dyDescent="0.3">
      <c r="D213" s="11" t="s">
        <v>31</v>
      </c>
      <c r="E213" s="11">
        <v>-0.82499999999999885</v>
      </c>
      <c r="F213" s="11">
        <v>0.54814157265570496</v>
      </c>
      <c r="G213" s="11">
        <v>-1.5050856223200431</v>
      </c>
      <c r="H213" s="11">
        <v>0.15452644694837242</v>
      </c>
      <c r="I213" s="11">
        <v>-2.0006467481262851</v>
      </c>
      <c r="J213" s="11">
        <v>0.35064674812628716</v>
      </c>
      <c r="K213" s="11">
        <v>-2.0658726304261288</v>
      </c>
      <c r="L213" s="11">
        <v>0.4158726304261311</v>
      </c>
    </row>
    <row r="217" spans="2:12" x14ac:dyDescent="0.25">
      <c r="B217" s="55" t="s">
        <v>118</v>
      </c>
      <c r="D217" t="s">
        <v>135</v>
      </c>
    </row>
    <row r="220" spans="2:12" x14ac:dyDescent="0.25">
      <c r="B220" t="s">
        <v>136</v>
      </c>
    </row>
    <row r="225" spans="2:9" x14ac:dyDescent="0.25">
      <c r="B225" s="3" t="s">
        <v>137</v>
      </c>
      <c r="C225">
        <f>E208/F208</f>
        <v>21.572893919920649</v>
      </c>
      <c r="D225" t="s">
        <v>138</v>
      </c>
      <c r="I225" t="s">
        <v>139</v>
      </c>
    </row>
    <row r="226" spans="2:9" x14ac:dyDescent="0.25">
      <c r="B226" s="3" t="s">
        <v>140</v>
      </c>
      <c r="C226">
        <f>_xlfn.T.INV(0.98,10)</f>
        <v>2.3593146237365357</v>
      </c>
    </row>
    <row r="227" spans="2:9" x14ac:dyDescent="0.25">
      <c r="B227" s="3" t="s">
        <v>141</v>
      </c>
      <c r="C227">
        <f>H208</f>
        <v>3.8443692920223496E-12</v>
      </c>
      <c r="D227" t="s">
        <v>111</v>
      </c>
    </row>
    <row r="228" spans="2:9" x14ac:dyDescent="0.25">
      <c r="G228" t="s">
        <v>142</v>
      </c>
    </row>
    <row r="229" spans="2:9" x14ac:dyDescent="0.25">
      <c r="B229" s="3" t="s">
        <v>143</v>
      </c>
      <c r="C229">
        <f>K208</f>
        <v>10.584127369573869</v>
      </c>
      <c r="D229">
        <f>L208</f>
        <v>13.06587263042613</v>
      </c>
      <c r="G229" t="s">
        <v>144</v>
      </c>
    </row>
    <row r="265" spans="2:4" x14ac:dyDescent="0.25">
      <c r="B265" s="55" t="s">
        <v>118</v>
      </c>
      <c r="D265" t="s">
        <v>145</v>
      </c>
    </row>
    <row r="268" spans="2:4" x14ac:dyDescent="0.25">
      <c r="B268" t="s">
        <v>146</v>
      </c>
    </row>
    <row r="273" spans="2:9" x14ac:dyDescent="0.25">
      <c r="B273" s="3" t="s">
        <v>151</v>
      </c>
      <c r="C273">
        <f>E209/F209</f>
        <v>-14.959638912756812</v>
      </c>
      <c r="D273" t="s">
        <v>138</v>
      </c>
      <c r="I273" t="s">
        <v>147</v>
      </c>
    </row>
    <row r="274" spans="2:9" x14ac:dyDescent="0.25">
      <c r="B274" s="3" t="s">
        <v>140</v>
      </c>
      <c r="C274">
        <f>_xlfn.T.INV(0.98,10)</f>
        <v>2.3593146237365357</v>
      </c>
    </row>
    <row r="275" spans="2:9" x14ac:dyDescent="0.25">
      <c r="B275" s="3" t="s">
        <v>152</v>
      </c>
      <c r="C275">
        <f>H209</f>
        <v>5.2741300406342195E-10</v>
      </c>
      <c r="D275" t="s">
        <v>111</v>
      </c>
    </row>
    <row r="276" spans="2:9" x14ac:dyDescent="0.25">
      <c r="G276" t="s">
        <v>154</v>
      </c>
    </row>
    <row r="277" spans="2:9" x14ac:dyDescent="0.25">
      <c r="B277" s="3" t="s">
        <v>143</v>
      </c>
      <c r="C277">
        <f>K209</f>
        <v>-9.4408726304261297</v>
      </c>
      <c r="D277">
        <f>L209</f>
        <v>-6.9591273695738689</v>
      </c>
      <c r="G277" t="s">
        <v>155</v>
      </c>
    </row>
    <row r="315" spans="2:4" x14ac:dyDescent="0.25">
      <c r="B315" s="55" t="s">
        <v>118</v>
      </c>
      <c r="D315" t="s">
        <v>148</v>
      </c>
    </row>
    <row r="318" spans="2:4" x14ac:dyDescent="0.25">
      <c r="B318" t="s">
        <v>149</v>
      </c>
    </row>
    <row r="323" spans="2:9" x14ac:dyDescent="0.25">
      <c r="B323" s="3" t="s">
        <v>153</v>
      </c>
      <c r="C323">
        <f>E210/F210</f>
        <v>11.447772460676706</v>
      </c>
      <c r="D323" t="s">
        <v>138</v>
      </c>
      <c r="I323" t="s">
        <v>150</v>
      </c>
    </row>
    <row r="324" spans="2:9" x14ac:dyDescent="0.25">
      <c r="B324" s="3" t="s">
        <v>140</v>
      </c>
      <c r="C324">
        <f>_xlfn.T.INV(0.98,10)</f>
        <v>2.3593146237365357</v>
      </c>
    </row>
    <row r="325" spans="2:9" x14ac:dyDescent="0.25">
      <c r="B325" s="3" t="s">
        <v>156</v>
      </c>
      <c r="C325">
        <f>H210</f>
        <v>1.7082423228745112E-8</v>
      </c>
      <c r="D325" t="s">
        <v>111</v>
      </c>
    </row>
    <row r="326" spans="2:9" x14ac:dyDescent="0.25">
      <c r="G326" t="s">
        <v>157</v>
      </c>
    </row>
    <row r="327" spans="2:9" x14ac:dyDescent="0.25">
      <c r="B327" s="3" t="s">
        <v>143</v>
      </c>
      <c r="C327">
        <f>K210</f>
        <v>5.03412736957387</v>
      </c>
      <c r="D327">
        <f>L210</f>
        <v>7.515872630426129</v>
      </c>
      <c r="G327" t="s">
        <v>158</v>
      </c>
    </row>
    <row r="360" spans="2:9" x14ac:dyDescent="0.25">
      <c r="B360" s="55" t="s">
        <v>118</v>
      </c>
      <c r="D360" t="s">
        <v>162</v>
      </c>
    </row>
    <row r="363" spans="2:9" x14ac:dyDescent="0.25">
      <c r="B363" t="s">
        <v>163</v>
      </c>
    </row>
    <row r="368" spans="2:9" x14ac:dyDescent="0.25">
      <c r="B368" s="3" t="s">
        <v>165</v>
      </c>
      <c r="C368">
        <f>G211</f>
        <v>-8.2551665951493352</v>
      </c>
      <c r="D368" t="s">
        <v>138</v>
      </c>
      <c r="I368" t="s">
        <v>164</v>
      </c>
    </row>
    <row r="369" spans="2:7" x14ac:dyDescent="0.25">
      <c r="B369" s="3" t="s">
        <v>140</v>
      </c>
      <c r="C369">
        <f>_xlfn.T.INV(0.98,10)</f>
        <v>2.3593146237365357</v>
      </c>
    </row>
    <row r="370" spans="2:7" x14ac:dyDescent="0.25">
      <c r="B370" s="3" t="s">
        <v>166</v>
      </c>
      <c r="C370">
        <f>H211</f>
        <v>9.4841125761273089E-7</v>
      </c>
      <c r="D370" t="s">
        <v>111</v>
      </c>
    </row>
    <row r="371" spans="2:7" x14ac:dyDescent="0.25">
      <c r="G371" t="s">
        <v>167</v>
      </c>
    </row>
    <row r="372" spans="2:7" x14ac:dyDescent="0.25">
      <c r="B372" s="3" t="s">
        <v>143</v>
      </c>
      <c r="C372">
        <f>K211</f>
        <v>-5.7658726304261272</v>
      </c>
      <c r="D372">
        <f>L211</f>
        <v>-3.2841273695738677</v>
      </c>
      <c r="G372" t="s">
        <v>168</v>
      </c>
    </row>
    <row r="412" spans="2:4" x14ac:dyDescent="0.25">
      <c r="B412" s="55" t="s">
        <v>118</v>
      </c>
      <c r="D412" t="s">
        <v>159</v>
      </c>
    </row>
    <row r="415" spans="2:4" x14ac:dyDescent="0.25">
      <c r="B415" t="s">
        <v>160</v>
      </c>
    </row>
    <row r="420" spans="2:9" x14ac:dyDescent="0.25">
      <c r="B420" s="3" t="s">
        <v>169</v>
      </c>
      <c r="C420">
        <f>G212</f>
        <v>8.0271233190402373</v>
      </c>
      <c r="D420" t="s">
        <v>138</v>
      </c>
      <c r="I420" t="s">
        <v>161</v>
      </c>
    </row>
    <row r="421" spans="2:9" x14ac:dyDescent="0.25">
      <c r="B421" s="3" t="s">
        <v>140</v>
      </c>
      <c r="C421">
        <f>_xlfn.T.INV(0.98,10)</f>
        <v>2.3593146237365357</v>
      </c>
    </row>
    <row r="422" spans="2:9" x14ac:dyDescent="0.25">
      <c r="B422" s="3" t="s">
        <v>170</v>
      </c>
      <c r="C422">
        <f>H212</f>
        <v>1.3165193810955031E-6</v>
      </c>
      <c r="D422" t="s">
        <v>111</v>
      </c>
    </row>
    <row r="423" spans="2:9" x14ac:dyDescent="0.25">
      <c r="G423" t="s">
        <v>167</v>
      </c>
    </row>
    <row r="424" spans="2:9" x14ac:dyDescent="0.25">
      <c r="B424" s="3" t="s">
        <v>143</v>
      </c>
      <c r="C424">
        <f>K212</f>
        <v>3.1591273695738677</v>
      </c>
      <c r="D424">
        <f>L212</f>
        <v>5.6408726304261272</v>
      </c>
      <c r="G424" t="s">
        <v>168</v>
      </c>
    </row>
    <row r="461" spans="2:4" x14ac:dyDescent="0.25">
      <c r="B461" s="55" t="s">
        <v>118</v>
      </c>
      <c r="D461" t="s">
        <v>171</v>
      </c>
    </row>
    <row r="464" spans="2:4" x14ac:dyDescent="0.25">
      <c r="B464" t="s">
        <v>176</v>
      </c>
    </row>
    <row r="469" spans="2:9" x14ac:dyDescent="0.25">
      <c r="B469" s="3" t="s">
        <v>172</v>
      </c>
      <c r="C469">
        <f>G213</f>
        <v>-1.5050856223200431</v>
      </c>
      <c r="D469" t="s">
        <v>138</v>
      </c>
      <c r="I469" t="s">
        <v>178</v>
      </c>
    </row>
    <row r="470" spans="2:9" x14ac:dyDescent="0.25">
      <c r="B470" s="3" t="s">
        <v>140</v>
      </c>
      <c r="C470">
        <f>_xlfn.T.INV(0.98,10)</f>
        <v>2.3593146237365357</v>
      </c>
    </row>
    <row r="471" spans="2:9" x14ac:dyDescent="0.25">
      <c r="B471" s="3" t="s">
        <v>173</v>
      </c>
      <c r="C471">
        <f>H213</f>
        <v>0.15452644694837242</v>
      </c>
      <c r="D471" t="s">
        <v>120</v>
      </c>
    </row>
    <row r="472" spans="2:9" x14ac:dyDescent="0.25">
      <c r="G472" t="s">
        <v>174</v>
      </c>
    </row>
    <row r="473" spans="2:9" x14ac:dyDescent="0.25">
      <c r="B473" s="3" t="s">
        <v>177</v>
      </c>
      <c r="C473">
        <f>K213</f>
        <v>-2.0658726304261288</v>
      </c>
      <c r="D473">
        <f>L213</f>
        <v>0.4158726304261311</v>
      </c>
      <c r="G473" t="s">
        <v>175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workbookViewId="0">
      <selection activeCell="D27" sqref="D27"/>
    </sheetView>
  </sheetViews>
  <sheetFormatPr defaultRowHeight="15" x14ac:dyDescent="0.25"/>
  <cols>
    <col min="2" max="2" width="16.5703125" customWidth="1"/>
    <col min="5" max="5" width="17.28515625" customWidth="1"/>
  </cols>
  <sheetData>
    <row r="1" spans="1:6" x14ac:dyDescent="0.25">
      <c r="A1" t="s">
        <v>179</v>
      </c>
    </row>
    <row r="3" spans="1:6" x14ac:dyDescent="0.25">
      <c r="A3" s="3" t="s">
        <v>180</v>
      </c>
      <c r="B3" s="56">
        <f>F13</f>
        <v>0.99845167575654781</v>
      </c>
      <c r="C3" t="s">
        <v>185</v>
      </c>
    </row>
    <row r="4" spans="1:6" x14ac:dyDescent="0.25">
      <c r="C4" t="s">
        <v>186</v>
      </c>
    </row>
    <row r="7" spans="1:6" x14ac:dyDescent="0.25">
      <c r="A7" s="3" t="s">
        <v>181</v>
      </c>
      <c r="B7" s="56">
        <f>F14</f>
        <v>0.99741945959424627</v>
      </c>
      <c r="C7" t="s">
        <v>187</v>
      </c>
    </row>
    <row r="10" spans="1:6" ht="15.75" thickBot="1" x14ac:dyDescent="0.3">
      <c r="B10" t="s">
        <v>182</v>
      </c>
      <c r="E10" t="s">
        <v>183</v>
      </c>
    </row>
    <row r="11" spans="1:6" x14ac:dyDescent="0.25">
      <c r="B11" s="10" t="s">
        <v>7</v>
      </c>
      <c r="C11" s="10"/>
      <c r="E11" s="10" t="s">
        <v>7</v>
      </c>
      <c r="F11" s="10"/>
    </row>
    <row r="12" spans="1:6" x14ac:dyDescent="0.25">
      <c r="B12" t="s">
        <v>8</v>
      </c>
      <c r="C12">
        <v>0.99926471058163613</v>
      </c>
      <c r="E12" t="s">
        <v>8</v>
      </c>
      <c r="F12">
        <v>0.99922553798256564</v>
      </c>
    </row>
    <row r="13" spans="1:6" x14ac:dyDescent="0.25">
      <c r="B13" t="s">
        <v>9</v>
      </c>
      <c r="C13">
        <v>0.99852996181380094</v>
      </c>
      <c r="E13" t="s">
        <v>9</v>
      </c>
      <c r="F13">
        <v>0.99845167575654781</v>
      </c>
    </row>
    <row r="14" spans="1:6" x14ac:dyDescent="0.25">
      <c r="B14" t="s">
        <v>10</v>
      </c>
      <c r="C14">
        <v>0.99724367840087669</v>
      </c>
      <c r="E14" t="s">
        <v>10</v>
      </c>
      <c r="F14">
        <v>0.99741945959424627</v>
      </c>
    </row>
    <row r="15" spans="1:6" x14ac:dyDescent="0.25">
      <c r="B15" t="s">
        <v>11</v>
      </c>
      <c r="C15">
        <v>0.91923881554250952</v>
      </c>
      <c r="E15" t="s">
        <v>11</v>
      </c>
      <c r="F15">
        <v>0.88944427094175327</v>
      </c>
    </row>
    <row r="16" spans="1:6" ht="15.75" thickBot="1" x14ac:dyDescent="0.3">
      <c r="B16" s="11" t="s">
        <v>12</v>
      </c>
      <c r="C16" s="11">
        <v>16</v>
      </c>
      <c r="E16" s="11" t="s">
        <v>12</v>
      </c>
      <c r="F16" s="11">
        <v>16</v>
      </c>
    </row>
    <row r="19" spans="1:2" x14ac:dyDescent="0.25">
      <c r="A19" s="3" t="s">
        <v>184</v>
      </c>
      <c r="B19" t="s">
        <v>188</v>
      </c>
    </row>
    <row r="20" spans="1:2" x14ac:dyDescent="0.25">
      <c r="A20" s="3"/>
      <c r="B20" t="s">
        <v>189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M9" sqref="M9"/>
    </sheetView>
  </sheetViews>
  <sheetFormatPr defaultRowHeight="15" x14ac:dyDescent="0.25"/>
  <sheetData>
    <row r="1" spans="1:17" x14ac:dyDescent="0.25">
      <c r="A1" s="1" t="s">
        <v>193</v>
      </c>
      <c r="B1" s="51" t="s">
        <v>194</v>
      </c>
      <c r="C1" s="1" t="s">
        <v>195</v>
      </c>
      <c r="D1" s="1" t="s">
        <v>5</v>
      </c>
    </row>
    <row r="2" spans="1:17" x14ac:dyDescent="0.25">
      <c r="A2" s="1">
        <v>-1</v>
      </c>
      <c r="B2" s="1">
        <v>-1</v>
      </c>
      <c r="C2" s="1">
        <v>-1</v>
      </c>
      <c r="D2" s="8">
        <v>26</v>
      </c>
      <c r="G2" t="s">
        <v>196</v>
      </c>
    </row>
    <row r="3" spans="1:17" x14ac:dyDescent="0.25">
      <c r="A3" s="1">
        <v>-1</v>
      </c>
      <c r="B3" s="1">
        <v>-1</v>
      </c>
      <c r="C3" s="1">
        <v>-1</v>
      </c>
      <c r="D3" s="8">
        <v>23.6</v>
      </c>
      <c r="G3">
        <v>-1</v>
      </c>
      <c r="H3">
        <f>AVERAGE(D2:D3,D6:D7,D10:D11,D14:D15)</f>
        <v>22.424999999999997</v>
      </c>
      <c r="L3" s="61"/>
      <c r="O3" s="15"/>
      <c r="P3" s="15"/>
      <c r="Q3" s="15"/>
    </row>
    <row r="4" spans="1:17" x14ac:dyDescent="0.25">
      <c r="A4" s="1">
        <v>1</v>
      </c>
      <c r="B4" s="1">
        <v>-1</v>
      </c>
      <c r="C4" s="1">
        <v>-1</v>
      </c>
      <c r="D4" s="8">
        <v>49</v>
      </c>
      <c r="G4">
        <v>1</v>
      </c>
      <c r="H4">
        <f>AVERAGE(D4:D5,D8:D9,D12:D13,D16:D17)</f>
        <v>48.575000000000003</v>
      </c>
      <c r="L4" s="61"/>
      <c r="O4" s="15"/>
      <c r="P4" s="15"/>
      <c r="Q4" s="15"/>
    </row>
    <row r="5" spans="1:17" x14ac:dyDescent="0.25">
      <c r="A5" s="1">
        <v>1</v>
      </c>
      <c r="B5" s="1">
        <v>-1</v>
      </c>
      <c r="C5" s="1">
        <v>-1</v>
      </c>
      <c r="D5" s="8">
        <v>47.8</v>
      </c>
      <c r="G5" s="3" t="s">
        <v>190</v>
      </c>
      <c r="H5">
        <f>H4-H3</f>
        <v>26.150000000000006</v>
      </c>
      <c r="O5" s="15"/>
      <c r="P5" s="15"/>
      <c r="Q5" s="15"/>
    </row>
    <row r="6" spans="1:17" x14ac:dyDescent="0.25">
      <c r="A6" s="1">
        <v>-1</v>
      </c>
      <c r="B6" s="1">
        <v>1</v>
      </c>
      <c r="C6" s="1">
        <v>-1</v>
      </c>
      <c r="D6" s="8">
        <v>19</v>
      </c>
      <c r="O6" s="1"/>
      <c r="P6" s="1"/>
      <c r="Q6" s="1"/>
    </row>
    <row r="7" spans="1:17" x14ac:dyDescent="0.25">
      <c r="A7" s="1">
        <v>-1</v>
      </c>
      <c r="B7" s="1">
        <v>1</v>
      </c>
      <c r="C7" s="1">
        <v>-1</v>
      </c>
      <c r="D7" s="8">
        <v>18.600000000000001</v>
      </c>
      <c r="O7" s="1"/>
      <c r="P7" s="1"/>
      <c r="Q7" s="1"/>
    </row>
    <row r="8" spans="1:17" x14ac:dyDescent="0.25">
      <c r="A8" s="1">
        <v>1</v>
      </c>
      <c r="B8" s="1">
        <v>1</v>
      </c>
      <c r="C8" s="1">
        <v>-1</v>
      </c>
      <c r="D8" s="8">
        <v>31</v>
      </c>
      <c r="G8" t="s">
        <v>197</v>
      </c>
      <c r="O8" s="1"/>
      <c r="P8" s="1"/>
      <c r="Q8" s="1"/>
    </row>
    <row r="9" spans="1:17" x14ac:dyDescent="0.25">
      <c r="A9" s="1">
        <v>1</v>
      </c>
      <c r="B9" s="1">
        <v>1</v>
      </c>
      <c r="C9" s="1">
        <v>-1</v>
      </c>
      <c r="D9" s="8">
        <v>28.8</v>
      </c>
      <c r="G9">
        <v>-1</v>
      </c>
      <c r="H9">
        <f>AVERAGE(D2:D5,D10:D13)</f>
        <v>42.449999999999989</v>
      </c>
      <c r="I9" s="8"/>
      <c r="J9" s="8"/>
      <c r="K9" s="8"/>
      <c r="O9" s="1"/>
      <c r="P9" s="1"/>
      <c r="Q9" s="1"/>
    </row>
    <row r="10" spans="1:17" x14ac:dyDescent="0.25">
      <c r="A10" s="1">
        <v>-1</v>
      </c>
      <c r="B10" s="1">
        <v>-1</v>
      </c>
      <c r="C10" s="1">
        <v>1</v>
      </c>
      <c r="D10" s="8">
        <v>24.6</v>
      </c>
      <c r="G10">
        <v>1</v>
      </c>
      <c r="H10">
        <f>AVERAGE(D6:D9,D14:D17)</f>
        <v>28.549999999999997</v>
      </c>
      <c r="I10" s="8"/>
      <c r="J10" s="8"/>
      <c r="K10" s="8"/>
      <c r="O10" s="1"/>
      <c r="P10" s="1"/>
      <c r="Q10" s="1"/>
    </row>
    <row r="11" spans="1:17" x14ac:dyDescent="0.25">
      <c r="A11" s="1">
        <v>-1</v>
      </c>
      <c r="B11" s="1">
        <v>-1</v>
      </c>
      <c r="C11" s="1">
        <v>1</v>
      </c>
      <c r="D11" s="8">
        <v>25.2</v>
      </c>
      <c r="G11" s="3" t="s">
        <v>191</v>
      </c>
      <c r="H11">
        <f>H10-H9</f>
        <v>-13.899999999999991</v>
      </c>
      <c r="I11" s="8"/>
      <c r="J11" s="8"/>
      <c r="K11" s="8"/>
      <c r="O11" s="1"/>
      <c r="P11" s="1"/>
      <c r="Q11" s="1"/>
    </row>
    <row r="12" spans="1:17" x14ac:dyDescent="0.25">
      <c r="A12" s="1">
        <v>1</v>
      </c>
      <c r="B12" s="1">
        <v>-1</v>
      </c>
      <c r="C12" s="1">
        <v>1</v>
      </c>
      <c r="D12" s="8">
        <v>71.3</v>
      </c>
      <c r="I12" s="8"/>
      <c r="J12" s="8"/>
      <c r="K12" s="8"/>
      <c r="O12" s="15"/>
      <c r="P12" s="15"/>
      <c r="Q12" s="15"/>
    </row>
    <row r="13" spans="1:17" x14ac:dyDescent="0.25">
      <c r="A13" s="1">
        <v>1</v>
      </c>
      <c r="B13" s="1">
        <v>-1</v>
      </c>
      <c r="C13" s="1">
        <v>1</v>
      </c>
      <c r="D13" s="8">
        <v>72.099999999999994</v>
      </c>
      <c r="I13" s="8"/>
      <c r="J13" s="8"/>
      <c r="K13" s="8"/>
      <c r="O13" s="15"/>
      <c r="P13" s="15"/>
      <c r="Q13" s="15"/>
    </row>
    <row r="14" spans="1:17" x14ac:dyDescent="0.25">
      <c r="A14" s="1">
        <v>-1</v>
      </c>
      <c r="B14" s="1">
        <v>1</v>
      </c>
      <c r="C14" s="1">
        <v>1</v>
      </c>
      <c r="D14" s="8">
        <v>21.4</v>
      </c>
      <c r="G14" t="s">
        <v>198</v>
      </c>
    </row>
    <row r="15" spans="1:17" x14ac:dyDescent="0.25">
      <c r="A15" s="1">
        <v>-1</v>
      </c>
      <c r="B15" s="1">
        <v>1</v>
      </c>
      <c r="C15" s="1">
        <v>1</v>
      </c>
      <c r="D15" s="8">
        <v>21</v>
      </c>
      <c r="G15">
        <v>-1</v>
      </c>
      <c r="H15">
        <f>AVERAGE(D2:D9)</f>
        <v>30.474999999999998</v>
      </c>
    </row>
    <row r="16" spans="1:17" x14ac:dyDescent="0.25">
      <c r="A16" s="1">
        <v>1</v>
      </c>
      <c r="B16" s="1">
        <v>1</v>
      </c>
      <c r="C16" s="1">
        <v>1</v>
      </c>
      <c r="D16" s="8">
        <v>44.1</v>
      </c>
      <c r="G16">
        <v>1</v>
      </c>
      <c r="H16">
        <f>AVERAGE(D10:D17)</f>
        <v>40.524999999999999</v>
      </c>
    </row>
    <row r="17" spans="1:8" x14ac:dyDescent="0.25">
      <c r="A17" s="1">
        <v>1</v>
      </c>
      <c r="B17" s="1">
        <v>1</v>
      </c>
      <c r="C17" s="1">
        <v>1</v>
      </c>
      <c r="D17" s="8">
        <v>44.5</v>
      </c>
      <c r="G17" s="3" t="s">
        <v>192</v>
      </c>
      <c r="H17">
        <f>H16-H15</f>
        <v>10.050000000000001</v>
      </c>
    </row>
  </sheetData>
  <pageMargins left="0.7" right="0.7" top="0.75" bottom="0.75" header="0.3" footer="0.3"/>
  <ignoredErrors>
    <ignoredError sqref="H15:H16" formulaRange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7"/>
  <sheetViews>
    <sheetView topLeftCell="A31" workbookViewId="0">
      <selection activeCell="K51" sqref="K51"/>
    </sheetView>
  </sheetViews>
  <sheetFormatPr defaultRowHeight="15" x14ac:dyDescent="0.25"/>
  <sheetData>
    <row r="1" spans="1:17" x14ac:dyDescent="0.25">
      <c r="A1" s="1" t="s">
        <v>193</v>
      </c>
      <c r="B1" s="51" t="s">
        <v>194</v>
      </c>
      <c r="C1" s="1" t="s">
        <v>195</v>
      </c>
      <c r="D1" s="1" t="s">
        <v>5</v>
      </c>
    </row>
    <row r="2" spans="1:17" x14ac:dyDescent="0.25">
      <c r="A2" s="1">
        <v>-1</v>
      </c>
      <c r="B2" s="1">
        <v>-1</v>
      </c>
      <c r="C2" s="1">
        <v>-1</v>
      </c>
      <c r="D2" s="8">
        <v>26</v>
      </c>
    </row>
    <row r="3" spans="1:17" x14ac:dyDescent="0.25">
      <c r="A3" s="1">
        <v>-1</v>
      </c>
      <c r="B3" s="1">
        <v>-1</v>
      </c>
      <c r="C3" s="1">
        <v>-1</v>
      </c>
      <c r="D3" s="8">
        <v>23.6</v>
      </c>
      <c r="L3" s="61"/>
      <c r="O3" s="15"/>
      <c r="P3" s="15"/>
      <c r="Q3" s="15"/>
    </row>
    <row r="4" spans="1:17" x14ac:dyDescent="0.25">
      <c r="A4" s="1">
        <v>1</v>
      </c>
      <c r="B4" s="1">
        <v>-1</v>
      </c>
      <c r="C4" s="1">
        <v>-1</v>
      </c>
      <c r="D4" s="8">
        <v>49</v>
      </c>
      <c r="L4" s="61"/>
      <c r="O4" s="15"/>
      <c r="P4" s="15"/>
      <c r="Q4" s="15"/>
    </row>
    <row r="5" spans="1:17" x14ac:dyDescent="0.25">
      <c r="A5" s="1">
        <v>1</v>
      </c>
      <c r="B5" s="1">
        <v>-1</v>
      </c>
      <c r="C5" s="1">
        <v>-1</v>
      </c>
      <c r="D5" s="8">
        <v>47.8</v>
      </c>
      <c r="G5" s="3"/>
      <c r="O5" s="15"/>
      <c r="P5" s="15"/>
      <c r="Q5" s="15"/>
    </row>
    <row r="6" spans="1:17" x14ac:dyDescent="0.25">
      <c r="A6" s="1">
        <v>-1</v>
      </c>
      <c r="B6" s="1">
        <v>1</v>
      </c>
      <c r="C6" s="1">
        <v>-1</v>
      </c>
      <c r="D6" s="8">
        <v>19</v>
      </c>
      <c r="O6" s="1"/>
      <c r="P6" s="1"/>
      <c r="Q6" s="1"/>
    </row>
    <row r="7" spans="1:17" x14ac:dyDescent="0.25">
      <c r="A7" s="1">
        <v>-1</v>
      </c>
      <c r="B7" s="1">
        <v>1</v>
      </c>
      <c r="C7" s="1">
        <v>-1</v>
      </c>
      <c r="D7" s="8">
        <v>18.600000000000001</v>
      </c>
      <c r="O7" s="1"/>
      <c r="P7" s="1"/>
      <c r="Q7" s="1"/>
    </row>
    <row r="8" spans="1:17" x14ac:dyDescent="0.25">
      <c r="A8" s="1">
        <v>1</v>
      </c>
      <c r="B8" s="1">
        <v>1</v>
      </c>
      <c r="C8" s="1">
        <v>-1</v>
      </c>
      <c r="D8" s="8">
        <v>31</v>
      </c>
      <c r="O8" s="1"/>
      <c r="P8" s="1"/>
      <c r="Q8" s="1"/>
    </row>
    <row r="9" spans="1:17" x14ac:dyDescent="0.25">
      <c r="A9" s="1">
        <v>1</v>
      </c>
      <c r="B9" s="1">
        <v>1</v>
      </c>
      <c r="C9" s="1">
        <v>-1</v>
      </c>
      <c r="D9" s="8">
        <v>28.8</v>
      </c>
      <c r="I9" s="8"/>
      <c r="J9" s="8"/>
      <c r="K9" s="8"/>
      <c r="O9" s="1"/>
      <c r="P9" s="1"/>
      <c r="Q9" s="1"/>
    </row>
    <row r="10" spans="1:17" x14ac:dyDescent="0.25">
      <c r="A10" s="1">
        <v>-1</v>
      </c>
      <c r="B10" s="1">
        <v>-1</v>
      </c>
      <c r="C10" s="1">
        <v>1</v>
      </c>
      <c r="D10" s="8">
        <v>24.6</v>
      </c>
      <c r="I10" s="8"/>
      <c r="J10" s="8"/>
      <c r="K10" s="8"/>
      <c r="O10" s="1"/>
      <c r="P10" s="1"/>
      <c r="Q10" s="1"/>
    </row>
    <row r="11" spans="1:17" x14ac:dyDescent="0.25">
      <c r="A11" s="1">
        <v>-1</v>
      </c>
      <c r="B11" s="1">
        <v>-1</v>
      </c>
      <c r="C11" s="1">
        <v>1</v>
      </c>
      <c r="D11" s="8">
        <v>25.2</v>
      </c>
      <c r="G11" s="3"/>
      <c r="I11" s="8"/>
      <c r="J11" s="8"/>
      <c r="K11" s="8"/>
      <c r="O11" s="1"/>
      <c r="P11" s="1"/>
      <c r="Q11" s="1"/>
    </row>
    <row r="12" spans="1:17" x14ac:dyDescent="0.25">
      <c r="A12" s="1">
        <v>1</v>
      </c>
      <c r="B12" s="1">
        <v>-1</v>
      </c>
      <c r="C12" s="1">
        <v>1</v>
      </c>
      <c r="D12" s="8">
        <v>71.3</v>
      </c>
      <c r="I12" s="8"/>
      <c r="J12" s="8"/>
      <c r="K12" s="8"/>
      <c r="O12" s="15"/>
      <c r="P12" s="15"/>
      <c r="Q12" s="15"/>
    </row>
    <row r="13" spans="1:17" x14ac:dyDescent="0.25">
      <c r="A13" s="1">
        <v>1</v>
      </c>
      <c r="B13" s="1">
        <v>-1</v>
      </c>
      <c r="C13" s="1">
        <v>1</v>
      </c>
      <c r="D13" s="8">
        <v>72.099999999999994</v>
      </c>
      <c r="I13" s="8"/>
      <c r="J13" s="8"/>
      <c r="K13" s="8"/>
      <c r="O13" s="15"/>
      <c r="P13" s="15"/>
      <c r="Q13" s="15"/>
    </row>
    <row r="14" spans="1:17" x14ac:dyDescent="0.25">
      <c r="A14" s="1">
        <v>-1</v>
      </c>
      <c r="B14" s="1">
        <v>1</v>
      </c>
      <c r="C14" s="1">
        <v>1</v>
      </c>
      <c r="D14" s="8">
        <v>21.4</v>
      </c>
    </row>
    <row r="15" spans="1:17" x14ac:dyDescent="0.25">
      <c r="A15" s="1">
        <v>-1</v>
      </c>
      <c r="B15" s="1">
        <v>1</v>
      </c>
      <c r="C15" s="1">
        <v>1</v>
      </c>
      <c r="D15" s="8">
        <v>21</v>
      </c>
    </row>
    <row r="16" spans="1:17" x14ac:dyDescent="0.25">
      <c r="A16" s="1">
        <v>1</v>
      </c>
      <c r="B16" s="1">
        <v>1</v>
      </c>
      <c r="C16" s="1">
        <v>1</v>
      </c>
      <c r="D16" s="8">
        <v>44.1</v>
      </c>
    </row>
    <row r="17" spans="1:7" x14ac:dyDescent="0.25">
      <c r="A17" s="1">
        <v>1</v>
      </c>
      <c r="B17" s="1">
        <v>1</v>
      </c>
      <c r="C17" s="1">
        <v>1</v>
      </c>
      <c r="D17" s="8">
        <v>44.5</v>
      </c>
      <c r="G17" s="3"/>
    </row>
    <row r="19" spans="1:7" x14ac:dyDescent="0.25">
      <c r="A19" s="66"/>
      <c r="B19" s="66"/>
      <c r="C19" s="66"/>
      <c r="D19" s="66"/>
      <c r="E19" s="66"/>
      <c r="F19" s="66"/>
      <c r="G19" s="66"/>
    </row>
    <row r="20" spans="1:7" x14ac:dyDescent="0.25">
      <c r="A20" t="s">
        <v>199</v>
      </c>
    </row>
    <row r="21" spans="1:7" x14ac:dyDescent="0.25">
      <c r="D21" s="65" t="s">
        <v>200</v>
      </c>
      <c r="E21" s="65"/>
    </row>
    <row r="22" spans="1:7" x14ac:dyDescent="0.25">
      <c r="D22" s="28">
        <v>10</v>
      </c>
      <c r="E22" s="28">
        <v>60</v>
      </c>
    </row>
    <row r="23" spans="1:7" x14ac:dyDescent="0.25">
      <c r="D23" s="28">
        <v>-1</v>
      </c>
      <c r="E23" s="28">
        <v>1</v>
      </c>
    </row>
    <row r="24" spans="1:7" x14ac:dyDescent="0.25">
      <c r="A24" s="64" t="s">
        <v>201</v>
      </c>
      <c r="B24" s="28">
        <v>400</v>
      </c>
      <c r="C24" s="30">
        <v>-1</v>
      </c>
      <c r="D24" s="29">
        <f>AVERAGE(D2:D3,D6:D7)</f>
        <v>21.799999999999997</v>
      </c>
      <c r="E24" s="29">
        <f>AVERAGE(D4,D5,D8,D9)</f>
        <v>39.15</v>
      </c>
      <c r="F24">
        <f>AVERAGE(E25,D24)</f>
        <v>39.899999999999991</v>
      </c>
    </row>
    <row r="25" spans="1:7" x14ac:dyDescent="0.25">
      <c r="A25" s="64"/>
      <c r="B25" s="28">
        <v>800</v>
      </c>
      <c r="C25" s="30">
        <v>1</v>
      </c>
      <c r="D25" s="29">
        <f>AVERAGE(D10,D11,D14,D15)</f>
        <v>23.049999999999997</v>
      </c>
      <c r="E25" s="29">
        <f>AVERAGE(D12,D13,D16,D17)</f>
        <v>57.999999999999993</v>
      </c>
      <c r="F25">
        <f>AVERAGE(D25,E24)</f>
        <v>31.099999999999998</v>
      </c>
    </row>
    <row r="26" spans="1:7" x14ac:dyDescent="0.25">
      <c r="E26" s="3" t="s">
        <v>202</v>
      </c>
      <c r="F26" s="16">
        <f>F24-F25</f>
        <v>8.7999999999999936</v>
      </c>
    </row>
    <row r="32" spans="1:7" x14ac:dyDescent="0.25">
      <c r="A32" t="s">
        <v>203</v>
      </c>
    </row>
    <row r="33" spans="1:14" x14ac:dyDescent="0.25">
      <c r="A33" s="66"/>
      <c r="B33" s="66"/>
      <c r="C33" s="66"/>
      <c r="D33" s="66"/>
      <c r="E33" s="66"/>
      <c r="F33" s="66"/>
      <c r="G33" s="66"/>
    </row>
    <row r="35" spans="1:14" x14ac:dyDescent="0.25">
      <c r="D35" s="65" t="s">
        <v>200</v>
      </c>
      <c r="E35" s="65"/>
    </row>
    <row r="36" spans="1:14" x14ac:dyDescent="0.25">
      <c r="D36" s="28">
        <v>10</v>
      </c>
      <c r="E36" s="28">
        <v>60</v>
      </c>
      <c r="M36" s="65"/>
      <c r="N36" s="65"/>
    </row>
    <row r="37" spans="1:14" x14ac:dyDescent="0.25">
      <c r="D37" s="28">
        <v>-1</v>
      </c>
      <c r="E37" s="28">
        <v>1</v>
      </c>
    </row>
    <row r="38" spans="1:14" x14ac:dyDescent="0.25">
      <c r="A38" s="64" t="s">
        <v>204</v>
      </c>
      <c r="B38" s="28">
        <v>100</v>
      </c>
      <c r="C38" s="30">
        <v>-1</v>
      </c>
      <c r="D38" s="29">
        <f>AVERAGE(D2,D3,D10,D11)</f>
        <v>24.85</v>
      </c>
      <c r="E38" s="29">
        <f>AVERAGE(D4,D5,D12,D13)</f>
        <v>60.05</v>
      </c>
      <c r="F38">
        <f>AVERAGE(E39,D38)</f>
        <v>30.975000000000001</v>
      </c>
    </row>
    <row r="39" spans="1:14" x14ac:dyDescent="0.25">
      <c r="A39" s="64"/>
      <c r="B39" s="28">
        <v>300</v>
      </c>
      <c r="C39" s="30">
        <v>1</v>
      </c>
      <c r="D39" s="29">
        <f>AVERAGE(D6,D7,D14,D15)</f>
        <v>20</v>
      </c>
      <c r="E39" s="29">
        <f>AVERAGE(D8,D9,D16,D17)</f>
        <v>37.1</v>
      </c>
      <c r="F39">
        <f>AVERAGE(D39,E38)</f>
        <v>40.024999999999999</v>
      </c>
    </row>
    <row r="40" spans="1:14" x14ac:dyDescent="0.25">
      <c r="E40" s="3" t="s">
        <v>205</v>
      </c>
      <c r="F40" s="16">
        <f>F38-F39</f>
        <v>-9.0499999999999972</v>
      </c>
    </row>
    <row r="41" spans="1:14" x14ac:dyDescent="0.25">
      <c r="G41" s="1"/>
    </row>
    <row r="45" spans="1:14" x14ac:dyDescent="0.25">
      <c r="G45" s="1"/>
      <c r="I45" s="8"/>
    </row>
    <row r="46" spans="1:14" x14ac:dyDescent="0.25">
      <c r="G46" s="1"/>
      <c r="I46" s="8"/>
    </row>
    <row r="47" spans="1:14" x14ac:dyDescent="0.25">
      <c r="G47" s="1"/>
      <c r="I47" s="8"/>
    </row>
    <row r="48" spans="1:14" x14ac:dyDescent="0.25">
      <c r="G48" s="1"/>
      <c r="I48" s="8"/>
    </row>
    <row r="49" spans="1:14" x14ac:dyDescent="0.25">
      <c r="A49" t="s">
        <v>206</v>
      </c>
      <c r="G49" s="1"/>
      <c r="I49" s="8"/>
    </row>
    <row r="50" spans="1:14" x14ac:dyDescent="0.25">
      <c r="A50" s="66"/>
      <c r="B50" s="66"/>
      <c r="C50" s="66"/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</row>
    <row r="51" spans="1:14" x14ac:dyDescent="0.25">
      <c r="I51" s="8"/>
    </row>
    <row r="52" spans="1:14" x14ac:dyDescent="0.25">
      <c r="D52" s="65" t="s">
        <v>204</v>
      </c>
      <c r="E52" s="65"/>
      <c r="I52" s="8"/>
    </row>
    <row r="53" spans="1:14" x14ac:dyDescent="0.25">
      <c r="D53" s="28">
        <v>10</v>
      </c>
      <c r="E53" s="28">
        <v>300</v>
      </c>
    </row>
    <row r="54" spans="1:14" x14ac:dyDescent="0.25">
      <c r="D54" s="28">
        <v>-1</v>
      </c>
      <c r="E54" s="28">
        <v>1</v>
      </c>
    </row>
    <row r="55" spans="1:14" x14ac:dyDescent="0.25">
      <c r="A55" s="64" t="s">
        <v>201</v>
      </c>
      <c r="B55" s="28">
        <v>400</v>
      </c>
      <c r="C55" s="30">
        <v>-1</v>
      </c>
      <c r="D55" s="29">
        <f>AVERAGE(D2,D3,D4,D5)</f>
        <v>36.599999999999994</v>
      </c>
      <c r="E55" s="29">
        <f>AVERAGE(D6,D7,D8,D9)</f>
        <v>24.349999999999998</v>
      </c>
      <c r="F55">
        <f>AVERAGE(E56,D55)</f>
        <v>34.674999999999997</v>
      </c>
    </row>
    <row r="56" spans="1:14" x14ac:dyDescent="0.25">
      <c r="A56" s="64"/>
      <c r="B56" s="28">
        <v>800</v>
      </c>
      <c r="C56" s="30">
        <v>1</v>
      </c>
      <c r="D56" s="29">
        <f>AVERAGE(D10,D11,D12,D13)</f>
        <v>48.3</v>
      </c>
      <c r="E56" s="29">
        <f>AVERAGE(D14,D15,D16,D17)</f>
        <v>32.75</v>
      </c>
      <c r="F56">
        <f>AVERAGE(D56,E55)</f>
        <v>36.324999999999996</v>
      </c>
    </row>
    <row r="57" spans="1:14" x14ac:dyDescent="0.25">
      <c r="E57" s="3" t="s">
        <v>207</v>
      </c>
      <c r="F57" s="16">
        <f>F55-F56</f>
        <v>-1.6499999999999986</v>
      </c>
    </row>
  </sheetData>
  <mergeCells count="11">
    <mergeCell ref="A19:G19"/>
    <mergeCell ref="D21:E21"/>
    <mergeCell ref="A24:A25"/>
    <mergeCell ref="A33:G33"/>
    <mergeCell ref="D35:E35"/>
    <mergeCell ref="M36:N36"/>
    <mergeCell ref="A50:G50"/>
    <mergeCell ref="D52:E52"/>
    <mergeCell ref="A55:A56"/>
    <mergeCell ref="H50:N50"/>
    <mergeCell ref="A38:A3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"/>
  <sheetViews>
    <sheetView topLeftCell="A25" workbookViewId="0">
      <selection activeCell="P49" sqref="P49"/>
    </sheetView>
  </sheetViews>
  <sheetFormatPr defaultRowHeight="15" x14ac:dyDescent="0.25"/>
  <sheetData>
    <row r="1" spans="1:5" x14ac:dyDescent="0.25">
      <c r="A1" t="s">
        <v>208</v>
      </c>
    </row>
    <row r="2" spans="1:5" x14ac:dyDescent="0.25">
      <c r="B2" s="3" t="s">
        <v>190</v>
      </c>
      <c r="C2" s="56">
        <v>26.15</v>
      </c>
      <c r="E2" s="3"/>
    </row>
    <row r="3" spans="1:5" x14ac:dyDescent="0.25">
      <c r="B3" s="3" t="s">
        <v>191</v>
      </c>
      <c r="C3" s="56">
        <v>-13.9</v>
      </c>
    </row>
    <row r="4" spans="1:5" x14ac:dyDescent="0.25">
      <c r="B4" s="3" t="s">
        <v>192</v>
      </c>
      <c r="C4" s="56">
        <v>10.050000000000001</v>
      </c>
    </row>
    <row r="5" spans="1:5" x14ac:dyDescent="0.25">
      <c r="B5" s="3" t="s">
        <v>202</v>
      </c>
      <c r="C5" s="56">
        <v>8.8000000000000007</v>
      </c>
    </row>
    <row r="6" spans="1:5" x14ac:dyDescent="0.25">
      <c r="B6" s="3" t="s">
        <v>205</v>
      </c>
      <c r="C6" s="56">
        <v>-9.0500000000000007</v>
      </c>
    </row>
    <row r="7" spans="1:5" x14ac:dyDescent="0.25">
      <c r="B7" s="3" t="s">
        <v>207</v>
      </c>
      <c r="C7" s="56">
        <v>-1.65</v>
      </c>
    </row>
    <row r="9" spans="1:5" x14ac:dyDescent="0.25">
      <c r="B9" s="56" t="s">
        <v>209</v>
      </c>
    </row>
    <row r="10" spans="1:5" x14ac:dyDescent="0.25">
      <c r="B10" t="s">
        <v>200</v>
      </c>
      <c r="C10">
        <v>51.46</v>
      </c>
    </row>
    <row r="11" spans="1:5" x14ac:dyDescent="0.25">
      <c r="B11" t="s">
        <v>204</v>
      </c>
      <c r="C11">
        <v>-35.68</v>
      </c>
    </row>
    <row r="12" spans="1:5" x14ac:dyDescent="0.25">
      <c r="B12" t="s">
        <v>201</v>
      </c>
      <c r="C12">
        <v>27.31</v>
      </c>
    </row>
    <row r="13" spans="1:5" x14ac:dyDescent="0.25">
      <c r="B13" t="s">
        <v>210</v>
      </c>
      <c r="C13">
        <v>-19.690000000000001</v>
      </c>
    </row>
    <row r="14" spans="1:5" x14ac:dyDescent="0.25">
      <c r="B14" t="s">
        <v>211</v>
      </c>
      <c r="C14">
        <v>19.149999999999999</v>
      </c>
    </row>
    <row r="15" spans="1:5" x14ac:dyDescent="0.25">
      <c r="B15" t="s">
        <v>212</v>
      </c>
      <c r="C15">
        <v>-3.59</v>
      </c>
    </row>
    <row r="16" spans="1:5" x14ac:dyDescent="0.25">
      <c r="B16" t="s">
        <v>213</v>
      </c>
      <c r="C16">
        <v>-0.65</v>
      </c>
    </row>
    <row r="19" spans="2:3" x14ac:dyDescent="0.25">
      <c r="B19" t="s">
        <v>214</v>
      </c>
    </row>
    <row r="20" spans="2:3" x14ac:dyDescent="0.25">
      <c r="B20" t="s">
        <v>200</v>
      </c>
      <c r="C20">
        <f>ABS(C10)</f>
        <v>51.46</v>
      </c>
    </row>
    <row r="21" spans="2:3" x14ac:dyDescent="0.25">
      <c r="B21" t="s">
        <v>204</v>
      </c>
      <c r="C21">
        <f t="shared" ref="C21:C26" si="0">ABS(C11)</f>
        <v>35.68</v>
      </c>
    </row>
    <row r="22" spans="2:3" x14ac:dyDescent="0.25">
      <c r="B22" t="s">
        <v>201</v>
      </c>
      <c r="C22">
        <f t="shared" si="0"/>
        <v>27.31</v>
      </c>
    </row>
    <row r="23" spans="2:3" x14ac:dyDescent="0.25">
      <c r="B23" t="s">
        <v>210</v>
      </c>
      <c r="C23">
        <f t="shared" si="0"/>
        <v>19.690000000000001</v>
      </c>
    </row>
    <row r="24" spans="2:3" x14ac:dyDescent="0.25">
      <c r="B24" t="s">
        <v>211</v>
      </c>
      <c r="C24">
        <f t="shared" si="0"/>
        <v>19.149999999999999</v>
      </c>
    </row>
    <row r="25" spans="2:3" x14ac:dyDescent="0.25">
      <c r="B25" t="s">
        <v>212</v>
      </c>
      <c r="C25">
        <f>ABS(C15)</f>
        <v>3.59</v>
      </c>
    </row>
    <row r="26" spans="2:3" x14ac:dyDescent="0.25">
      <c r="B26" t="s">
        <v>213</v>
      </c>
      <c r="C26">
        <f t="shared" si="0"/>
        <v>0.65</v>
      </c>
    </row>
    <row r="29" spans="2:3" x14ac:dyDescent="0.25">
      <c r="B29" t="s">
        <v>215</v>
      </c>
    </row>
    <row r="31" spans="2:3" x14ac:dyDescent="0.25">
      <c r="B31" t="s">
        <v>200</v>
      </c>
      <c r="C31">
        <v>51.46</v>
      </c>
    </row>
    <row r="32" spans="2:3" x14ac:dyDescent="0.25">
      <c r="B32" t="s">
        <v>204</v>
      </c>
      <c r="C32">
        <v>35.68</v>
      </c>
    </row>
    <row r="33" spans="2:4" x14ac:dyDescent="0.25">
      <c r="B33" t="s">
        <v>201</v>
      </c>
      <c r="C33">
        <v>27.31</v>
      </c>
    </row>
    <row r="34" spans="2:4" x14ac:dyDescent="0.25">
      <c r="B34" t="s">
        <v>210</v>
      </c>
      <c r="C34">
        <v>19.690000000000001</v>
      </c>
    </row>
    <row r="35" spans="2:4" x14ac:dyDescent="0.25">
      <c r="B35" t="s">
        <v>211</v>
      </c>
      <c r="C35">
        <v>19.149999999999999</v>
      </c>
    </row>
    <row r="36" spans="2:4" x14ac:dyDescent="0.25">
      <c r="B36" t="s">
        <v>212</v>
      </c>
      <c r="C36">
        <v>3.59</v>
      </c>
    </row>
    <row r="37" spans="2:4" x14ac:dyDescent="0.25">
      <c r="B37" t="s">
        <v>213</v>
      </c>
      <c r="C37">
        <v>0.65</v>
      </c>
    </row>
    <row r="40" spans="2:4" x14ac:dyDescent="0.25">
      <c r="C40" t="s">
        <v>216</v>
      </c>
    </row>
    <row r="41" spans="2:4" ht="18.75" x14ac:dyDescent="0.35">
      <c r="C41" s="3" t="s">
        <v>217</v>
      </c>
      <c r="D41">
        <f>_xlfn.T.INV(0.975,7)</f>
        <v>2.3646242515927849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4"/>
  <sheetViews>
    <sheetView workbookViewId="0">
      <selection activeCell="R25" sqref="R25"/>
    </sheetView>
  </sheetViews>
  <sheetFormatPr defaultRowHeight="15" x14ac:dyDescent="0.25"/>
  <cols>
    <col min="1" max="1" width="13.140625" customWidth="1"/>
    <col min="11" max="11" width="11.28515625" bestFit="1" customWidth="1"/>
  </cols>
  <sheetData>
    <row r="1" spans="1:20" x14ac:dyDescent="0.25">
      <c r="A1" s="56" t="s">
        <v>218</v>
      </c>
      <c r="S1" s="17" t="s">
        <v>0</v>
      </c>
      <c r="T1" s="21" t="s">
        <v>1</v>
      </c>
    </row>
    <row r="2" spans="1:20" x14ac:dyDescent="0.25">
      <c r="A2" s="13" t="s">
        <v>75</v>
      </c>
      <c r="B2" s="13">
        <v>35.5</v>
      </c>
      <c r="C2" s="13" t="s">
        <v>28</v>
      </c>
      <c r="D2" s="13">
        <v>11.825000000000003</v>
      </c>
      <c r="E2" s="13" t="s">
        <v>61</v>
      </c>
      <c r="F2" s="13">
        <v>-8.1999999999999993</v>
      </c>
      <c r="G2" s="13" t="s">
        <v>76</v>
      </c>
      <c r="H2" s="13">
        <v>6.2749999999999986</v>
      </c>
      <c r="I2" s="13" t="s">
        <v>62</v>
      </c>
      <c r="J2">
        <v>-4.5250000000000004</v>
      </c>
      <c r="K2" t="s">
        <v>84</v>
      </c>
      <c r="L2">
        <v>4.3999999999999995</v>
      </c>
      <c r="M2" t="s">
        <v>77</v>
      </c>
      <c r="N2">
        <v>-0.82500000000000173</v>
      </c>
      <c r="O2" t="s">
        <v>78</v>
      </c>
      <c r="S2" s="17">
        <f>(10+60)/2</f>
        <v>35</v>
      </c>
      <c r="T2" s="21">
        <f>(60-10)/2</f>
        <v>25</v>
      </c>
    </row>
    <row r="3" spans="1:20" x14ac:dyDescent="0.25">
      <c r="A3" t="s">
        <v>79</v>
      </c>
      <c r="B3">
        <v>17.379999999999988</v>
      </c>
      <c r="C3" t="s">
        <v>28</v>
      </c>
      <c r="D3">
        <v>0.30700000000000016</v>
      </c>
      <c r="E3" t="s">
        <v>65</v>
      </c>
      <c r="F3">
        <v>6.1000000000000672E-3</v>
      </c>
      <c r="G3" t="s">
        <v>80</v>
      </c>
      <c r="H3">
        <v>8.8250000000000134E-3</v>
      </c>
      <c r="I3" t="s">
        <v>81</v>
      </c>
      <c r="J3">
        <v>-1.8100000000000002E-3</v>
      </c>
      <c r="K3" t="s">
        <v>227</v>
      </c>
      <c r="L3">
        <v>8.7999999999999992E-4</v>
      </c>
      <c r="M3" t="s">
        <v>82</v>
      </c>
      <c r="N3">
        <v>-4.1250000000000088E-5</v>
      </c>
      <c r="O3" t="s">
        <v>83</v>
      </c>
      <c r="S3" s="18">
        <f>(100+300)/2</f>
        <v>200</v>
      </c>
      <c r="T3" s="22">
        <f>(300-100)/2</f>
        <v>100</v>
      </c>
    </row>
    <row r="4" spans="1:20" x14ac:dyDescent="0.25">
      <c r="B4" s="1"/>
      <c r="D4" s="1"/>
      <c r="S4" s="19">
        <f>(400+800)/2</f>
        <v>600</v>
      </c>
      <c r="T4" s="23">
        <f>(800-400)/2</f>
        <v>200</v>
      </c>
    </row>
    <row r="5" spans="1:20" x14ac:dyDescent="0.25">
      <c r="A5" t="s">
        <v>219</v>
      </c>
    </row>
    <row r="6" spans="1:20" x14ac:dyDescent="0.25">
      <c r="H6" t="s">
        <v>220</v>
      </c>
      <c r="M6" t="s">
        <v>221</v>
      </c>
    </row>
    <row r="7" spans="1:20" x14ac:dyDescent="0.25">
      <c r="A7" s="1" t="s">
        <v>222</v>
      </c>
      <c r="B7" s="1" t="s">
        <v>48</v>
      </c>
      <c r="C7" s="1" t="s">
        <v>49</v>
      </c>
      <c r="D7" s="1" t="s">
        <v>50</v>
      </c>
      <c r="E7" s="56" t="s">
        <v>223</v>
      </c>
      <c r="H7" s="1" t="s">
        <v>48</v>
      </c>
      <c r="I7" s="1" t="s">
        <v>49</v>
      </c>
      <c r="J7" s="1" t="s">
        <v>50</v>
      </c>
      <c r="K7" s="1" t="s">
        <v>224</v>
      </c>
      <c r="M7" s="1" t="s">
        <v>2</v>
      </c>
      <c r="N7" s="1" t="s">
        <v>3</v>
      </c>
      <c r="O7" s="1" t="s">
        <v>29</v>
      </c>
      <c r="P7" s="1" t="s">
        <v>225</v>
      </c>
    </row>
    <row r="8" spans="1:20" x14ac:dyDescent="0.25">
      <c r="A8" s="62">
        <v>1</v>
      </c>
      <c r="B8" s="62">
        <v>10</v>
      </c>
      <c r="C8" s="62">
        <v>100</v>
      </c>
      <c r="D8" s="62">
        <v>400</v>
      </c>
      <c r="E8" s="62">
        <v>25</v>
      </c>
      <c r="H8" s="63">
        <v>10</v>
      </c>
      <c r="I8" s="63">
        <v>100</v>
      </c>
      <c r="J8" s="63">
        <v>400</v>
      </c>
      <c r="K8" s="1">
        <f>B3+D3*H8+F3*I8+H3*J8+J3*H8*I8+L3*H8*J8+N3*I8*J8</f>
        <v>24.65</v>
      </c>
      <c r="M8">
        <f>(H8-S2)/T2</f>
        <v>-1</v>
      </c>
      <c r="N8">
        <f>(I8-S3)/T3</f>
        <v>-1</v>
      </c>
      <c r="O8">
        <f>(J8-S4)/T4</f>
        <v>-1</v>
      </c>
      <c r="P8">
        <f>B2+D2*M8+F2*N8+H2*O8+J2*M8*N8+L2*M8*O8+N2*N8*O8</f>
        <v>24.649999999999991</v>
      </c>
    </row>
    <row r="9" spans="1:20" x14ac:dyDescent="0.25">
      <c r="A9" s="62">
        <v>2</v>
      </c>
      <c r="B9" s="62">
        <v>10</v>
      </c>
      <c r="C9" s="62">
        <v>200</v>
      </c>
      <c r="D9" s="62">
        <v>600</v>
      </c>
      <c r="E9" s="62">
        <v>23.5</v>
      </c>
      <c r="H9" s="63">
        <v>10</v>
      </c>
      <c r="I9" s="63">
        <v>200</v>
      </c>
      <c r="J9" s="63">
        <v>600</v>
      </c>
      <c r="K9" s="1">
        <f>B3+D3*H9+F3*I9+H3*J9+J3*H9*I9+L3*H9*J9+N3*I9*J9</f>
        <v>23.674999999999997</v>
      </c>
      <c r="M9">
        <f>(H9-S2)/T2</f>
        <v>-1</v>
      </c>
      <c r="N9">
        <f>(I9-S3)/T3</f>
        <v>0</v>
      </c>
      <c r="O9">
        <f>(J9-S4)/T4</f>
        <v>0</v>
      </c>
      <c r="P9">
        <f>B2+D2*M9+F2*N9+H2*O9+J2*M9*N9+L2*M9*O9+N2*N9*O9</f>
        <v>23.674999999999997</v>
      </c>
    </row>
    <row r="10" spans="1:20" x14ac:dyDescent="0.25">
      <c r="A10" s="62">
        <v>3</v>
      </c>
      <c r="B10" s="62">
        <v>10</v>
      </c>
      <c r="C10" s="62">
        <v>300</v>
      </c>
      <c r="D10" s="62">
        <v>800</v>
      </c>
      <c r="E10" s="62">
        <v>21.9</v>
      </c>
      <c r="H10" s="63">
        <v>10</v>
      </c>
      <c r="I10" s="63">
        <v>300</v>
      </c>
      <c r="J10" s="63">
        <v>800</v>
      </c>
      <c r="K10" s="1">
        <f>B3+D3*H10+F3*I10+H3*J10+J3*H10*I10+L3*H10*J10+N3*I10*J10</f>
        <v>21.049999999999997</v>
      </c>
      <c r="M10">
        <f>(H10-S2)/T2</f>
        <v>-1</v>
      </c>
      <c r="N10">
        <f>(I10-S3)/T3</f>
        <v>1</v>
      </c>
      <c r="O10">
        <f>(J10-S4)/T4</f>
        <v>1</v>
      </c>
      <c r="P10">
        <f>B2+D2*M10+F2*N10+H2*O10+J2*M10*N10+L2*M10*O10+N2*N10*O10</f>
        <v>21.049999999999997</v>
      </c>
    </row>
    <row r="11" spans="1:20" x14ac:dyDescent="0.25">
      <c r="A11" s="62">
        <v>4</v>
      </c>
      <c r="B11" s="62">
        <v>35</v>
      </c>
      <c r="C11" s="62">
        <v>100</v>
      </c>
      <c r="D11" s="62">
        <v>400</v>
      </c>
      <c r="E11" s="62">
        <v>36.9</v>
      </c>
      <c r="H11" s="63">
        <v>35</v>
      </c>
      <c r="I11" s="63">
        <v>100</v>
      </c>
      <c r="J11" s="63">
        <v>400</v>
      </c>
      <c r="K11" s="1">
        <f>B3+D3*H11+F3*I11+H3*J11+J3*H11*I11+L3*H11*J11+N3*I11*J11</f>
        <v>36.6</v>
      </c>
      <c r="M11">
        <f>(H11-S2)/T2</f>
        <v>0</v>
      </c>
      <c r="N11">
        <f>(I11-S3)/T3</f>
        <v>-1</v>
      </c>
      <c r="O11">
        <f>(J11-S4)/T4</f>
        <v>-1</v>
      </c>
      <c r="P11">
        <f>B2+D2*M11+F2*N11+H2*O11+J2*M11*N11+L2*M11*O11+N2*N11*O11</f>
        <v>36.6</v>
      </c>
    </row>
    <row r="12" spans="1:20" x14ac:dyDescent="0.25">
      <c r="A12" s="62">
        <v>5</v>
      </c>
      <c r="B12" s="62">
        <v>35</v>
      </c>
      <c r="C12" s="62">
        <v>200</v>
      </c>
      <c r="D12" s="62">
        <v>600</v>
      </c>
      <c r="E12" s="62">
        <v>35.700000000000003</v>
      </c>
      <c r="H12" s="63">
        <v>35</v>
      </c>
      <c r="I12" s="63">
        <v>200</v>
      </c>
      <c r="J12" s="63">
        <v>600</v>
      </c>
      <c r="K12" s="1">
        <f>B3+D3*H12+F3*I12+H3*J12+J3*H12*I12+L3*H12*J12+N3*I12*J12</f>
        <v>35.5</v>
      </c>
      <c r="M12">
        <f>(H12-S2)/T2</f>
        <v>0</v>
      </c>
      <c r="N12">
        <f>(I12-S3)/T3</f>
        <v>0</v>
      </c>
      <c r="O12">
        <f>(J12-S4)/T4</f>
        <v>0</v>
      </c>
      <c r="P12">
        <f>B2+D2*M12+F2*N12+H2*O12+J2*M12*N12+L2*M12*O12+N2*N12*O12</f>
        <v>35.5</v>
      </c>
    </row>
    <row r="13" spans="1:20" x14ac:dyDescent="0.25">
      <c r="A13" s="62">
        <v>6</v>
      </c>
      <c r="B13" s="62">
        <v>35</v>
      </c>
      <c r="C13" s="62">
        <v>300</v>
      </c>
      <c r="D13" s="62">
        <v>800</v>
      </c>
      <c r="E13" s="62">
        <v>34.5</v>
      </c>
      <c r="H13" s="63">
        <v>35</v>
      </c>
      <c r="I13" s="63">
        <v>300</v>
      </c>
      <c r="J13" s="63">
        <v>800</v>
      </c>
      <c r="K13" s="1">
        <f>B3+D3*H13+F3*I13+H3*J13+J3*H13*I13+L3*H13*J13+N3*I13*J13</f>
        <v>32.75</v>
      </c>
      <c r="M13">
        <f>(H13-S2)/T2</f>
        <v>0</v>
      </c>
      <c r="N13">
        <f>(I13-S3)/T3</f>
        <v>1</v>
      </c>
      <c r="O13">
        <f>(J13-S4)/T4</f>
        <v>1</v>
      </c>
      <c r="P13">
        <f>B2+D2*M13+F2*N13+H2*O13+J2*M13*N13+L2*M13*O13+N2*N13*O13</f>
        <v>32.75</v>
      </c>
    </row>
    <row r="14" spans="1:20" x14ac:dyDescent="0.25">
      <c r="A14" s="62">
        <v>7</v>
      </c>
      <c r="B14" s="62">
        <v>60</v>
      </c>
      <c r="C14" s="62">
        <v>100</v>
      </c>
      <c r="D14" s="62">
        <v>400</v>
      </c>
      <c r="E14" s="62">
        <v>47.9</v>
      </c>
      <c r="H14" s="63">
        <v>60</v>
      </c>
      <c r="I14" s="63">
        <v>100</v>
      </c>
      <c r="J14" s="63">
        <v>400</v>
      </c>
      <c r="K14" s="1">
        <f>B3+D3*H14+F3*I14+H3*J14+J3*H14*I14+L3*H14*J14+N3*I14*J14</f>
        <v>48.550000000000004</v>
      </c>
      <c r="M14">
        <f>(H14-S2)/T2</f>
        <v>1</v>
      </c>
      <c r="N14">
        <f>(I14-S3)/T3</f>
        <v>-1</v>
      </c>
      <c r="O14">
        <f>(J14-S4)/T4</f>
        <v>-1</v>
      </c>
      <c r="P14">
        <f>B2+D2*M14+F2*N14+H2*O14+J2*M14*N14+L2*M14*O14+N2*N14*O14</f>
        <v>48.550000000000004</v>
      </c>
    </row>
    <row r="15" spans="1:20" x14ac:dyDescent="0.25">
      <c r="A15" s="62">
        <v>8</v>
      </c>
      <c r="B15" s="62">
        <v>60</v>
      </c>
      <c r="C15" s="62">
        <v>200</v>
      </c>
      <c r="D15" s="62">
        <v>600</v>
      </c>
      <c r="E15" s="62">
        <v>50.8</v>
      </c>
      <c r="H15" s="63">
        <v>60</v>
      </c>
      <c r="I15" s="63">
        <v>200</v>
      </c>
      <c r="J15" s="63">
        <v>600</v>
      </c>
      <c r="K15" s="1">
        <f>B3+D3*H15+F3*I15+H3*J15+J3*H15*I15+L3*H15*J15+N3*I15*J15</f>
        <v>47.325000000000003</v>
      </c>
      <c r="M15">
        <f>(H15-S2)/T2</f>
        <v>1</v>
      </c>
      <c r="N15">
        <f>(I15-S3)/T3</f>
        <v>0</v>
      </c>
      <c r="O15">
        <f>(J15-S4)/T4</f>
        <v>0</v>
      </c>
      <c r="P15">
        <f>B2+D2*M15+F2*N15+H2*O15+J2*M15*N15+L2*M15*O15+N2*N15*O15</f>
        <v>47.325000000000003</v>
      </c>
    </row>
    <row r="16" spans="1:20" x14ac:dyDescent="0.25">
      <c r="A16" s="62">
        <v>9</v>
      </c>
      <c r="B16" s="62">
        <v>60</v>
      </c>
      <c r="C16" s="62">
        <v>300</v>
      </c>
      <c r="D16" s="62">
        <v>800</v>
      </c>
      <c r="E16" s="62">
        <v>44.6</v>
      </c>
      <c r="H16" s="63">
        <v>60</v>
      </c>
      <c r="I16" s="63">
        <v>300</v>
      </c>
      <c r="J16" s="63">
        <v>800</v>
      </c>
      <c r="K16" s="1">
        <f>B3+D3*H16+F3*I16+H3*J16+J3*H16*I16+L3*H16*J16+N3*I16*J16</f>
        <v>44.449999999999996</v>
      </c>
      <c r="M16">
        <f>(H16-S2)/T2</f>
        <v>1</v>
      </c>
      <c r="N16">
        <f>(I16-S3)/T3</f>
        <v>1</v>
      </c>
      <c r="O16">
        <f>(J16-S4)/T4</f>
        <v>1</v>
      </c>
      <c r="P16">
        <f>B2+D2*M16+F2*N16+H2*O16+J2*M16*N16+L2*M16*O16+N2*N16*O16</f>
        <v>44.449999999999996</v>
      </c>
    </row>
    <row r="17" spans="1:16" x14ac:dyDescent="0.25">
      <c r="A17" s="62">
        <v>10</v>
      </c>
      <c r="B17" s="62">
        <v>10</v>
      </c>
      <c r="C17" s="62">
        <v>100</v>
      </c>
      <c r="D17" s="62">
        <v>800</v>
      </c>
      <c r="E17" s="62">
        <v>24.7</v>
      </c>
      <c r="H17" s="63">
        <v>10</v>
      </c>
      <c r="I17" s="63">
        <v>100</v>
      </c>
      <c r="J17" s="63">
        <v>800</v>
      </c>
      <c r="K17" s="1">
        <f>B3+D3*H17+F3*I17+H3*J17+J3*H17*I17+L3*H17*J17+N3*I17*J17</f>
        <v>30.05</v>
      </c>
      <c r="M17">
        <f>(H17-S2)/T2</f>
        <v>-1</v>
      </c>
      <c r="N17">
        <f>(I17-S3)/T3</f>
        <v>-1</v>
      </c>
      <c r="O17">
        <f>(J17-S4)/T4</f>
        <v>1</v>
      </c>
      <c r="P17">
        <f>B2+D2*M17+F2*N17+H2*O17+J2*M17*N17+L2*M17*O17+N2*N17*O17</f>
        <v>30.049999999999997</v>
      </c>
    </row>
    <row r="18" spans="1:16" x14ac:dyDescent="0.25">
      <c r="A18" s="62">
        <v>11</v>
      </c>
      <c r="B18" s="62">
        <v>10</v>
      </c>
      <c r="C18" s="62">
        <v>300</v>
      </c>
      <c r="D18" s="62">
        <v>400</v>
      </c>
      <c r="E18" s="62">
        <v>19.8</v>
      </c>
      <c r="H18" s="63">
        <v>10</v>
      </c>
      <c r="I18" s="63">
        <v>300</v>
      </c>
      <c r="J18" s="63">
        <v>400</v>
      </c>
      <c r="K18" s="1">
        <f>B3+D3*H18+F3*I18+H3*J18+J3*H18*I18+L3*H18*J18+N3*I18*J18</f>
        <v>18.950000000000003</v>
      </c>
      <c r="M18">
        <f>(H18-S2)/T2</f>
        <v>-1</v>
      </c>
      <c r="N18">
        <f>(I18-S3)/T3</f>
        <v>1</v>
      </c>
      <c r="O18">
        <f>(J18-S4)/T4</f>
        <v>-1</v>
      </c>
      <c r="P18">
        <f>B2+D2*M18+F2*N18+H2*O18+J2*M18*N18+L2*M18*O18+N2*N18*O18</f>
        <v>18.950000000000003</v>
      </c>
    </row>
    <row r="19" spans="1:16" x14ac:dyDescent="0.25">
      <c r="A19" s="62">
        <v>12</v>
      </c>
      <c r="B19" s="62">
        <v>35</v>
      </c>
      <c r="C19" s="62">
        <v>100</v>
      </c>
      <c r="D19" s="62">
        <v>800</v>
      </c>
      <c r="E19" s="62">
        <v>41</v>
      </c>
      <c r="H19" s="63">
        <v>35</v>
      </c>
      <c r="I19" s="63">
        <v>100</v>
      </c>
      <c r="J19" s="63">
        <v>800</v>
      </c>
      <c r="K19" s="1">
        <f>B3+D3*H19+F3*I19+H3*J19+J3*H19*I19+L3*H19*J19+N3*I19*J19</f>
        <v>50.800000000000004</v>
      </c>
      <c r="M19">
        <f>(H19-S2)/T2</f>
        <v>0</v>
      </c>
      <c r="N19">
        <f>(I19-S3)/T3</f>
        <v>-1</v>
      </c>
      <c r="O19">
        <f>(J19-S4)/T4</f>
        <v>1</v>
      </c>
      <c r="P19">
        <f>B2+D2*M19+F2*N19+H2*O19+J2*M19*N19+L2*M19*O19+N2*N19*O19</f>
        <v>50.800000000000004</v>
      </c>
    </row>
    <row r="20" spans="1:16" x14ac:dyDescent="0.25">
      <c r="A20" s="62">
        <v>13</v>
      </c>
      <c r="B20" s="62">
        <v>35</v>
      </c>
      <c r="C20" s="62">
        <v>300</v>
      </c>
      <c r="D20" s="62">
        <v>400</v>
      </c>
      <c r="E20" s="62">
        <v>30.8</v>
      </c>
      <c r="H20" s="63">
        <v>35</v>
      </c>
      <c r="I20" s="63">
        <v>300</v>
      </c>
      <c r="J20" s="63">
        <v>400</v>
      </c>
      <c r="K20" s="1">
        <f>B3+D3*H20+F3*I20+H3*J20+J3*H20*I20+L3*H20*J20+N3*I20*J20</f>
        <v>21.850000000000009</v>
      </c>
      <c r="M20">
        <f>(H20-S2)/T2</f>
        <v>0</v>
      </c>
      <c r="N20">
        <f>(I20-S3)/T3</f>
        <v>1</v>
      </c>
      <c r="O20">
        <f>(J20-S4)/T4</f>
        <v>-1</v>
      </c>
      <c r="P20">
        <f>B2+D2*M20+F2*N20+H2*O20+J2*M20*N20+L2*M20*O20+N2*N20*O20</f>
        <v>21.850000000000005</v>
      </c>
    </row>
    <row r="21" spans="1:16" x14ac:dyDescent="0.25">
      <c r="A21" s="62">
        <v>14</v>
      </c>
      <c r="B21" s="62">
        <v>60</v>
      </c>
      <c r="C21" s="62">
        <v>100</v>
      </c>
      <c r="D21" s="62">
        <v>800</v>
      </c>
      <c r="E21" s="62">
        <v>71.2</v>
      </c>
      <c r="H21" s="63">
        <v>60</v>
      </c>
      <c r="I21" s="63">
        <v>100</v>
      </c>
      <c r="J21" s="63">
        <v>800</v>
      </c>
      <c r="K21" s="1">
        <f>B3+D3*H21+F3*I21+H3*J21+J3*H21*I21+L3*H21*J21+N3*I21*J21</f>
        <v>71.55</v>
      </c>
      <c r="M21">
        <f>(H21-S2)/T2</f>
        <v>1</v>
      </c>
      <c r="N21">
        <f>(I21-S3)/T3</f>
        <v>-1</v>
      </c>
      <c r="O21">
        <f>(J21-S4)/T4</f>
        <v>1</v>
      </c>
      <c r="P21">
        <f>B2+D2*M21+F2*N21+H2*O21+J2*M21*N21+L2*M21*O21+N2*N21*O21</f>
        <v>71.550000000000011</v>
      </c>
    </row>
    <row r="22" spans="1:16" x14ac:dyDescent="0.25">
      <c r="A22" s="62">
        <v>15</v>
      </c>
      <c r="B22" s="62">
        <v>60</v>
      </c>
      <c r="C22" s="62">
        <v>300</v>
      </c>
      <c r="D22" s="62">
        <v>400</v>
      </c>
      <c r="E22" s="62">
        <v>31.2</v>
      </c>
      <c r="H22" s="63">
        <v>60</v>
      </c>
      <c r="I22" s="63">
        <v>300</v>
      </c>
      <c r="J22" s="63">
        <v>400</v>
      </c>
      <c r="K22" s="1">
        <f>B3+D3*H22+F3*I22+H3*J22+J3*H22*I22+L3*H22*J22+N3*I22*J22</f>
        <v>24.750000000000007</v>
      </c>
      <c r="M22">
        <f>(H22-S2)/T2</f>
        <v>1</v>
      </c>
      <c r="N22">
        <f>(I22-S3)/T3</f>
        <v>1</v>
      </c>
      <c r="O22">
        <f>(J22-S4)/T4</f>
        <v>-1</v>
      </c>
      <c r="P22">
        <f>B2+D2*M22+F2*N22+H2*O22+J2*M22*N22+L2*M22*O22+N2*N22*O22</f>
        <v>24.750000000000007</v>
      </c>
    </row>
    <row r="23" spans="1:16" x14ac:dyDescent="0.25">
      <c r="B23" s="1"/>
      <c r="C23" s="1"/>
      <c r="D23" s="1"/>
      <c r="E23" s="1"/>
      <c r="H23" s="1"/>
    </row>
    <row r="24" spans="1:16" x14ac:dyDescent="0.25">
      <c r="A24" s="3" t="s">
        <v>226</v>
      </c>
      <c r="B24">
        <f>CORREL(E8:E22,K8:K22)</f>
        <v>0.95592404766628425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 P r i l e p e n � T a b u >k a 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 P r i l e p e n � T a b u >k a 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 P r i l e p e n � T a b u >k a 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 C o l u m n s \ t 1 < / K e y > < / D i a g r a m O b j e c t K e y > < D i a g r a m O b j e c t K e y > < K e y > C o l u m n s \ t 2 < / K e y > < / D i a g r a m O b j e c t K e y > < D i a g r a m O b j e c t K e y > < K e y > C o l u m n s \ t 3 < / K e y > < / D i a g r a m O b j e c t K e y > < D i a g r a m O b j e c t K e y > < K e y > C o l u m n s \ t 1 * t 2 < / K e y > < / D i a g r a m O b j e c t K e y > < D i a g r a m O b j e c t K e y > < K e y > C o l u m n s \ t 1 * t 3 < / K e y > < / D i a g r a m O b j e c t K e y > < D i a g r a m O b j e c t K e y > < K e y > C o l u m n s \ t 2 * t 3 < / K e y > < / D i a g r a m O b j e c t K e y > < D i a g r a m O b j e c t K e y > < K e y > C o l u m n s \ t 1 * t 2 * t 3 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 C o l u m n s \ t 1 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 C o l u m n s \ t 3 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 C o l u m n s \ t 1 * t 2 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 C o l u m n s \ t 1 * t 3 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 C o l u m n s \ t 2 * t 3 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 C o l u m n s \ t 1 * t 2 * t 3 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 T a g s \ T a b l e s \ & l t ; T a b l e s \ P r i l e p e n � T a b u >k a & g t ; < / K e y > < / D i a g r a m O b j e c t K e y > < D i a g r a m O b j e c t K e y > < K e y > T a b l e s \ P r i l e p e n � T a b u >k a < / K e y > < / D i a g r a m O b j e c t K e y > < D i a g r a m O b j e c t K e y > < K e y > T a b l e s \ P r i l e p e n � T a b u >k a \ C o l u m n s \ t 1 < / K e y > < / D i a g r a m O b j e c t K e y > < D i a g r a m O b j e c t K e y > < K e y > T a b l e s \ P r i l e p e n � T a b u >k a \ C o l u m n s \ t 2 < / K e y > < / D i a g r a m O b j e c t K e y > < D i a g r a m O b j e c t K e y > < K e y > T a b l e s \ P r i l e p e n � T a b u >k a \ C o l u m n s \ t 3 < / K e y > < / D i a g r a m O b j e c t K e y > < D i a g r a m O b j e c t K e y > < K e y > T a b l e s \ P r i l e p e n � T a b u >k a \ C o l u m n s \ t 1 * t 2 < / K e y > < / D i a g r a m O b j e c t K e y > < D i a g r a m O b j e c t K e y > < K e y > T a b l e s \ P r i l e p e n � T a b u >k a \ C o l u m n s \ t 1 * t 3 < / K e y > < / D i a g r a m O b j e c t K e y > < D i a g r a m O b j e c t K e y > < K e y > T a b l e s \ P r i l e p e n � T a b u >k a \ C o l u m n s \ t 2 * t 3 < / K e y > < / D i a g r a m O b j e c t K e y > < D i a g r a m O b j e c t K e y > < K e y > T a b l e s \ P r i l e p e n � T a b u >k a \ C o l u m n s \ t 1 * t 2 * t 3 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 T a g s \ T a b l e s \ & l t ; T a b l e s \ P r i l e p e n � T a b u >k a & g t ; 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 T a b l e s \ P r i l e p e n � T a b u >k a 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 T a b l e s \ P r i l e p e n � T a b u >k a \ C o l u m n s \ t 1 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 T a b l e s \ P r i l e p e n � T a b u >k a \ C o l u m n s \ t 2 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 T a b l e s \ P r i l e p e n � T a b u >k a \ C o l u m n s \ t 3 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 T a b l e s \ P r i l e p e n � T a b u >k a \ C o l u m n s \ t 1 * t 2 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 T a b l e s \ P r i l e p e n � T a b u >k a \ C o l u m n s \ t 1 * t 3 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 T a b l e s \ P r i l e p e n � T a b u >k a \ C o l u m n s \ t 2 * t 3 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 T a b l e s \ P r i l e p e n � T a b u >k a \ C o l u m n s \ t 1 * t 2 * t 3 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 2 0 2 4 - 1 2 - 3 1 T 2 1 : 5 4 : 5 0 . 0 8 5 4 4 0 3 + 0 1 : 0 0 < / L a s t P r o c e s s e d T i m e > < / D a t a M o d e l i n g S a n d b o x . S e r i a l i z e d S a n d b o x E r r o r C a c h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P r i l e p e n � T a b u >k a ] ] > < / C u s t o m C o n t e n t > < / G e m i n i > 
</file>

<file path=customXml/item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 P r i l e p e n � T a b u >k a 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 P r i l e p e n � T a b u >k a 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 C o l u m n s \ t 1 * t 2 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 C o l u m n s \ t 1 * t 3 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 C o l u m n s \ t 2 * t 3 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 C o l u m n s \ t 1 * t 2 * t 3 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6 7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r i l e p e n � T a b u >k a " > 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 t 1 < / s t r i n g > < / k e y > < v a l u e > < s t r i n g > B i g I n t < / s t r i n g > < / v a l u e > < / i t e m > < i t e m > < k e y > < s t r i n g > t 2 < / s t r i n g > < / k e y > < v a l u e > < s t r i n g > B i g I n t < / s t r i n g > < / v a l u e > < / i t e m > < i t e m > < k e y > < s t r i n g > t 3 < / s t r i n g > < / k e y > < v a l u e > < s t r i n g > B i g I n t < / s t r i n g > < / v a l u e > < / i t e m > < i t e m > < k e y > < s t r i n g > t 1 * t 2 < / s t r i n g > < / k e y > < v a l u e > < s t r i n g > B i g I n t < / s t r i n g > < / v a l u e > < / i t e m > < i t e m > < k e y > < s t r i n g > t 1 * t 3 < / s t r i n g > < / k e y > < v a l u e > < s t r i n g > B i g I n t < / s t r i n g > < / v a l u e > < / i t e m > < i t e m > < k e y > < s t r i n g > t 2 * t 3 < / s t r i n g > < / k e y > < v a l u e > < s t r i n g > B i g I n t < / s t r i n g > < / v a l u e > < / i t e m > < i t e m > < k e y > < s t r i n g > t 1 * t 2 * t 3 < / s t r i n g > < / k e y > < v a l u e > < s t r i n g > B i g I n t 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 t 1 < / s t r i n g > < / k e y > < v a l u e > < i n t > 5 9 < / i n t > < / v a l u e > < / i t e m > < i t e m > < k e y > < s t r i n g > t 2 < / s t r i n g > < / k e y > < v a l u e > < i n t > 5 9 < / i n t > < / v a l u e > < / i t e m > < i t e m > < k e y > < s t r i n g > t 3 < / s t r i n g > < / k e y > < v a l u e > < i n t > 5 9 < / i n t > < / v a l u e > < / i t e m > < i t e m > < k e y > < s t r i n g > t 1 * t 2 < / s t r i n g > < / k e y > < v a l u e > < i n t > 8 4 < / i n t > < / v a l u e > < / i t e m > < i t e m > < k e y > < s t r i n g > t 1 * t 3 < / s t r i n g > < / k e y > < v a l u e > < i n t > 8 4 < / i n t > < / v a l u e > < / i t e m > < i t e m > < k e y > < s t r i n g > t 2 * t 3 < / s t r i n g > < / k e y > < v a l u e > < i n t > 8 4 < / i n t > < / v a l u e > < / i t e m > < i t e m > < k e y > < s t r i n g > t 1 * t 2 * t 3 < / s t r i n g > < / k e y > < v a l u e > < i n t > 1 0 9 < / i n t > < / v a l u e > < / i t e m > < / C o l u m n W i d t h s > < C o l u m n D i s p l a y I n d e x > < i t e m > < k e y > < s t r i n g > t 1 < / s t r i n g > < / k e y > < v a l u e > < i n t > 0 < / i n t > < / v a l u e > < / i t e m > < i t e m > < k e y > < s t r i n g > t 2 < / s t r i n g > < / k e y > < v a l u e > < i n t > 1 < / i n t > < / v a l u e > < / i t e m > < i t e m > < k e y > < s t r i n g > t 3 < / s t r i n g > < / k e y > < v a l u e > < i n t > 2 < / i n t > < / v a l u e > < / i t e m > < i t e m > < k e y > < s t r i n g > t 1 * t 2 < / s t r i n g > < / k e y > < v a l u e > < i n t > 3 < / i n t > < / v a l u e > < / i t e m > < i t e m > < k e y > < s t r i n g > t 1 * t 3 < / s t r i n g > < / k e y > < v a l u e > < i n t > 4 < / i n t > < / v a l u e > < / i t e m > < i t e m > < k e y > < s t r i n g > t 2 * t 3 < / s t r i n g > < / k e y > < v a l u e > < i n t > 5 < / i n t > < / v a l u e > < / i t e m > < i t e m > < k e y > < s t r i n g > t 1 * t 2 * t 3 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P r i l e p e n � T a b u >k a ] ] > < / C u s t o m C o n t e n t > < / G e m i n i > 
</file>

<file path=customXml/itemProps1.xml><?xml version="1.0" encoding="utf-8"?>
<ds:datastoreItem xmlns:ds="http://schemas.openxmlformats.org/officeDocument/2006/customXml" ds:itemID="{382E92E6-40DC-401B-A85C-4618C8B1C28E}">
  <ds:schemaRefs/>
</ds:datastoreItem>
</file>

<file path=customXml/itemProps10.xml><?xml version="1.0" encoding="utf-8"?>
<ds:datastoreItem xmlns:ds="http://schemas.openxmlformats.org/officeDocument/2006/customXml" ds:itemID="{CB3324D2-A897-40B3-A4B9-A3B6A999F39C}">
  <ds:schemaRefs/>
</ds:datastoreItem>
</file>

<file path=customXml/itemProps11.xml><?xml version="1.0" encoding="utf-8"?>
<ds:datastoreItem xmlns:ds="http://schemas.openxmlformats.org/officeDocument/2006/customXml" ds:itemID="{3D09149C-7AF8-4477-921B-3D48DC6BB91B}">
  <ds:schemaRefs/>
</ds:datastoreItem>
</file>

<file path=customXml/itemProps12.xml><?xml version="1.0" encoding="utf-8"?>
<ds:datastoreItem xmlns:ds="http://schemas.openxmlformats.org/officeDocument/2006/customXml" ds:itemID="{408A01B9-3FDC-4C73-B4B2-67D7511FDC04}">
  <ds:schemaRefs/>
</ds:datastoreItem>
</file>

<file path=customXml/itemProps13.xml><?xml version="1.0" encoding="utf-8"?>
<ds:datastoreItem xmlns:ds="http://schemas.openxmlformats.org/officeDocument/2006/customXml" ds:itemID="{60739A87-2461-4FA6-AFF9-3581FD1A0B7D}">
  <ds:schemaRefs/>
</ds:datastoreItem>
</file>

<file path=customXml/itemProps14.xml><?xml version="1.0" encoding="utf-8"?>
<ds:datastoreItem xmlns:ds="http://schemas.openxmlformats.org/officeDocument/2006/customXml" ds:itemID="{968CAE8B-54AB-420B-ACBB-9029C18EEB42}">
  <ds:schemaRefs/>
</ds:datastoreItem>
</file>

<file path=customXml/itemProps15.xml><?xml version="1.0" encoding="utf-8"?>
<ds:datastoreItem xmlns:ds="http://schemas.openxmlformats.org/officeDocument/2006/customXml" ds:itemID="{7ECEBB74-4CA3-4371-A9E1-42712285FDB8}">
  <ds:schemaRefs/>
</ds:datastoreItem>
</file>

<file path=customXml/itemProps16.xml><?xml version="1.0" encoding="utf-8"?>
<ds:datastoreItem xmlns:ds="http://schemas.openxmlformats.org/officeDocument/2006/customXml" ds:itemID="{3BF0BED7-D850-4909-BA5E-410888479E2D}">
  <ds:schemaRefs/>
</ds:datastoreItem>
</file>

<file path=customXml/itemProps2.xml><?xml version="1.0" encoding="utf-8"?>
<ds:datastoreItem xmlns:ds="http://schemas.openxmlformats.org/officeDocument/2006/customXml" ds:itemID="{3525D867-8648-433D-B39B-81286F02D905}">
  <ds:schemaRefs/>
</ds:datastoreItem>
</file>

<file path=customXml/itemProps3.xml><?xml version="1.0" encoding="utf-8"?>
<ds:datastoreItem xmlns:ds="http://schemas.openxmlformats.org/officeDocument/2006/customXml" ds:itemID="{242097A7-0F76-4662-A0ED-3849EB6B2A70}">
  <ds:schemaRefs/>
</ds:datastoreItem>
</file>

<file path=customXml/itemProps4.xml><?xml version="1.0" encoding="utf-8"?>
<ds:datastoreItem xmlns:ds="http://schemas.openxmlformats.org/officeDocument/2006/customXml" ds:itemID="{2D94D0C9-CA20-4223-8D2F-289197DBA00C}">
  <ds:schemaRefs/>
</ds:datastoreItem>
</file>

<file path=customXml/itemProps5.xml><?xml version="1.0" encoding="utf-8"?>
<ds:datastoreItem xmlns:ds="http://schemas.openxmlformats.org/officeDocument/2006/customXml" ds:itemID="{722BDD2F-A4B9-4191-AA33-494893640E66}">
  <ds:schemaRefs/>
</ds:datastoreItem>
</file>

<file path=customXml/itemProps6.xml><?xml version="1.0" encoding="utf-8"?>
<ds:datastoreItem xmlns:ds="http://schemas.openxmlformats.org/officeDocument/2006/customXml" ds:itemID="{8AA2F72F-A855-4914-87D4-9174BA64CDC9}">
  <ds:schemaRefs/>
</ds:datastoreItem>
</file>

<file path=customXml/itemProps7.xml><?xml version="1.0" encoding="utf-8"?>
<ds:datastoreItem xmlns:ds="http://schemas.openxmlformats.org/officeDocument/2006/customXml" ds:itemID="{919B2E6B-4108-4DBE-838E-9E7F133B7492}">
  <ds:schemaRefs/>
</ds:datastoreItem>
</file>

<file path=customXml/itemProps8.xml><?xml version="1.0" encoding="utf-8"?>
<ds:datastoreItem xmlns:ds="http://schemas.openxmlformats.org/officeDocument/2006/customXml" ds:itemID="{A8B03F7B-48CE-4A8D-A088-14F83B119340}">
  <ds:schemaRefs/>
</ds:datastoreItem>
</file>

<file path=customXml/itemProps9.xml><?xml version="1.0" encoding="utf-8"?>
<ds:datastoreItem xmlns:ds="http://schemas.openxmlformats.org/officeDocument/2006/customXml" ds:itemID="{E74A91B2-B7CE-4D7E-A3C6-676437D2A88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9</vt:i4>
      </vt:variant>
    </vt:vector>
  </HeadingPairs>
  <TitlesOfParts>
    <vt:vector size="9" baseType="lpstr">
      <vt:lpstr>hodnoty</vt:lpstr>
      <vt:lpstr>mnš</vt:lpstr>
      <vt:lpstr>hierarchicky model</vt:lpstr>
      <vt:lpstr>Testy</vt:lpstr>
      <vt:lpstr>R squared_R pred</vt:lpstr>
      <vt:lpstr>Hlavné efekty</vt:lpstr>
      <vt:lpstr>Efekty interakcii</vt:lpstr>
      <vt:lpstr>Paretov graf</vt:lpstr>
      <vt:lpstr>validacia modelu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Janette Kotianová</dc:creator>
  <cp:lastModifiedBy>Janette Kotianová</cp:lastModifiedBy>
  <cp:lastPrinted>2025-12-31T13:58:07Z</cp:lastPrinted>
  <dcterms:created xsi:type="dcterms:W3CDTF">2019-11-20T13:20:22Z</dcterms:created>
  <dcterms:modified xsi:type="dcterms:W3CDTF">2026-02-02T13:06:39Z</dcterms:modified>
</cp:coreProperties>
</file>