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1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12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13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14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15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otianova\Desktop\stranka mmpve\"/>
    </mc:Choice>
  </mc:AlternateContent>
  <bookViews>
    <workbookView xWindow="0" yWindow="0" windowWidth="28800" windowHeight="12330"/>
  </bookViews>
  <sheets>
    <sheet name="DOE" sheetId="1" r:id="rId1"/>
  </sheets>
  <definedNames>
    <definedName name="_xlnm._FilterDatabase" localSheetId="0" hidden="1">DOE!$I$167:$I$183</definedName>
    <definedName name="solver_adj" localSheetId="0" hidden="1">DOE!$I$476:$I$478</definedName>
    <definedName name="solver_cvg" localSheetId="0" hidden="1">"""""""""""""""""""""""""""""""""""""""""""""""""""""""""""""""""""""""""""""""""""""""""""""""""""""""""""""""""""""""""""""""0.0001"""""""""""""""""""""""""""""""""""""""""""""""""""""""""""""""""""""""""""""""""""""""""""""""""""""""""""""""""""""""""""""""</definedName>
    <definedName name="solver_drv" localSheetId="0" hidden="1">1</definedName>
    <definedName name="solver_eng" localSheetId="0" hidden="1">1</definedName>
    <definedName name="solver_est" localSheetId="0" hidden="1">1</definedName>
    <definedName name="solver_itr" localSheetId="0" hidden="1">2147483647</definedName>
    <definedName name="solver_lhs1" localSheetId="0" hidden="1">DOE!$I$476</definedName>
    <definedName name="solver_lhs2" localSheetId="0" hidden="1">DOE!$I$476</definedName>
    <definedName name="solver_lhs3" localSheetId="0" hidden="1">DOE!$I$477</definedName>
    <definedName name="solver_lhs4" localSheetId="0" hidden="1">DOE!$I$477</definedName>
    <definedName name="solver_lhs5" localSheetId="0" hidden="1">DOE!$I$478</definedName>
    <definedName name="solver_lhs6" localSheetId="0" hidden="1">DOE!$I$478</definedName>
    <definedName name="solver_mip" localSheetId="0" hidden="1">2147483647</definedName>
    <definedName name="solver_mni" localSheetId="0" hidden="1">30</definedName>
    <definedName name="solver_mrt" localSheetId="0" hidden="1">"""""""""""""""""""""""""""""""""""""""""""""""""""""""""""""""""""""""""""""""""""""""""""""""""""""""""""""""""""""""""""""""0.075"""""""""""""""""""""""""""""""""""""""""""""""""""""""""""""""""""""""""""""""""""""""""""""""""""""""""""""""""""""""""""""""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6</definedName>
    <definedName name="solver_nwt" localSheetId="0" hidden="1">1</definedName>
    <definedName name="solver_opt" localSheetId="0" hidden="1">DOE!$E$477</definedName>
    <definedName name="solver_pre" localSheetId="0" hidden="1">"""""""""""""""""""""""""""""""""""""""""""""""""""""""""""""""""""""""""""""""""""""""""""""""""""""""""""""""""""""""""""""""0.000001"""""""""""""""""""""""""""""""""""""""""""""""""""""""""""""""""""""""""""""""""""""""""""""""""""""""""""""""""""""""""""""""</definedName>
    <definedName name="solver_rbv" localSheetId="0" hidden="1">1</definedName>
    <definedName name="solver_rel1" localSheetId="0" hidden="1">1</definedName>
    <definedName name="solver_rel2" localSheetId="0" hidden="1">3</definedName>
    <definedName name="solver_rel3" localSheetId="0" hidden="1">1</definedName>
    <definedName name="solver_rel4" localSheetId="0" hidden="1">3</definedName>
    <definedName name="solver_rel5" localSheetId="0" hidden="1">1</definedName>
    <definedName name="solver_rel6" localSheetId="0" hidden="1">3</definedName>
    <definedName name="solver_rhs1" localSheetId="0" hidden="1">220</definedName>
    <definedName name="solver_rhs2" localSheetId="0" hidden="1">200</definedName>
    <definedName name="solver_rhs3" localSheetId="0" hidden="1">0.3</definedName>
    <definedName name="solver_rhs4" localSheetId="0" hidden="1">0.1</definedName>
    <definedName name="solver_rhs5" localSheetId="0" hidden="1">80</definedName>
    <definedName name="solver_rhs6" localSheetId="0" hidden="1">40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1</definedName>
    <definedName name="solver_typ" localSheetId="0" hidden="1">1</definedName>
    <definedName name="solver_val" localSheetId="0" hidden="1">0</definedName>
    <definedName name="solver_ver" localSheetId="0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77" i="1" l="1"/>
  <c r="D472" i="1"/>
  <c r="E441" i="1"/>
  <c r="C431" i="1" l="1"/>
  <c r="C430" i="1"/>
  <c r="C429" i="1"/>
  <c r="C432" i="1" s="1"/>
  <c r="E438" i="1" s="1"/>
  <c r="D416" i="1"/>
  <c r="K375" i="1"/>
  <c r="F381" i="1" s="1"/>
  <c r="K374" i="1"/>
  <c r="F380" i="1" s="1"/>
  <c r="K373" i="1"/>
  <c r="E381" i="1" s="1"/>
  <c r="K372" i="1"/>
  <c r="E380" i="1" s="1"/>
  <c r="D345" i="1"/>
  <c r="D344" i="1"/>
  <c r="D339" i="1"/>
  <c r="D340" i="1" s="1"/>
  <c r="D338" i="1"/>
  <c r="D332" i="1"/>
  <c r="D331" i="1"/>
  <c r="D333" i="1" s="1"/>
  <c r="E318" i="1"/>
  <c r="E314" i="1"/>
  <c r="E301" i="1"/>
  <c r="F291" i="1"/>
  <c r="C293" i="1" s="1"/>
  <c r="E297" i="1" s="1"/>
  <c r="E277" i="1"/>
  <c r="Q179" i="1"/>
  <c r="Q181" i="1"/>
  <c r="Q183" i="1"/>
  <c r="Q169" i="1"/>
  <c r="P171" i="1"/>
  <c r="Q171" i="1" s="1"/>
  <c r="P173" i="1"/>
  <c r="Q173" i="1" s="1"/>
  <c r="P175" i="1"/>
  <c r="Q175" i="1" s="1"/>
  <c r="P177" i="1"/>
  <c r="Q177" i="1" s="1"/>
  <c r="P179" i="1"/>
  <c r="P181" i="1"/>
  <c r="P183" i="1"/>
  <c r="P169" i="1"/>
  <c r="M169" i="1"/>
  <c r="F271" i="1"/>
  <c r="N183" i="1"/>
  <c r="M183" i="1"/>
  <c r="N181" i="1"/>
  <c r="M181" i="1"/>
  <c r="N179" i="1"/>
  <c r="M179" i="1"/>
  <c r="N177" i="1"/>
  <c r="M177" i="1"/>
  <c r="N175" i="1"/>
  <c r="M175" i="1"/>
  <c r="N173" i="1"/>
  <c r="M173" i="1"/>
  <c r="N171" i="1"/>
  <c r="M171" i="1"/>
  <c r="N169" i="1"/>
  <c r="H158" i="1"/>
  <c r="I163" i="1"/>
  <c r="I164" i="1"/>
  <c r="J148" i="1"/>
  <c r="J146" i="1"/>
  <c r="J143" i="1"/>
  <c r="J11" i="1"/>
  <c r="J10" i="1"/>
  <c r="J9" i="1"/>
  <c r="I11" i="1"/>
  <c r="I10" i="1"/>
  <c r="I9" i="1"/>
  <c r="E132" i="1"/>
  <c r="E131" i="1"/>
  <c r="E130" i="1"/>
  <c r="E129" i="1"/>
  <c r="E128" i="1"/>
  <c r="E127" i="1"/>
  <c r="E126" i="1"/>
  <c r="E125" i="1"/>
  <c r="E124" i="1"/>
  <c r="E123" i="1"/>
  <c r="E122" i="1"/>
  <c r="E121" i="1"/>
  <c r="E120" i="1"/>
  <c r="E119" i="1"/>
  <c r="E118" i="1"/>
  <c r="E117" i="1"/>
  <c r="Q184" i="1" l="1"/>
  <c r="Q185" i="1" s="1"/>
  <c r="D346" i="1"/>
  <c r="M184" i="1"/>
  <c r="N184" i="1"/>
  <c r="C181" i="1" s="1"/>
  <c r="F273" i="1" s="1"/>
  <c r="E316" i="1" s="1"/>
  <c r="D181" i="1" l="1"/>
  <c r="M186" i="1"/>
  <c r="D180" i="1"/>
  <c r="E181" i="1"/>
  <c r="E298" i="1" s="1"/>
  <c r="H300" i="1" s="1"/>
  <c r="C180" i="1"/>
  <c r="E440" i="1" l="1"/>
  <c r="E444" i="1" s="1"/>
  <c r="M187" i="1"/>
  <c r="F272" i="1" s="1"/>
  <c r="E180" i="1"/>
  <c r="F180" i="1" s="1"/>
  <c r="G180" i="1" s="1"/>
  <c r="E315" i="1" l="1"/>
  <c r="H320" i="1" s="1"/>
  <c r="E276" i="1"/>
  <c r="E446" i="1"/>
  <c r="E445" i="1"/>
  <c r="I44" i="1" l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43" i="1"/>
  <c r="B61" i="1" l="1" a="1"/>
  <c r="B61" i="1" s="1"/>
  <c r="S61" i="1" s="1" a="1"/>
  <c r="S61" i="1" s="1"/>
  <c r="V61" i="1" s="1"/>
  <c r="Y61" i="1" s="1"/>
  <c r="V68" i="1" l="1"/>
  <c r="Y68" i="1" s="1"/>
  <c r="V62" i="1"/>
  <c r="Y62" i="1" s="1"/>
  <c r="V63" i="1"/>
  <c r="Y63" i="1" s="1"/>
  <c r="V64" i="1"/>
  <c r="Y64" i="1" s="1"/>
  <c r="V65" i="1"/>
  <c r="Y65" i="1" s="1"/>
  <c r="V66" i="1"/>
  <c r="Y66" i="1" s="1"/>
  <c r="V67" i="1"/>
  <c r="Y67" i="1" s="1"/>
  <c r="Q58" i="1" l="1"/>
  <c r="Q46" i="1"/>
  <c r="Q48" i="1"/>
  <c r="Q50" i="1"/>
  <c r="Q52" i="1"/>
  <c r="Q54" i="1"/>
  <c r="Q56" i="1"/>
  <c r="Q44" i="1"/>
  <c r="S68" i="1"/>
  <c r="S67" i="1"/>
  <c r="S66" i="1"/>
  <c r="S65" i="1"/>
  <c r="S64" i="1"/>
  <c r="S63" i="1"/>
  <c r="S62" i="1"/>
  <c r="Q68" i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C68" i="1"/>
  <c r="B68" i="1"/>
  <c r="Q67" i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C67" i="1"/>
  <c r="B67" i="1"/>
  <c r="Q66" i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C66" i="1"/>
  <c r="B66" i="1"/>
  <c r="Q65" i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C65" i="1"/>
  <c r="B65" i="1"/>
  <c r="Q64" i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C64" i="1"/>
  <c r="B64" i="1"/>
  <c r="Q63" i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C63" i="1"/>
  <c r="B63" i="1"/>
  <c r="Q62" i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C62" i="1"/>
  <c r="B62" i="1"/>
  <c r="Q61" i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C61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<sst xmlns="http://schemas.openxmlformats.org/spreadsheetml/2006/main" count="469" uniqueCount="281">
  <si>
    <t>Kód</t>
  </si>
  <si>
    <t>Faktor</t>
  </si>
  <si>
    <t>Jednotka</t>
  </si>
  <si>
    <t>Úroveň -1 (Nízka)</t>
  </si>
  <si>
    <t>Úroveň +1 (Vysoká)</t>
  </si>
  <si>
    <t>A</t>
  </si>
  <si>
    <t>Teplota trysky</t>
  </si>
  <si>
    <t>°C</t>
  </si>
  <si>
    <t>B</t>
  </si>
  <si>
    <t>Výška vrstvy</t>
  </si>
  <si>
    <t>mm</t>
  </si>
  <si>
    <t>C</t>
  </si>
  <si>
    <t>Rýchlosť tlače</t>
  </si>
  <si>
    <t>mm/s</t>
  </si>
  <si>
    <r>
      <t>Cieľ:</t>
    </r>
    <r>
      <rPr>
        <sz val="11"/>
        <color theme="1"/>
        <rFont val="Calibri"/>
        <family val="2"/>
        <scheme val="minor"/>
      </rPr>
      <t xml:space="preserve"> Maximalizácia pevnosti v ťahu (Tensile Strength) výtlačku z materiálu PLA. Chceme zistiť, ktoré nastavenia slicera (softvéru) majú najväčší vplyv na to, či sa súčiastka zlomí.</t>
    </r>
  </si>
  <si>
    <t>Meranie</t>
  </si>
  <si>
    <t>x3 (Rýchlosť)</t>
  </si>
  <si>
    <t>"Vzhľadom na obmedzený prístup k trhaciemu zariadeniu boli dáta pre tento experiment prevzaté  z dostupnej štúdie skúmajúcej vplyv parametrov tlače na mechanické vlastnosti PLA:"</t>
  </si>
  <si>
    <t>x1</t>
  </si>
  <si>
    <t>x2</t>
  </si>
  <si>
    <t>x3</t>
  </si>
  <si>
    <t>x1x2</t>
  </si>
  <si>
    <t>x1x3</t>
  </si>
  <si>
    <t>x2x3</t>
  </si>
  <si>
    <t>x1    (Teplota)</t>
  </si>
  <si>
    <t>x2    (Vrstva)</t>
  </si>
  <si>
    <t>Y Pevnosť</t>
  </si>
  <si>
    <t>C plot s priemernymi nameranymi hodnotami</t>
  </si>
  <si>
    <t>SUMMARY OUTPUT</t>
  </si>
  <si>
    <t>Regression Statistics</t>
  </si>
  <si>
    <t>Multiple R</t>
  </si>
  <si>
    <t>R Square</t>
  </si>
  <si>
    <t>Adjusted R Square</t>
  </si>
  <si>
    <t>Standard Error</t>
  </si>
  <si>
    <t>Observations</t>
  </si>
  <si>
    <t>ANOVA</t>
  </si>
  <si>
    <t>Regression</t>
  </si>
  <si>
    <t>Residual</t>
  </si>
  <si>
    <t>Total</t>
  </si>
  <si>
    <t>Intercept</t>
  </si>
  <si>
    <t>df</t>
  </si>
  <si>
    <t>SS</t>
  </si>
  <si>
    <t>MS</t>
  </si>
  <si>
    <t>F</t>
  </si>
  <si>
    <t>Significance F</t>
  </si>
  <si>
    <t>Coefficients</t>
  </si>
  <si>
    <t>t Stat</t>
  </si>
  <si>
    <t>P-value</t>
  </si>
  <si>
    <t>Lower 95%</t>
  </si>
  <si>
    <t>Upper 95%</t>
  </si>
  <si>
    <t>Lower 95,0%</t>
  </si>
  <si>
    <t>Upper 95,0%</t>
  </si>
  <si>
    <t>Premenná</t>
  </si>
  <si>
    <t>Koeficient (b)</t>
  </si>
  <si>
    <t>Význam</t>
  </si>
  <si>
    <t>Absolútny člen</t>
  </si>
  <si>
    <t>Priemerná hodnota pevnosti</t>
  </si>
  <si>
    <t>Teplota</t>
  </si>
  <si>
    <t>Zvýšenie teploty zvyšuje pevnosť</t>
  </si>
  <si>
    <t>Zvýšenie vrstvy výrazne znižuje pevnosť</t>
  </si>
  <si>
    <t>Rýchlejšia tlač mierne znižuje pevnosť</t>
  </si>
  <si>
    <t>Interakcia Teplota*Vrstva</t>
  </si>
  <si>
    <t>(Malý vplyv)</t>
  </si>
  <si>
    <t>Interakcia Teplota*Rýchlosť</t>
  </si>
  <si>
    <t>(Zanedbateľný vplyv)</t>
  </si>
  <si>
    <t>Interakcia Vrstva*Rýchlosť</t>
  </si>
  <si>
    <t>Transponovaná matica x</t>
  </si>
  <si>
    <t xml:space="preserve">Transponovaná matica x * y </t>
  </si>
  <si>
    <t>b</t>
  </si>
  <si>
    <t>x1x2x3</t>
  </si>
  <si>
    <t>b0</t>
  </si>
  <si>
    <t>b1</t>
  </si>
  <si>
    <t>b2</t>
  </si>
  <si>
    <t>b3</t>
  </si>
  <si>
    <t>b12</t>
  </si>
  <si>
    <t>b13</t>
  </si>
  <si>
    <t>b23</t>
  </si>
  <si>
    <t>b123</t>
  </si>
  <si>
    <t>vektor odhadov parametrov bii</t>
  </si>
  <si>
    <t>Regresný model so všetkými premennými</t>
  </si>
  <si>
    <t>Interakcia Vrstva*Rýchlosť*Teplota</t>
  </si>
  <si>
    <t>p-hodnoty</t>
  </si>
  <si>
    <t>Regresný model so štatisticky významnými premennými</t>
  </si>
  <si>
    <t>t1</t>
  </si>
  <si>
    <t>t2</t>
  </si>
  <si>
    <t>t3</t>
  </si>
  <si>
    <t>t1t2</t>
  </si>
  <si>
    <t>50,92 + 2,73*t1 - 6,73*t2 - 1,28*t3 + 0,48*t1t2</t>
  </si>
  <si>
    <t>s</t>
  </si>
  <si>
    <t>lambda</t>
  </si>
  <si>
    <t>50,92 + 2,73*(x1-210)/10 - 6,73(x2-0,2)/0,1- 1,28(x3-60)/20 + 0,48*((x1-210)/10)*((x2-0,2)/0,1)</t>
  </si>
  <si>
    <t>fLT(t1,t2. t3)=</t>
  </si>
  <si>
    <t>fL(x1,x2, x3)=</t>
  </si>
  <si>
    <t xml:space="preserve">Index determinácie </t>
  </si>
  <si>
    <t xml:space="preserve">Pôvodný model </t>
  </si>
  <si>
    <t>Model s odstránenými nevýznamnými premennými</t>
  </si>
  <si>
    <t>Týmto modelom sme vysvetlily 99,83% variability pevnosti 3D produktu</t>
  </si>
  <si>
    <t>rovnica v nekódovaných hodnotách:</t>
  </si>
  <si>
    <t>31,08 + 0,177*x1 - 168,39*x2 - 0,064*x3 + 0,481*x1*x2</t>
  </si>
  <si>
    <t xml:space="preserve">Y = </t>
  </si>
  <si>
    <t>Významnosť regresného modelu</t>
  </si>
  <si>
    <t>H0: model nie je štatisticky významný</t>
  </si>
  <si>
    <t>H1: model je štatisticky významný</t>
  </si>
  <si>
    <t>hodnota significance F je menšia ako alfa, takže môžeme konštatovať, že model je štatisticky významný na úrovni alfa = 0,05</t>
  </si>
  <si>
    <t>F test</t>
  </si>
  <si>
    <t>F=</t>
  </si>
  <si>
    <t>tabu. Hod.</t>
  </si>
  <si>
    <t>kritická hodnota je vyššia ako tabuľková hodnota a preto príjimame H1</t>
  </si>
  <si>
    <t>Môžeme si všimnúť, že upravený index determinácie má mierne vyššiu hodnotu v druhom modeli, čo nám môže hovoriť o tom, že v pôvodnom modeli boli premenné, ktoré neboli štatisticky významné a bolo ich potrebné odstrániť</t>
  </si>
  <si>
    <t>Lack of fit</t>
  </si>
  <si>
    <t>Pure error</t>
  </si>
  <si>
    <t>y</t>
  </si>
  <si>
    <t>df (pure error)</t>
  </si>
  <si>
    <t>H0: lineárny model je dostatočný</t>
  </si>
  <si>
    <t>H1: lineárny model nie je dostatočný</t>
  </si>
  <si>
    <t>Lineárny model je dostatočný</t>
  </si>
  <si>
    <t>P-hodnota (0,6512) je väčšia ako hladina významnosti alfa (0,05), preto príjimame H0</t>
  </si>
  <si>
    <t>Reziduá</t>
  </si>
  <si>
    <t>RESIDUAL OUTPUT</t>
  </si>
  <si>
    <t>Observation</t>
  </si>
  <si>
    <t>Predicted Y Pevnosť</t>
  </si>
  <si>
    <t>Residuals</t>
  </si>
  <si>
    <t>Standard Residuals</t>
  </si>
  <si>
    <t>PROBABILITY OUTPUT</t>
  </si>
  <si>
    <t>Percentile</t>
  </si>
  <si>
    <t>Vzhľadom na to, že realizovaný experimentálny plán neobsahoval merania v strede experimentálnej oblasti (tzv. Center Points), nie je možné vykonať priamy štatistický test krivosti porovnaním priemeru v strede a v rohoch experimentu.</t>
  </si>
  <si>
    <t>Na os y sme naniesli hodnoty štandardizovaných reziduí</t>
  </si>
  <si>
    <t>Na os x sme naniesli hodnoty y (hustoty strieborného prášku)</t>
  </si>
  <si>
    <t>Reziduá by mali byť roztrúsené okolo nulovej hodnoty (y) a nemali by tvoriť zhluky a nemali by sa dať popísať krivkou</t>
  </si>
  <si>
    <t>Môžeme povedať, že táto podmienka je  splnená</t>
  </si>
  <si>
    <t>Nulová hypotéza</t>
  </si>
  <si>
    <t>Faktor Teplota nemá štatisticky významný vplyv na pevnosť</t>
  </si>
  <si>
    <t>Alternatívna hypotéza</t>
  </si>
  <si>
    <t>Faktor Teplota má štatisticky významný vplyv</t>
  </si>
  <si>
    <t>Hodnota odhadnutého koeficientu:</t>
  </si>
  <si>
    <t>b1 =</t>
  </si>
  <si>
    <t>Smerodajná odchýlka koeficientu</t>
  </si>
  <si>
    <t>Počet stupňov voľnosti chyby</t>
  </si>
  <si>
    <t>hladina významnosti alfa:</t>
  </si>
  <si>
    <t>rozdiel</t>
  </si>
  <si>
    <t>rozptyl chyby</t>
  </si>
  <si>
    <t>smerodajna odchýlka</t>
  </si>
  <si>
    <t>Výpočet testovacej štatistiky</t>
  </si>
  <si>
    <t>Určenie kritickej hodnoty</t>
  </si>
  <si>
    <r>
      <t xml:space="preserve">Na overenie významnosti sme zvolili </t>
    </r>
    <r>
      <rPr>
        <b/>
        <sz val="11"/>
        <color theme="1"/>
        <rFont val="Calibri"/>
        <family val="2"/>
        <scheme val="minor"/>
      </rPr>
      <t>Faktor A (Teplota x1)</t>
    </r>
    <r>
      <rPr>
        <sz val="11"/>
        <color theme="1"/>
        <rFont val="Calibri"/>
        <family val="2"/>
        <scheme val="minor"/>
      </rPr>
      <t>. Testujeme, či príspevok tohto faktora k vysvetleniu celkovej variability (SSa) je štatisticky významný v porovnaní s variabilitou náhodnej chyby (MSE).</t>
    </r>
  </si>
  <si>
    <t>Faktor A neprispieva významne k vysvetleniu variability</t>
  </si>
  <si>
    <t>Faktor A prispieva významne k vysvetleniu variability</t>
  </si>
  <si>
    <t>Výpočet sumy štvorcov pre faktor A</t>
  </si>
  <si>
    <t>SSa = N * b1^2</t>
  </si>
  <si>
    <t>SSa =</t>
  </si>
  <si>
    <t>Táto hodnota predstavuje variabilitu, ktorú "vysvetľuje" samotná zmena teploty</t>
  </si>
  <si>
    <t>Určenie stupňov voľnosti a priemerných štvorcov:</t>
  </si>
  <si>
    <t>Stupne voľnosti faktora:</t>
  </si>
  <si>
    <t>Priemerný štvorec faktora</t>
  </si>
  <si>
    <t>Priemerný štvorec chyby</t>
  </si>
  <si>
    <t>F = Msa / MSE</t>
  </si>
  <si>
    <t>F vypočítane  &gt; F kriticka hodnota (792,40 &gt; 5,33)</t>
  </si>
  <si>
    <t>14. úloha</t>
  </si>
  <si>
    <t>13. úloha</t>
  </si>
  <si>
    <t>Na overenie, či je vzájomné pôsobenie (interakcia) faktorov štatisticky významné, vykonáme t-test nulovosti regresného koeficientu pre interakciu Teplota * Vrstva (x1 x2, koeficient b12).</t>
  </si>
  <si>
    <t>Hodnota koeficientu interakcie</t>
  </si>
  <si>
    <t>hladina významnosti alfa</t>
  </si>
  <si>
    <t>T vypočítané  = abs(b12)/Sbj</t>
  </si>
  <si>
    <t>T vypočítane  &gt; T kriticka hodnota (4,96 &gt; 2,31)</t>
  </si>
  <si>
    <t>15. úloha - Určenie štatistickej významnosti interakcie faktorov</t>
  </si>
  <si>
    <t>16. úloha - Main effect plots</t>
  </si>
  <si>
    <t>Úroveň</t>
  </si>
  <si>
    <t>Výsledok (Bod do grafu)</t>
  </si>
  <si>
    <t>Vysoká (+1)</t>
  </si>
  <si>
    <t>Nízka (-1)</t>
  </si>
  <si>
    <t>Efekt</t>
  </si>
  <si>
    <t>b0+b1</t>
  </si>
  <si>
    <t>b0-b1</t>
  </si>
  <si>
    <t xml:space="preserve"> = (1) - (-1)</t>
  </si>
  <si>
    <t xml:space="preserve">Vzorec </t>
  </si>
  <si>
    <t>Faktor Teplota</t>
  </si>
  <si>
    <t>Faktor Vrstva</t>
  </si>
  <si>
    <t>b0+b2</t>
  </si>
  <si>
    <t>b0-b2</t>
  </si>
  <si>
    <t>Faktor Rýchlosť</t>
  </si>
  <si>
    <t>b0+b3</t>
  </si>
  <si>
    <t>b0-b3</t>
  </si>
  <si>
    <t>Nízka úroveň (-1)</t>
  </si>
  <si>
    <t>Vysoká úroveň (+1)</t>
  </si>
  <si>
    <t>Rozdiel (Efekt)</t>
  </si>
  <si>
    <t>Teplota (A)</t>
  </si>
  <si>
    <t>Vrstva (B)</t>
  </si>
  <si>
    <t>Rýchlosť (C)</t>
  </si>
  <si>
    <t>uroven</t>
  </si>
  <si>
    <t>17. úloha - Interaction plots</t>
  </si>
  <si>
    <t>Teplota (os X)</t>
  </si>
  <si>
    <t>Vrstva (Legenda)</t>
  </si>
  <si>
    <t>Výpočet (Dosadenie x1​,x2​)</t>
  </si>
  <si>
    <t>Výsledná Pevnosť</t>
  </si>
  <si>
    <t>-1 (200°C)</t>
  </si>
  <si>
    <t>-1 (0,1 mm)</t>
  </si>
  <si>
    <t>+1 (220°C)</t>
  </si>
  <si>
    <t>+1 (0,3 mm)</t>
  </si>
  <si>
    <t>50,92 + 2,73*x1 - 6,73*x2 - 1,28*x3 + 0,48*x1x2</t>
  </si>
  <si>
    <t xml:space="preserve"> = 50,92 + 2,73(-1) - 6,73(-1) + 0,48(-1)(-1) </t>
  </si>
  <si>
    <t xml:space="preserve"> = 50,92 + 2,73(1) - 6,73(-1) + 0,48(1)(-1) </t>
  </si>
  <si>
    <t xml:space="preserve"> = 50,92 + 2,73(-1) - 6,73(1) + 0,48(-1)(1) </t>
  </si>
  <si>
    <t xml:space="preserve"> = 50,92 + 2,73(1) - 6,73(1) + 0,48(1)(1) </t>
  </si>
  <si>
    <t>Vrstva -1 (Nízka)</t>
  </si>
  <si>
    <t>Vrstva +1 (Vysoká)</t>
  </si>
  <si>
    <t>Teplota -1</t>
  </si>
  <si>
    <t>Teplota +1</t>
  </si>
  <si>
    <t>Efekt faktora Teplota pri konštatnej úrovni faktora Vrstvy</t>
  </si>
  <si>
    <t>Efekt faktora Vrstvy pri konštatnej úrovni faktora Teplota</t>
  </si>
  <si>
    <t>Pre predikciu si zvolíme ľubovoľný bod vnútri experimentálnej oblasti, ktorý sme nemerali. Napríklad:</t>
  </si>
  <si>
    <t>Rýchlosť</t>
  </si>
  <si>
    <t>18. úloha - Predikcia odozvy</t>
  </si>
  <si>
    <t xml:space="preserve">predikovaná hodnota y = </t>
  </si>
  <si>
    <t xml:space="preserve">regresná funkcia </t>
  </si>
  <si>
    <t>Kódované x1:</t>
  </si>
  <si>
    <t>Kódované x2:</t>
  </si>
  <si>
    <t>Kódované x3:</t>
  </si>
  <si>
    <t>Kontrola:</t>
  </si>
  <si>
    <t>Výsledky oboch postupov sú zhodné, čím sme overili matematickú správnosť modelu a výpočtov. Model je konzistentný.</t>
  </si>
  <si>
    <t>19. úloha -  Regresného model (kontrólneho merania)</t>
  </si>
  <si>
    <t>Predikovaná hodnota</t>
  </si>
  <si>
    <t>Kontrolné meranie</t>
  </si>
  <si>
    <t>Smerodajná odchýlka chyby</t>
  </si>
  <si>
    <t>Výpočet intervalu</t>
  </si>
  <si>
    <t>Dolná hranica intervalu:</t>
  </si>
  <si>
    <t>Horná hranica intervalu:</t>
  </si>
  <si>
    <t>Interval = &lt;55,25; 57,09&gt;</t>
  </si>
  <si>
    <r>
      <t>Citácia:</t>
    </r>
    <r>
      <rPr>
        <sz val="11"/>
        <color theme="1"/>
        <rFont val="Calibri"/>
        <family val="2"/>
        <scheme val="minor"/>
      </rPr>
      <t xml:space="preserve"> Tymrak, B. M., Kreiger, M., &amp; Pearce, J. M. (2014). Mechanical properties of components fabricated with open-source 3-D printers under realistic environmental conditions. </t>
    </r>
    <r>
      <rPr>
        <i/>
        <sz val="11"/>
        <color theme="1"/>
        <rFont val="Calibri"/>
        <family val="2"/>
        <scheme val="minor"/>
      </rPr>
      <t>Materials &amp; Design</t>
    </r>
    <r>
      <rPr>
        <sz val="11"/>
        <color theme="1"/>
        <rFont val="Calibri"/>
        <family val="2"/>
        <scheme val="minor"/>
      </rPr>
      <t>, 58, 242-246.</t>
    </r>
  </si>
  <si>
    <r>
      <t>Na hladine významnosti alfa</t>
    </r>
    <r>
      <rPr>
        <sz val="11"/>
        <color theme="1"/>
        <rFont val="Calibri"/>
        <family val="2"/>
        <scheme val="minor"/>
      </rPr>
      <t xml:space="preserve"> = 0,05 sme testovali významnosť jednotlivých regresných koeficientov (pomocou P-hodnôt).</t>
    </r>
  </si>
  <si>
    <r>
      <t>Štatisticky významné faktory:</t>
    </r>
    <r>
      <rPr>
        <sz val="11"/>
        <color theme="1"/>
        <rFont val="Calibri"/>
        <family val="2"/>
        <scheme val="minor"/>
      </rPr>
      <t xml:space="preserve"> Teplota (x1), Výška vrstvy (x2) a Rýchlosť tlače (x3) a interakcia teploty a vrstvy. Ich P-hodnoty sú menšie ako 0,05 a majú výrazný vplyv na odozvu.</t>
    </r>
  </si>
  <si>
    <r>
      <t>A) Člen pre Teplotu (x1):</t>
    </r>
    <r>
      <rPr>
        <sz val="11"/>
        <color theme="1"/>
        <rFont val="Calibri"/>
        <family val="2"/>
        <scheme val="minor"/>
      </rPr>
      <t xml:space="preserve"> 2,7313 * (x1 - 210) / 10 = 0,27313 * x1 - 57,3573</t>
    </r>
  </si>
  <si>
    <r>
      <t>B) Člen pre Vrstvu (x2):</t>
    </r>
    <r>
      <rPr>
        <sz val="11"/>
        <color theme="1"/>
        <rFont val="Calibri"/>
        <family val="2"/>
        <scheme val="minor"/>
      </rPr>
      <t xml:space="preserve"> -6,7313 * (x2 - 0,2) / 0,1 = -67,313 * x2 + 13,4626</t>
    </r>
  </si>
  <si>
    <r>
      <t>C) Člen pre Rýchlosť (x3):</t>
    </r>
    <r>
      <rPr>
        <sz val="11"/>
        <color theme="1"/>
        <rFont val="Calibri"/>
        <family val="2"/>
        <scheme val="minor"/>
      </rPr>
      <t xml:space="preserve"> -1,2813 * (x3 - 60) / 20 = -0,0641 * x3 + 3,8439</t>
    </r>
  </si>
  <si>
    <r>
      <t>D) Interakčný člen (x1*x2):</t>
    </r>
    <r>
      <rPr>
        <sz val="11"/>
        <color theme="1"/>
        <rFont val="Calibri"/>
        <family val="2"/>
        <scheme val="minor"/>
      </rPr>
      <t xml:space="preserve"> 0,4813 * ((x1 - 210)/10) * ((x2 - 0,2)/0,1) = 0,4813 * x1 * x2 - 0,0963 * x1 - 101,073 * x2 + 20,2146</t>
    </r>
  </si>
  <si>
    <r>
      <t>E) Finálne sčítanie (Výsledná rovnica):</t>
    </r>
    <r>
      <rPr>
        <sz val="11"/>
        <color theme="1"/>
        <rFont val="Calibri"/>
        <family val="2"/>
        <scheme val="minor"/>
      </rPr>
      <t xml:space="preserve"> Y = 31,0826 + 0,1768</t>
    </r>
    <r>
      <rPr>
        <i/>
        <sz val="11"/>
        <color theme="1"/>
        <rFont val="Calibri"/>
        <family val="2"/>
        <scheme val="minor"/>
      </rPr>
      <t>x1 - 168,386</t>
    </r>
    <r>
      <rPr>
        <sz val="11"/>
        <color theme="1"/>
        <rFont val="Calibri"/>
        <family val="2"/>
        <scheme val="minor"/>
      </rPr>
      <t>x2 - 0,0641</t>
    </r>
    <r>
      <rPr>
        <i/>
        <sz val="11"/>
        <color theme="1"/>
        <rFont val="Calibri"/>
        <family val="2"/>
        <scheme val="minor"/>
      </rPr>
      <t>x3 + 0,4813</t>
    </r>
    <r>
      <rPr>
        <sz val="11"/>
        <color theme="1"/>
        <rFont val="Calibri"/>
        <family val="2"/>
        <scheme val="minor"/>
      </rPr>
      <t>x1*x2</t>
    </r>
  </si>
  <si>
    <r>
      <t xml:space="preserve">Avšak, v predchádzajúcom bode sme vykonali </t>
    </r>
    <r>
      <rPr>
        <b/>
        <sz val="11"/>
        <color theme="1"/>
        <rFont val="Calibri"/>
        <family val="2"/>
        <scheme val="minor"/>
      </rPr>
      <t>test adekvátnosti modelu (Lack of Fit)</t>
    </r>
    <r>
      <rPr>
        <sz val="11"/>
        <color theme="1"/>
        <rFont val="Calibri"/>
        <family val="2"/>
        <scheme val="minor"/>
      </rPr>
      <t>. Keďže tento test preukázal, že nedostatok zhody nie je štatisticky významný (p-hodnota &gt; 0,05), môžeme konštatovať, že lineárny regresný model dostatočne popisuje závislosť v skúmanej oblasti.</t>
    </r>
  </si>
  <si>
    <r>
      <t xml:space="preserve">Na overenie, či je samostatný vplyv vybraného faktora štatisticky významný, vykonáme t-test nulovosti regresného koeficientu pre </t>
    </r>
    <r>
      <rPr>
        <b/>
        <sz val="11"/>
        <color theme="1"/>
        <rFont val="Calibri"/>
        <family val="2"/>
        <scheme val="minor"/>
      </rPr>
      <t>Faktor A (Teplota</t>
    </r>
    <r>
      <rPr>
        <sz val="11"/>
        <color theme="1"/>
        <rFont val="Calibri"/>
        <family val="2"/>
        <scheme val="minor"/>
      </rPr>
      <t>)</t>
    </r>
  </si>
  <si>
    <r>
      <t xml:space="preserve">Keďže testovacia štatistika je väčšia ako kritická hodnota, </t>
    </r>
    <r>
      <rPr>
        <b/>
        <sz val="11"/>
        <color theme="1"/>
        <rFont val="Calibri"/>
        <family val="2"/>
        <scheme val="minor"/>
      </rPr>
      <t>zamietame nulovú hypotézu</t>
    </r>
    <r>
      <rPr>
        <sz val="11"/>
        <color theme="1"/>
        <rFont val="Calibri"/>
        <family val="2"/>
        <scheme val="minor"/>
      </rPr>
      <t xml:space="preserve"> na hladine významnosti 0,05.</t>
    </r>
  </si>
  <si>
    <r>
      <t>Interpretácia:</t>
    </r>
    <r>
      <rPr>
        <sz val="11"/>
        <color theme="1"/>
        <rFont val="Calibri"/>
        <family val="2"/>
        <scheme val="minor"/>
      </rPr>
      <t xml:space="preserve"> Samostatný vplyv faktora Teplota (x1) na hodnotu regresnej funkcie </t>
    </r>
    <r>
      <rPr>
        <b/>
        <sz val="11"/>
        <color theme="1"/>
        <rFont val="Calibri"/>
        <family val="2"/>
        <scheme val="minor"/>
      </rPr>
      <t>je štatisticky významný</t>
    </r>
    <r>
      <rPr>
        <sz val="11"/>
        <color theme="1"/>
        <rFont val="Calibri"/>
        <family val="2"/>
        <scheme val="minor"/>
      </rPr>
      <t>. Zmena teploty má preukázateľný dopad na pevnosť vzorky.</t>
    </r>
  </si>
  <si>
    <r>
      <t xml:space="preserve">Nulovú hypotézu zamietame. Dodatočný príspevok faktora A (Teplota) na vysvetlenie variability závislej premennej je </t>
    </r>
    <r>
      <rPr>
        <b/>
        <sz val="11"/>
        <color theme="1"/>
        <rFont val="Calibri"/>
        <family val="2"/>
        <scheme val="minor"/>
      </rPr>
      <t>štatisticky vysoko významný</t>
    </r>
    <r>
      <rPr>
        <sz val="11"/>
        <color theme="1"/>
        <rFont val="Calibri"/>
        <family val="2"/>
        <scheme val="minor"/>
      </rPr>
      <t>.</t>
    </r>
  </si>
  <si>
    <r>
      <t xml:space="preserve">Interakcia faktorov </t>
    </r>
    <r>
      <rPr>
        <sz val="11"/>
        <color theme="1"/>
        <rFont val="Calibri"/>
        <family val="2"/>
        <scheme val="minor"/>
      </rPr>
      <t>x1 a x2 nemá štatisticky významný vplyv na pevnosť</t>
    </r>
  </si>
  <si>
    <r>
      <t xml:space="preserve">Interakcia faktorov </t>
    </r>
    <r>
      <rPr>
        <sz val="11"/>
        <color theme="1"/>
        <rFont val="Calibri"/>
        <family val="2"/>
        <scheme val="minor"/>
      </rPr>
      <t>x1 a x2 má štatisticky významný vplyv na pevnosť</t>
    </r>
  </si>
  <si>
    <r>
      <t xml:space="preserve">Testovacia štatistika prekračuje kritickú hodnotu, </t>
    </r>
    <r>
      <rPr>
        <b/>
        <sz val="11"/>
        <color theme="1"/>
        <rFont val="Calibri"/>
        <family val="2"/>
        <scheme val="minor"/>
      </rPr>
      <t>zamietame nulovú hypotézu</t>
    </r>
    <r>
      <rPr>
        <sz val="11"/>
        <color theme="1"/>
        <rFont val="Calibri"/>
        <family val="2"/>
        <scheme val="minor"/>
      </rPr>
      <t xml:space="preserve">. Interakcia medzi teplotou trysky a výškou vrstvy </t>
    </r>
    <r>
      <rPr>
        <b/>
        <sz val="11"/>
        <color theme="1"/>
        <rFont val="Calibri"/>
        <family val="2"/>
        <scheme val="minor"/>
      </rPr>
      <t>je štatisticky významná</t>
    </r>
    <r>
      <rPr>
        <sz val="11"/>
        <color theme="1"/>
        <rFont val="Calibri"/>
        <family val="2"/>
        <scheme val="minor"/>
      </rPr>
      <t>. To znamená, že vplyv teploty na pevnosť nie je konštantný, ale závisí od toho, aká výška vrstvy je práve nastavená (a naopak).</t>
    </r>
  </si>
  <si>
    <r>
      <t>Faktor A (Teplota):</t>
    </r>
    <r>
      <rPr>
        <sz val="11"/>
        <color theme="1"/>
        <rFont val="Calibri"/>
        <family val="2"/>
        <scheme val="minor"/>
      </rPr>
      <t xml:space="preserve"> Krivka má </t>
    </r>
    <r>
      <rPr>
        <b/>
        <sz val="11"/>
        <color theme="1"/>
        <rFont val="Calibri"/>
        <family val="2"/>
        <scheme val="minor"/>
      </rPr>
      <t>rastúci charakter</t>
    </r>
    <r>
      <rPr>
        <sz val="11"/>
        <color theme="1"/>
        <rFont val="Calibri"/>
        <family val="2"/>
        <scheme val="minor"/>
      </rPr>
      <t xml:space="preserve">. Sklon priamky indikuje, že so zvyšovaním teploty trysky dochádza k </t>
    </r>
    <r>
      <rPr>
        <b/>
        <sz val="11"/>
        <color theme="1"/>
        <rFont val="Calibri"/>
        <family val="2"/>
        <scheme val="minor"/>
      </rPr>
      <t>nárastu pevnosti</t>
    </r>
    <r>
      <rPr>
        <sz val="11"/>
        <color theme="1"/>
        <rFont val="Calibri"/>
        <family val="2"/>
        <scheme val="minor"/>
      </rPr>
      <t xml:space="preserve"> (z 48,19 na 53,65). Tento faktor má pozitívny vplyv na proces.</t>
    </r>
  </si>
  <si>
    <r>
      <t>Faktor B (Výška vrstvy):</t>
    </r>
    <r>
      <rPr>
        <sz val="11"/>
        <color theme="1"/>
        <rFont val="Calibri"/>
        <family val="2"/>
        <scheme val="minor"/>
      </rPr>
      <t xml:space="preserve"> Krivka má </t>
    </r>
    <r>
      <rPr>
        <b/>
        <sz val="11"/>
        <color theme="1"/>
        <rFont val="Calibri"/>
        <family val="2"/>
        <scheme val="minor"/>
      </rPr>
      <t>prudko klesajúci charakter</t>
    </r>
    <r>
      <rPr>
        <sz val="11"/>
        <color theme="1"/>
        <rFont val="Calibri"/>
        <family val="2"/>
        <scheme val="minor"/>
      </rPr>
      <t xml:space="preserve">. Toto je faktor s najväčším sklonom, čo znamená, že má </t>
    </r>
    <r>
      <rPr>
        <b/>
        <sz val="11"/>
        <color theme="1"/>
        <rFont val="Calibri"/>
        <family val="2"/>
        <scheme val="minor"/>
      </rPr>
      <t>najvýraznejší vplyv</t>
    </r>
    <r>
      <rPr>
        <sz val="11"/>
        <color theme="1"/>
        <rFont val="Calibri"/>
        <family val="2"/>
        <scheme val="minor"/>
      </rPr>
      <t xml:space="preserve"> na odozvu. Zvýšenie výšky vrstvy spôsobuje výrazný pokles pevnosti (z 57,65 na 44,19).</t>
    </r>
  </si>
  <si>
    <r>
      <t>Faktor C (Rýchlosť):</t>
    </r>
    <r>
      <rPr>
        <sz val="11"/>
        <color theme="1"/>
        <rFont val="Calibri"/>
        <family val="2"/>
        <scheme val="minor"/>
      </rPr>
      <t xml:space="preserve"> Krivka má </t>
    </r>
    <r>
      <rPr>
        <b/>
        <sz val="11"/>
        <color theme="1"/>
        <rFont val="Calibri"/>
        <family val="2"/>
        <scheme val="minor"/>
      </rPr>
      <t>mierne klesajúci charakter</t>
    </r>
    <r>
      <rPr>
        <sz val="11"/>
        <color theme="1"/>
        <rFont val="Calibri"/>
        <family val="2"/>
        <scheme val="minor"/>
      </rPr>
      <t>. Vplyv rýchlosti tlače je v porovnaní s ostatnými faktormi najslabší (najmenší sklon priamky), pričom vyššia rýchlosť vedie k miernemu zníženiu pevnosti.</t>
    </r>
  </si>
  <si>
    <r>
      <t xml:space="preserve">Z grafu je jasne vidieť, že priamky </t>
    </r>
    <r>
      <rPr>
        <b/>
        <sz val="11"/>
        <color theme="1"/>
        <rFont val="Calibri"/>
        <family val="2"/>
        <scheme val="minor"/>
      </rPr>
      <t>nie sú rovnobežné</t>
    </r>
    <r>
      <rPr>
        <sz val="11"/>
        <color theme="1"/>
        <rFont val="Calibri"/>
        <family val="2"/>
        <scheme val="minor"/>
      </rPr>
      <t xml:space="preserve">, ale sa smerom doprava od seba vzďaľujú (divergujú). To potvrdzuje existenciu </t>
    </r>
    <r>
      <rPr>
        <b/>
        <sz val="11"/>
        <color theme="1"/>
        <rFont val="Calibri"/>
        <family val="2"/>
        <scheme val="minor"/>
      </rPr>
      <t>štatisticky významnej interakcie</t>
    </r>
    <r>
      <rPr>
        <sz val="11"/>
        <color theme="1"/>
        <rFont val="Calibri"/>
        <family val="2"/>
        <scheme val="minor"/>
      </rPr>
      <t>.</t>
    </r>
  </si>
  <si>
    <r>
      <t xml:space="preserve">Dosadením reálnych hodnôt do regresnej rovnice sme získali predikovanú hodnotu pevnosti </t>
    </r>
    <r>
      <rPr>
        <b/>
        <sz val="11"/>
        <color theme="1"/>
        <rFont val="Calibri"/>
        <family val="2"/>
        <scheme val="minor"/>
      </rPr>
      <t>Y = 56,17 MPa</t>
    </r>
    <r>
      <rPr>
        <sz val="11"/>
        <color theme="1"/>
        <rFont val="Calibri"/>
        <family val="2"/>
        <scheme val="minor"/>
      </rPr>
      <t>.</t>
    </r>
  </si>
  <si>
    <r>
      <t xml:space="preserve">Po transformácii vstupných parametrov na kódované súradnice a ich dosadení do kódovaného tvaru modelu sme získali identickú hodnotu </t>
    </r>
    <r>
      <rPr>
        <b/>
        <sz val="11"/>
        <color theme="1"/>
        <rFont val="Calibri"/>
        <family val="2"/>
        <scheme val="minor"/>
      </rPr>
      <t>Y = 56,17 MPa</t>
    </r>
    <r>
      <rPr>
        <sz val="11"/>
        <color theme="1"/>
        <rFont val="Calibri"/>
        <family val="2"/>
        <scheme val="minor"/>
      </rPr>
      <t>.</t>
    </r>
  </si>
  <si>
    <r>
      <t>Polovičná šírka (</t>
    </r>
    <r>
      <rPr>
        <sz val="11"/>
        <color theme="1"/>
        <rFont val="Calibri"/>
        <family val="2"/>
        <scheme val="minor"/>
      </rPr>
      <t>delta):</t>
    </r>
  </si>
  <si>
    <r>
      <t>Záver:</t>
    </r>
    <r>
      <rPr>
        <sz val="11"/>
        <color theme="1"/>
        <rFont val="Calibri"/>
        <family val="2"/>
        <scheme val="minor"/>
      </rPr>
      <t xml:space="preserve"> Nameraná hodnota kontrolného merania (56,50 MPa) leží </t>
    </r>
    <r>
      <rPr>
        <b/>
        <sz val="11"/>
        <color theme="1"/>
        <rFont val="Calibri"/>
        <family val="2"/>
        <scheme val="minor"/>
      </rPr>
      <t>vo vnútri</t>
    </r>
    <r>
      <rPr>
        <sz val="11"/>
        <color theme="1"/>
        <rFont val="Calibri"/>
        <family val="2"/>
        <scheme val="minor"/>
      </rPr>
      <t xml:space="preserve"> vypočítaného intervalu spoľahlivosti. Rozdiel medzi predikciou a realitou je štatisticky nevýznamný. Regresný model považujeme za </t>
    </r>
    <r>
      <rPr>
        <b/>
        <sz val="11"/>
        <color theme="1"/>
        <rFont val="Calibri"/>
        <family val="2"/>
        <scheme val="minor"/>
      </rPr>
      <t>správny a overený</t>
    </r>
    <r>
      <rPr>
        <sz val="11"/>
        <color theme="1"/>
        <rFont val="Calibri"/>
        <family val="2"/>
        <scheme val="minor"/>
      </rPr>
      <t>.</t>
    </r>
  </si>
  <si>
    <t>Na základe regresnej rovnice určíme optimálne nastavenie faktorov (Teplota, Vrstva, Rýchlosť).</t>
  </si>
  <si>
    <t>Y=</t>
  </si>
  <si>
    <t>Vychádzame z kódovanej rovnice modelu:</t>
  </si>
  <si>
    <t>Interakcia (x1*x2):</t>
  </si>
  <si>
    <t>Tento malý negatívny príspevok je zanedbateľný v porovnaní s hlavným prínosom zníženia vrstvy a zvýšenia teploty.</t>
  </si>
  <si>
    <r>
      <t>Faktor Teplota (x1):</t>
    </r>
    <r>
      <rPr>
        <sz val="11"/>
        <color theme="1"/>
        <rFont val="Calibri"/>
        <family val="2"/>
        <scheme val="minor"/>
      </rPr>
      <t xml:space="preserve"> Koeficient je </t>
    </r>
    <r>
      <rPr>
        <b/>
        <sz val="11"/>
        <color theme="1"/>
        <rFont val="Calibri"/>
        <family val="2"/>
        <scheme val="minor"/>
      </rPr>
      <t>kladný</t>
    </r>
    <r>
      <rPr>
        <sz val="11"/>
        <color theme="1"/>
        <rFont val="Calibri"/>
        <family val="2"/>
        <scheme val="minor"/>
      </rPr>
      <t xml:space="preserve"> (+2,73). To znamená, že pre zvýšenie pevnosti musíme teplotu </t>
    </r>
    <r>
      <rPr>
        <b/>
        <sz val="11"/>
        <color theme="1"/>
        <rFont val="Calibri"/>
        <family val="2"/>
        <scheme val="minor"/>
      </rPr>
      <t>zvyšovať</t>
    </r>
    <r>
      <rPr>
        <sz val="11"/>
        <color theme="1"/>
        <rFont val="Calibri"/>
        <family val="2"/>
        <scheme val="minor"/>
      </rPr>
      <t>.</t>
    </r>
  </si>
  <si>
    <r>
      <t>Optimálne nastavenie:</t>
    </r>
    <r>
      <rPr>
        <sz val="11"/>
        <color theme="1"/>
        <rFont val="Calibri"/>
        <family val="2"/>
        <scheme val="minor"/>
      </rPr>
      <t xml:space="preserve"> Vysoká úroveň (+1) -&gt; 220</t>
    </r>
  </si>
  <si>
    <r>
      <t>Faktor Výška vrstvy (x2):</t>
    </r>
    <r>
      <rPr>
        <sz val="11"/>
        <color theme="1"/>
        <rFont val="Calibri"/>
        <family val="2"/>
        <scheme val="minor"/>
      </rPr>
      <t xml:space="preserve"> Koeficient je silne </t>
    </r>
    <r>
      <rPr>
        <b/>
        <sz val="11"/>
        <color theme="1"/>
        <rFont val="Calibri"/>
        <family val="2"/>
        <scheme val="minor"/>
      </rPr>
      <t>záporný</t>
    </r>
    <r>
      <rPr>
        <sz val="11"/>
        <color theme="1"/>
        <rFont val="Calibri"/>
        <family val="2"/>
        <scheme val="minor"/>
      </rPr>
      <t xml:space="preserve"> (-6,73). To znamená, že pre zvýšenie pevnosti musíme vrstvu </t>
    </r>
    <r>
      <rPr>
        <b/>
        <sz val="11"/>
        <color theme="1"/>
        <rFont val="Calibri"/>
        <family val="2"/>
        <scheme val="minor"/>
      </rPr>
      <t>znižovať</t>
    </r>
    <r>
      <rPr>
        <sz val="11"/>
        <color theme="1"/>
        <rFont val="Calibri"/>
        <family val="2"/>
        <scheme val="minor"/>
      </rPr>
      <t>.</t>
    </r>
  </si>
  <si>
    <r>
      <t>Optimálne nastavenie:</t>
    </r>
    <r>
      <rPr>
        <sz val="11"/>
        <color theme="1"/>
        <rFont val="Calibri"/>
        <family val="2"/>
        <scheme val="minor"/>
      </rPr>
      <t xml:space="preserve"> Nízka úroveň (-1) -&gt;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0,1 mm</t>
    </r>
  </si>
  <si>
    <r>
      <t>Faktor Rýchlosť (x3):</t>
    </r>
    <r>
      <rPr>
        <sz val="11"/>
        <color theme="1"/>
        <rFont val="Calibri"/>
        <family val="2"/>
        <scheme val="minor"/>
      </rPr>
      <t xml:space="preserve"> Koeficient je </t>
    </r>
    <r>
      <rPr>
        <b/>
        <sz val="11"/>
        <color theme="1"/>
        <rFont val="Calibri"/>
        <family val="2"/>
        <scheme val="minor"/>
      </rPr>
      <t>záporný</t>
    </r>
    <r>
      <rPr>
        <sz val="11"/>
        <color theme="1"/>
        <rFont val="Calibri"/>
        <family val="2"/>
        <scheme val="minor"/>
      </rPr>
      <t xml:space="preserve"> (-1,28). Pre zvýšenie pevnosti musíme rýchlosť </t>
    </r>
    <r>
      <rPr>
        <b/>
        <sz val="11"/>
        <color theme="1"/>
        <rFont val="Calibri"/>
        <family val="2"/>
        <scheme val="minor"/>
      </rPr>
      <t>znižovať</t>
    </r>
  </si>
  <si>
    <r>
      <t>Optimálne nastavenie:</t>
    </r>
    <r>
      <rPr>
        <sz val="11"/>
        <color theme="1"/>
        <rFont val="Calibri"/>
        <family val="2"/>
        <scheme val="minor"/>
      </rPr>
      <t xml:space="preserve"> Nízka úroveň (-1) -&gt; 40</t>
    </r>
    <r>
      <rPr>
        <i/>
        <sz val="11"/>
        <color theme="1"/>
        <rFont val="Calibri"/>
        <family val="2"/>
        <scheme val="minor"/>
      </rPr>
      <t xml:space="preserve"> mm/s</t>
    </r>
  </si>
  <si>
    <t xml:space="preserve">  Ymax = 50,92 + 2,73(1) - 6,73(-1) - 1,28(-1) + 0,48(1)(-1)  </t>
  </si>
  <si>
    <t>Ymax=</t>
  </si>
  <si>
    <t>Mpa</t>
  </si>
  <si>
    <t>Aby sme dosiahli požadovanú maximálnu pevnosť (teoreticky až 61,18 MPa), proces by mal byť nastavený na parametre:</t>
  </si>
  <si>
    <t>Aj pomocou riešiteľa (Solvera) sme dostali rovnaký výsledok</t>
  </si>
  <si>
    <t>20. úloha -  Požadovaná odozva</t>
  </si>
  <si>
    <t xml:space="preserve">1. úloha </t>
  </si>
  <si>
    <t xml:space="preserve">2. úloha </t>
  </si>
  <si>
    <t xml:space="preserve">3. úloha </t>
  </si>
  <si>
    <t>nie sú štatisticky významné a možno ich vylúčiť</t>
  </si>
  <si>
    <t xml:space="preserve">4. 5. 6. 7. 8. 9. úloha </t>
  </si>
  <si>
    <t xml:space="preserve">10. úloha </t>
  </si>
  <si>
    <t xml:space="preserve">11. úloha </t>
  </si>
  <si>
    <t xml:space="preserve">12. úloha </t>
  </si>
  <si>
    <r>
      <t xml:space="preserve">Keďže v zadaní nie je určené konkrétny cieľ, budeme predpokladať, že </t>
    </r>
    <r>
      <rPr>
        <b/>
        <sz val="11"/>
        <color theme="1"/>
        <rFont val="Calibri"/>
        <family val="2"/>
        <scheme val="minor"/>
      </rPr>
      <t>cieľom je maximalizovať pevnosť</t>
    </r>
    <r>
      <rPr>
        <sz val="11"/>
        <color theme="1"/>
        <rFont val="Calibri"/>
        <family val="2"/>
        <scheme val="minor"/>
      </rPr>
      <t>.</t>
    </r>
  </si>
  <si>
    <r>
      <t xml:space="preserve">Pri nastavení x1 = +1  a  x2 = -1  bude člen  0,48  * (1) *  (-1) = </t>
    </r>
    <r>
      <rPr>
        <sz val="11"/>
        <color rgb="FFFF0000"/>
        <rFont val="Calibri"/>
        <family val="2"/>
        <scheme val="minor"/>
      </rPr>
      <t>-0,48</t>
    </r>
    <r>
      <rPr>
        <sz val="11"/>
        <color theme="1"/>
        <rFont val="Calibri"/>
        <family val="2"/>
        <scheme val="minor"/>
      </rPr>
      <t xml:space="preserve"> </t>
    </r>
  </si>
  <si>
    <r>
      <t>Teplota:</t>
    </r>
    <r>
      <rPr>
        <sz val="11"/>
        <color theme="1"/>
        <rFont val="Calibri"/>
        <family val="2"/>
        <scheme val="minor"/>
      </rPr>
      <t xml:space="preserve"> 220 °C</t>
    </r>
  </si>
  <si>
    <r>
      <t>Výška vrstvy:</t>
    </r>
    <r>
      <rPr>
        <sz val="11"/>
        <color theme="1"/>
        <rFont val="Calibri"/>
        <family val="2"/>
        <scheme val="minor"/>
      </rPr>
      <t xml:space="preserve"> 0,1 mm</t>
    </r>
  </si>
  <si>
    <r>
      <t>Rýchlosť tlače:</t>
    </r>
    <r>
      <rPr>
        <sz val="11"/>
        <color theme="1"/>
        <rFont val="Calibri"/>
        <family val="2"/>
        <scheme val="minor"/>
      </rPr>
      <t xml:space="preserve"> 40 mm/s (nízka úroveň)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</si>
</sst>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0.0000"/>
  </numFmts>
  <fonts count="11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1F1F1F"/>
      <name val="Calibri"/>
      <family val="2"/>
      <scheme val="minor"/>
    </font>
    <font>
      <sz val="11"/>
      <color rgb="FF1F1F1F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u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i/>
      <u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/>
  </cellStyleXfs>
  <cellXfs count="57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 readingOrder="1"/>
    </xf>
    <xf numFmtId="0" fontId="4" fillId="0" borderId="0" xfId="0" applyFont="1" applyAlignment="1">
      <alignment vertical="center" wrapText="1" readingOrder="1"/>
    </xf>
    <xf numFmtId="0" fontId="4" fillId="0" borderId="0" xfId="0" applyFont="1" applyAlignment="1">
      <alignment horizontal="center" vertical="center" wrapText="1" readingOrder="1"/>
    </xf>
    <xf numFmtId="0" fontId="0" fillId="0" borderId="0" xfId="0" applyAlignment="1">
      <alignment horizont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 readingOrder="1"/>
    </xf>
    <xf numFmtId="0" fontId="4" fillId="2" borderId="0" xfId="0" applyFont="1" applyFill="1" applyAlignment="1">
      <alignment horizontal="center" vertical="center" wrapText="1" readingOrder="1"/>
    </xf>
    <xf numFmtId="0" fontId="0" fillId="2" borderId="0" xfId="0" applyFill="1"/>
    <xf numFmtId="164" fontId="4" fillId="2" borderId="0" xfId="0" applyNumberFormat="1" applyFont="1" applyFill="1" applyAlignment="1">
      <alignment horizontal="center" vertical="center" wrapText="1" readingOrder="1"/>
    </xf>
    <xf numFmtId="164" fontId="0" fillId="2" borderId="0" xfId="0" applyNumberFormat="1" applyFill="1"/>
    <xf numFmtId="164" fontId="4" fillId="0" borderId="0" xfId="0" applyNumberFormat="1" applyFont="1" applyAlignment="1">
      <alignment horizontal="center" vertical="center" wrapText="1" readingOrder="1"/>
    </xf>
    <xf numFmtId="164" fontId="0" fillId="0" borderId="0" xfId="0" applyNumberFormat="1"/>
    <xf numFmtId="0" fontId="5" fillId="0" borderId="2" xfId="0" applyFont="1" applyBorder="1" applyAlignment="1">
      <alignment horizontal="center"/>
    </xf>
    <xf numFmtId="0" fontId="5" fillId="0" borderId="2" xfId="0" applyFont="1" applyBorder="1" applyAlignment="1">
      <alignment horizontal="centerContinuous"/>
    </xf>
    <xf numFmtId="0" fontId="4" fillId="0" borderId="0" xfId="0" applyFont="1" applyAlignment="1">
      <alignment horizontal="center" vertical="center" readingOrder="1"/>
    </xf>
    <xf numFmtId="0" fontId="4" fillId="0" borderId="0" xfId="0" applyFont="1" applyAlignment="1">
      <alignment horizontal="left" vertical="center" readingOrder="1"/>
    </xf>
    <xf numFmtId="0" fontId="4" fillId="0" borderId="0" xfId="0" applyFont="1" applyAlignment="1">
      <alignment horizontal="right" vertical="center" readingOrder="1"/>
    </xf>
    <xf numFmtId="0" fontId="0" fillId="0" borderId="0" xfId="0" applyAlignment="1">
      <alignment horizontal="right"/>
    </xf>
    <xf numFmtId="0" fontId="1" fillId="0" borderId="0" xfId="0" applyFont="1"/>
    <xf numFmtId="0" fontId="1" fillId="0" borderId="1" xfId="0" applyFont="1" applyBorder="1"/>
    <xf numFmtId="0" fontId="8" fillId="0" borderId="0" xfId="0" applyFont="1"/>
    <xf numFmtId="0" fontId="5" fillId="0" borderId="2" xfId="0" applyFont="1" applyBorder="1" applyAlignment="1">
      <alignment horizontal="left"/>
    </xf>
    <xf numFmtId="0" fontId="0" fillId="0" borderId="0" xfId="0" applyAlignment="1">
      <alignment horizontal="center" vertical="center" wrapText="1"/>
    </xf>
    <xf numFmtId="0" fontId="9" fillId="0" borderId="0" xfId="0" applyFont="1"/>
    <xf numFmtId="0" fontId="0" fillId="0" borderId="3" xfId="0" applyBorder="1"/>
    <xf numFmtId="165" fontId="0" fillId="0" borderId="0" xfId="0" applyNumberFormat="1"/>
    <xf numFmtId="165" fontId="2" fillId="0" borderId="0" xfId="0" applyNumberFormat="1" applyFont="1"/>
    <xf numFmtId="0" fontId="0" fillId="0" borderId="0" xfId="1" applyFont="1" applyAlignment="1">
      <alignment horizontal="center" vertical="center"/>
    </xf>
    <xf numFmtId="0" fontId="0" fillId="3" borderId="0" xfId="0" applyFill="1"/>
    <xf numFmtId="2" fontId="0" fillId="3" borderId="0" xfId="0" applyNumberFormat="1" applyFill="1"/>
    <xf numFmtId="0" fontId="0" fillId="0" borderId="1" xfId="0" applyBorder="1"/>
    <xf numFmtId="0" fontId="0" fillId="4" borderId="0" xfId="0" applyFill="1"/>
    <xf numFmtId="0" fontId="2" fillId="0" borderId="0" xfId="0" applyFont="1" applyAlignment="1">
      <alignment horizontal="right"/>
    </xf>
    <xf numFmtId="0" fontId="0" fillId="0" borderId="0" xfId="0" applyAlignment="1">
      <alignment horizontal="left"/>
    </xf>
    <xf numFmtId="0" fontId="0" fillId="5" borderId="0" xfId="0" applyFill="1"/>
    <xf numFmtId="0" fontId="2" fillId="5" borderId="0" xfId="0" applyFont="1" applyFill="1"/>
    <xf numFmtId="0" fontId="10" fillId="0" borderId="0" xfId="0" applyFont="1"/>
    <xf numFmtId="0" fontId="0" fillId="0" borderId="3" xfId="0" applyBorder="1" applyAlignment="1">
      <alignment horizontal="right" vertical="center" wrapText="1"/>
    </xf>
    <xf numFmtId="0" fontId="0" fillId="0" borderId="3" xfId="0" applyBorder="1" applyAlignment="1">
      <alignment horizontal="right"/>
    </xf>
    <xf numFmtId="0" fontId="0" fillId="0" borderId="4" xfId="0" applyBorder="1"/>
    <xf numFmtId="165" fontId="0" fillId="3" borderId="0" xfId="0" applyNumberFormat="1" applyFill="1"/>
    <xf numFmtId="0" fontId="0" fillId="0" borderId="0" xfId="0" applyAlignment="1">
      <alignment vertical="center"/>
    </xf>
    <xf numFmtId="0" fontId="0" fillId="0" borderId="0" xfId="0" applyAlignment="1">
      <alignment horizontal="left" vertical="center" indent="1"/>
    </xf>
    <xf numFmtId="0" fontId="5" fillId="0" borderId="0" xfId="0" applyFont="1" applyAlignment="1">
      <alignment horizontal="left" vertical="center" indent="1"/>
    </xf>
    <xf numFmtId="0" fontId="2" fillId="3" borderId="0" xfId="0" applyFont="1" applyFill="1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 wrapText="1" readingOrder="1"/>
    </xf>
  </cellXfs>
  <cellStyles count="2">
    <cellStyle name="Normálna" xfId="0" builtinId="0"/>
    <cellStyle name="Normálna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sk-SK"/>
              <a:t>x1    (Teplota)  Residual Plot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xVal>
            <c:numRef>
              <c:f>DOE!$B$117:$B$132</c:f>
              <c:numCache>
                <c:formatCode>General</c:formatCode>
                <c:ptCount val="16"/>
                <c:pt idx="0">
                  <c:v>-1</c:v>
                </c:pt>
                <c:pt idx="1">
                  <c:v>1</c:v>
                </c:pt>
                <c:pt idx="2">
                  <c:v>-1</c:v>
                </c:pt>
                <c:pt idx="3">
                  <c:v>1</c:v>
                </c:pt>
                <c:pt idx="4">
                  <c:v>-1</c:v>
                </c:pt>
                <c:pt idx="5">
                  <c:v>1</c:v>
                </c:pt>
                <c:pt idx="6">
                  <c:v>-1</c:v>
                </c:pt>
                <c:pt idx="7">
                  <c:v>1</c:v>
                </c:pt>
                <c:pt idx="8">
                  <c:v>-1</c:v>
                </c:pt>
                <c:pt idx="9">
                  <c:v>1</c:v>
                </c:pt>
                <c:pt idx="10">
                  <c:v>-1</c:v>
                </c:pt>
                <c:pt idx="11">
                  <c:v>1</c:v>
                </c:pt>
                <c:pt idx="12">
                  <c:v>-1</c:v>
                </c:pt>
                <c:pt idx="13">
                  <c:v>1</c:v>
                </c:pt>
                <c:pt idx="14">
                  <c:v>-1</c:v>
                </c:pt>
                <c:pt idx="15">
                  <c:v>1</c:v>
                </c:pt>
              </c:numCache>
            </c:numRef>
          </c:xVal>
          <c:yVal>
            <c:numRef>
              <c:f>DOE!$D$228:$D$243</c:f>
              <c:numCache>
                <c:formatCode>General</c:formatCode>
                <c:ptCount val="16"/>
                <c:pt idx="0">
                  <c:v>-0.18125000000000568</c:v>
                </c:pt>
                <c:pt idx="1">
                  <c:v>1.8750000000011369E-2</c:v>
                </c:pt>
                <c:pt idx="2">
                  <c:v>0.24375000000000568</c:v>
                </c:pt>
                <c:pt idx="3">
                  <c:v>0.41875000000000995</c:v>
                </c:pt>
                <c:pt idx="4">
                  <c:v>8.1249999999997158E-2</c:v>
                </c:pt>
                <c:pt idx="5">
                  <c:v>-0.11874999999999147</c:v>
                </c:pt>
                <c:pt idx="6">
                  <c:v>-0.29374999999999574</c:v>
                </c:pt>
                <c:pt idx="7">
                  <c:v>8.1250000000011369E-2</c:v>
                </c:pt>
                <c:pt idx="8">
                  <c:v>0.41874999999999574</c:v>
                </c:pt>
                <c:pt idx="9">
                  <c:v>-0.38124999999999432</c:v>
                </c:pt>
                <c:pt idx="10">
                  <c:v>-0.35624999999999574</c:v>
                </c:pt>
                <c:pt idx="11">
                  <c:v>-0.18124999999999147</c:v>
                </c:pt>
                <c:pt idx="12">
                  <c:v>-0.31875000000000853</c:v>
                </c:pt>
                <c:pt idx="13">
                  <c:v>0.48125000000000995</c:v>
                </c:pt>
                <c:pt idx="14">
                  <c:v>0.40625000000000711</c:v>
                </c:pt>
                <c:pt idx="15">
                  <c:v>-0.31874999999999432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F39-44C8-96C4-C05062D439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10963199"/>
        <c:axId val="910982399"/>
      </c:scatterChart>
      <c:valAx>
        <c:axId val="91096319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x1    (Teplota)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910982399"/>
        <c:crosses val="autoZero"/>
        <c:crossBetween val="midCat"/>
      </c:valAx>
      <c:valAx>
        <c:axId val="910982399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Residuals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910963199"/>
        <c:crosses val="autoZero"/>
        <c:crossBetween val="midCat"/>
      </c:valAx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Standard Residuals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DOE!$H$228:$H$243</c:f>
              <c:numCache>
                <c:formatCode>General</c:formatCode>
                <c:ptCount val="16"/>
                <c:pt idx="0">
                  <c:v>39.4</c:v>
                </c:pt>
                <c:pt idx="1">
                  <c:v>40.1</c:v>
                </c:pt>
                <c:pt idx="2">
                  <c:v>41.9</c:v>
                </c:pt>
                <c:pt idx="3">
                  <c:v>42.5</c:v>
                </c:pt>
                <c:pt idx="4">
                  <c:v>45.8</c:v>
                </c:pt>
                <c:pt idx="5">
                  <c:v>46.2</c:v>
                </c:pt>
                <c:pt idx="6">
                  <c:v>48.5</c:v>
                </c:pt>
                <c:pt idx="7">
                  <c:v>49.1</c:v>
                </c:pt>
                <c:pt idx="8">
                  <c:v>53.8</c:v>
                </c:pt>
                <c:pt idx="9">
                  <c:v>54.2</c:v>
                </c:pt>
                <c:pt idx="10">
                  <c:v>56.5</c:v>
                </c:pt>
                <c:pt idx="11">
                  <c:v>57.1</c:v>
                </c:pt>
                <c:pt idx="12">
                  <c:v>58.5</c:v>
                </c:pt>
                <c:pt idx="13">
                  <c:v>59.1</c:v>
                </c:pt>
                <c:pt idx="14">
                  <c:v>60.8</c:v>
                </c:pt>
                <c:pt idx="15">
                  <c:v>61.2</c:v>
                </c:pt>
              </c:numCache>
            </c:numRef>
          </c:xVal>
          <c:yVal>
            <c:numRef>
              <c:f>DOE!$E$228:$E$243</c:f>
              <c:numCache>
                <c:formatCode>General</c:formatCode>
                <c:ptCount val="16"/>
                <c:pt idx="0">
                  <c:v>-0.58058862819947277</c:v>
                </c:pt>
                <c:pt idx="1">
                  <c:v>6.0060892572393783E-2</c:v>
                </c:pt>
                <c:pt idx="2">
                  <c:v>0.78079160344066389</c:v>
                </c:pt>
                <c:pt idx="3">
                  <c:v>1.341359934116013</c:v>
                </c:pt>
                <c:pt idx="4">
                  <c:v>0.2602638678135395</c:v>
                </c:pt>
                <c:pt idx="5">
                  <c:v>-0.38038565295823601</c:v>
                </c:pt>
                <c:pt idx="6">
                  <c:v>-0.94095398363358507</c:v>
                </c:pt>
                <c:pt idx="7">
                  <c:v>0.26026386781358501</c:v>
                </c:pt>
                <c:pt idx="8">
                  <c:v>1.3413599341159674</c:v>
                </c:pt>
                <c:pt idx="9">
                  <c:v>-1.2212381489712483</c:v>
                </c:pt>
                <c:pt idx="10">
                  <c:v>-1.1411569588747763</c:v>
                </c:pt>
                <c:pt idx="11">
                  <c:v>-0.58058862819942725</c:v>
                </c:pt>
                <c:pt idx="12">
                  <c:v>-1.0210351737301024</c:v>
                </c:pt>
                <c:pt idx="13">
                  <c:v>1.5415629093572043</c:v>
                </c:pt>
                <c:pt idx="14">
                  <c:v>1.3013193390677655</c:v>
                </c:pt>
                <c:pt idx="15">
                  <c:v>-1.0210351737300569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BF7-4893-A509-12B742FA52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30160031"/>
        <c:axId val="1230170015"/>
      </c:scatterChart>
      <c:valAx>
        <c:axId val="1230160031"/>
        <c:scaling>
          <c:orientation val="minMax"/>
          <c:min val="3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230170015"/>
        <c:crosses val="autoZero"/>
        <c:crossBetween val="midCat"/>
      </c:valAx>
      <c:valAx>
        <c:axId val="12301700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23016003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sk-SK"/>
              <a:t>Hlavný efekt </a:t>
            </a:r>
            <a:r>
              <a:rPr lang="en-GB"/>
              <a:t>Teploty</a:t>
            </a:r>
            <a:endParaRPr lang="sk-SK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Hlavný efekt Teploty </c:v>
          </c:tx>
          <c:spPr>
            <a:ln w="952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xVal>
            <c:numRef>
              <c:f>DOE!$H$343:$I$343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xVal>
          <c:yVal>
            <c:numRef>
              <c:f>DOE!$H$344:$I$344</c:f>
              <c:numCache>
                <c:formatCode>General</c:formatCode>
                <c:ptCount val="2"/>
                <c:pt idx="0">
                  <c:v>48.19</c:v>
                </c:pt>
                <c:pt idx="1">
                  <c:v>53.65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C89-4DE1-8F3C-D184B5A705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1843704"/>
        <c:axId val="671846264"/>
      </c:scatterChart>
      <c:valAx>
        <c:axId val="6718437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Teplota</a:t>
                </a:r>
                <a:r>
                  <a:rPr lang="sk-SK"/>
                  <a:t> (A)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671846264"/>
        <c:crosses val="autoZero"/>
        <c:crossBetween val="midCat"/>
      </c:valAx>
      <c:valAx>
        <c:axId val="671846264"/>
        <c:scaling>
          <c:orientation val="minMax"/>
          <c:min val="45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Y</a:t>
                </a:r>
              </a:p>
            </c:rich>
          </c:tx>
          <c:layout>
            <c:manualLayout>
              <c:xMode val="edge"/>
              <c:yMode val="edge"/>
              <c:x val="3.0678317843930679E-2"/>
              <c:y val="0.2081263825277401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6718437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sk-SK"/>
              <a:t>Hlavný efekt </a:t>
            </a:r>
            <a:r>
              <a:rPr lang="en-GB"/>
              <a:t>Vrstvy</a:t>
            </a:r>
            <a:endParaRPr lang="sk-SK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952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xVal>
            <c:numRef>
              <c:f>DOE!$H$343:$I$343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xVal>
          <c:yVal>
            <c:numRef>
              <c:f>DOE!$H$345:$I$345</c:f>
              <c:numCache>
                <c:formatCode>General</c:formatCode>
                <c:ptCount val="2"/>
                <c:pt idx="0">
                  <c:v>57.65</c:v>
                </c:pt>
                <c:pt idx="1">
                  <c:v>44.19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AD3-4DA1-A268-BE07039DD9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1843704"/>
        <c:axId val="671846264"/>
      </c:scatterChart>
      <c:valAx>
        <c:axId val="6718437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Vrstva</a:t>
                </a:r>
                <a:r>
                  <a:rPr lang="sk-SK"/>
                  <a:t> (</a:t>
                </a:r>
                <a:r>
                  <a:rPr lang="en-GB"/>
                  <a:t>B</a:t>
                </a:r>
                <a:r>
                  <a:rPr lang="sk-SK"/>
                  <a:t>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671846264"/>
        <c:crosses val="autoZero"/>
        <c:crossBetween val="midCat"/>
      </c:valAx>
      <c:valAx>
        <c:axId val="671846264"/>
        <c:scaling>
          <c:orientation val="minMax"/>
          <c:min val="4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Y</a:t>
                </a:r>
              </a:p>
            </c:rich>
          </c:tx>
          <c:layout>
            <c:manualLayout>
              <c:xMode val="edge"/>
              <c:yMode val="edge"/>
              <c:x val="3.0678317843930679E-2"/>
              <c:y val="0.2081263825277401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6718437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sk-SK"/>
              <a:t>Hlavný efekt </a:t>
            </a:r>
            <a:r>
              <a:rPr lang="en-GB"/>
              <a:t>Rýchlosti</a:t>
            </a:r>
            <a:endParaRPr lang="sk-SK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952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xVal>
            <c:numRef>
              <c:f>DOE!$H$343:$I$343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xVal>
          <c:yVal>
            <c:numRef>
              <c:f>DOE!$H$346:$I$346</c:f>
              <c:numCache>
                <c:formatCode>General</c:formatCode>
                <c:ptCount val="2"/>
                <c:pt idx="0">
                  <c:v>52.2</c:v>
                </c:pt>
                <c:pt idx="1">
                  <c:v>49.64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C23-4713-B7CA-E58A737862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1843704"/>
        <c:axId val="671846264"/>
      </c:scatterChart>
      <c:valAx>
        <c:axId val="6718437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Rýchlost</a:t>
                </a:r>
                <a:r>
                  <a:rPr lang="sk-SK"/>
                  <a:t> (</a:t>
                </a:r>
                <a:r>
                  <a:rPr lang="en-GB"/>
                  <a:t>C</a:t>
                </a:r>
                <a:r>
                  <a:rPr lang="sk-SK"/>
                  <a:t>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671846264"/>
        <c:crosses val="autoZero"/>
        <c:crossBetween val="midCat"/>
      </c:valAx>
      <c:valAx>
        <c:axId val="671846264"/>
        <c:scaling>
          <c:orientation val="minMax"/>
          <c:min val="4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Y</a:t>
                </a:r>
              </a:p>
            </c:rich>
          </c:tx>
          <c:layout>
            <c:manualLayout>
              <c:xMode val="edge"/>
              <c:yMode val="edge"/>
              <c:x val="3.0678317843930679E-2"/>
              <c:y val="0.2081263825277401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6718437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k-SK" sz="1800" b="0" i="0" baseline="0">
                <a:effectLst/>
              </a:rPr>
              <a:t>Efekt interakcie</a:t>
            </a:r>
            <a:endParaRPr lang="sk-SK">
              <a:effectLst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DOE!$C$380:$D$380</c:f>
              <c:strCache>
                <c:ptCount val="2"/>
                <c:pt idx="0">
                  <c:v>200</c:v>
                </c:pt>
                <c:pt idx="1">
                  <c:v>-1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DOE!$E$378:$F$379</c:f>
              <c:multiLvlStrCache>
                <c:ptCount val="2"/>
                <c:lvl>
                  <c:pt idx="0">
                    <c:v>-1</c:v>
                  </c:pt>
                  <c:pt idx="1">
                    <c:v>1</c:v>
                  </c:pt>
                </c:lvl>
                <c:lvl>
                  <c:pt idx="0">
                    <c:v>0,1</c:v>
                  </c:pt>
                  <c:pt idx="1">
                    <c:v>0,3</c:v>
                  </c:pt>
                </c:lvl>
              </c:multiLvlStrCache>
            </c:multiLvlStrRef>
          </c:cat>
          <c:val>
            <c:numRef>
              <c:f>DOE!$E$380:$F$380</c:f>
              <c:numCache>
                <c:formatCode>General</c:formatCode>
                <c:ptCount val="2"/>
                <c:pt idx="0">
                  <c:v>55.4</c:v>
                </c:pt>
                <c:pt idx="1">
                  <c:v>40.980000000000011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C0C-43B6-A659-BAD1F67DAB49}"/>
            </c:ext>
          </c:extLst>
        </c:ser>
        <c:ser>
          <c:idx val="1"/>
          <c:order val="1"/>
          <c:tx>
            <c:strRef>
              <c:f>DOE!$C$381:$D$381</c:f>
              <c:strCache>
                <c:ptCount val="2"/>
                <c:pt idx="0">
                  <c:v>220</c:v>
                </c:pt>
                <c:pt idx="1">
                  <c:v>1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DOE!$E$378:$F$379</c:f>
              <c:multiLvlStrCache>
                <c:ptCount val="2"/>
                <c:lvl>
                  <c:pt idx="0">
                    <c:v>-1</c:v>
                  </c:pt>
                  <c:pt idx="1">
                    <c:v>1</c:v>
                  </c:pt>
                </c:lvl>
                <c:lvl>
                  <c:pt idx="0">
                    <c:v>0,1</c:v>
                  </c:pt>
                  <c:pt idx="1">
                    <c:v>0,3</c:v>
                  </c:pt>
                </c:lvl>
              </c:multiLvlStrCache>
            </c:multiLvlStrRef>
          </c:cat>
          <c:val>
            <c:numRef>
              <c:f>DOE!$E$381:$F$381</c:f>
              <c:numCache>
                <c:formatCode>General</c:formatCode>
                <c:ptCount val="2"/>
                <c:pt idx="0">
                  <c:v>59.9</c:v>
                </c:pt>
                <c:pt idx="1">
                  <c:v>47.4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C0C-43B6-A659-BAD1F67DAB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03387256"/>
        <c:axId val="503389224"/>
      </c:lineChart>
      <c:catAx>
        <c:axId val="503387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503389224"/>
        <c:crosses val="autoZero"/>
        <c:auto val="1"/>
        <c:lblAlgn val="ctr"/>
        <c:lblOffset val="100"/>
        <c:noMultiLvlLbl val="0"/>
      </c:catAx>
      <c:valAx>
        <c:axId val="503389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5033872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k-SK" sz="1800" b="0" i="0" baseline="0">
                <a:effectLst/>
              </a:rPr>
              <a:t>Efekt interakcie</a:t>
            </a:r>
            <a:endParaRPr lang="sk-SK">
              <a:effectLst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DOE!$E$378:$E$379</c:f>
              <c:strCache>
                <c:ptCount val="2"/>
                <c:pt idx="0">
                  <c:v>0,1</c:v>
                </c:pt>
                <c:pt idx="1">
                  <c:v>-1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DOE!$C$380:$D$381</c:f>
              <c:multiLvlStrCache>
                <c:ptCount val="2"/>
                <c:lvl>
                  <c:pt idx="0">
                    <c:v>-1</c:v>
                  </c:pt>
                  <c:pt idx="1">
                    <c:v>1</c:v>
                  </c:pt>
                </c:lvl>
                <c:lvl>
                  <c:pt idx="0">
                    <c:v>200</c:v>
                  </c:pt>
                  <c:pt idx="1">
                    <c:v>220</c:v>
                  </c:pt>
                </c:lvl>
              </c:multiLvlStrCache>
            </c:multiLvlStrRef>
          </c:cat>
          <c:val>
            <c:numRef>
              <c:f>DOE!$E$380:$E$381</c:f>
              <c:numCache>
                <c:formatCode>General</c:formatCode>
                <c:ptCount val="2"/>
                <c:pt idx="0">
                  <c:v>55.4</c:v>
                </c:pt>
                <c:pt idx="1">
                  <c:v>59.9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9D-4828-A1AE-063F39EFD2C5}"/>
            </c:ext>
          </c:extLst>
        </c:ser>
        <c:ser>
          <c:idx val="1"/>
          <c:order val="1"/>
          <c:tx>
            <c:strRef>
              <c:f>DOE!$F$378:$F$379</c:f>
              <c:strCache>
                <c:ptCount val="2"/>
                <c:pt idx="0">
                  <c:v>0,3</c:v>
                </c:pt>
                <c:pt idx="1">
                  <c:v>1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DOE!$C$380:$D$381</c:f>
              <c:multiLvlStrCache>
                <c:ptCount val="2"/>
                <c:lvl>
                  <c:pt idx="0">
                    <c:v>-1</c:v>
                  </c:pt>
                  <c:pt idx="1">
                    <c:v>1</c:v>
                  </c:pt>
                </c:lvl>
                <c:lvl>
                  <c:pt idx="0">
                    <c:v>200</c:v>
                  </c:pt>
                  <c:pt idx="1">
                    <c:v>220</c:v>
                  </c:pt>
                </c:lvl>
              </c:multiLvlStrCache>
            </c:multiLvlStrRef>
          </c:cat>
          <c:val>
            <c:numRef>
              <c:f>DOE!$F$380:$F$381</c:f>
              <c:numCache>
                <c:formatCode>General</c:formatCode>
                <c:ptCount val="2"/>
                <c:pt idx="0">
                  <c:v>40.980000000000011</c:v>
                </c:pt>
                <c:pt idx="1">
                  <c:v>47.4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9D-4828-A1AE-063F39EFD2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03387256"/>
        <c:axId val="503389224"/>
      </c:lineChart>
      <c:catAx>
        <c:axId val="503387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503389224"/>
        <c:crosses val="autoZero"/>
        <c:auto val="1"/>
        <c:lblAlgn val="ctr"/>
        <c:lblOffset val="100"/>
        <c:noMultiLvlLbl val="0"/>
      </c:catAx>
      <c:valAx>
        <c:axId val="503389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5033872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sk-SK"/>
              <a:t>x2    (Vrstva)  Residual Plot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xVal>
            <c:numRef>
              <c:f>DOE!$C$117:$C$132</c:f>
              <c:numCache>
                <c:formatCode>General</c:formatCode>
                <c:ptCount val="16"/>
                <c:pt idx="0">
                  <c:v>-1</c:v>
                </c:pt>
                <c:pt idx="1">
                  <c:v>-1</c:v>
                </c:pt>
                <c:pt idx="2">
                  <c:v>1</c:v>
                </c:pt>
                <c:pt idx="3">
                  <c:v>1</c:v>
                </c:pt>
                <c:pt idx="4">
                  <c:v>-1</c:v>
                </c:pt>
                <c:pt idx="5">
                  <c:v>-1</c:v>
                </c:pt>
                <c:pt idx="6">
                  <c:v>1</c:v>
                </c:pt>
                <c:pt idx="7">
                  <c:v>1</c:v>
                </c:pt>
                <c:pt idx="8">
                  <c:v>-1</c:v>
                </c:pt>
                <c:pt idx="9">
                  <c:v>-1</c:v>
                </c:pt>
                <c:pt idx="10">
                  <c:v>1</c:v>
                </c:pt>
                <c:pt idx="11">
                  <c:v>1</c:v>
                </c:pt>
                <c:pt idx="12">
                  <c:v>-1</c:v>
                </c:pt>
                <c:pt idx="13">
                  <c:v>-1</c:v>
                </c:pt>
                <c:pt idx="14">
                  <c:v>1</c:v>
                </c:pt>
                <c:pt idx="15">
                  <c:v>1</c:v>
                </c:pt>
              </c:numCache>
            </c:numRef>
          </c:xVal>
          <c:yVal>
            <c:numRef>
              <c:f>DOE!$D$228:$D$243</c:f>
              <c:numCache>
                <c:formatCode>General</c:formatCode>
                <c:ptCount val="16"/>
                <c:pt idx="0">
                  <c:v>-0.18125000000000568</c:v>
                </c:pt>
                <c:pt idx="1">
                  <c:v>1.8750000000011369E-2</c:v>
                </c:pt>
                <c:pt idx="2">
                  <c:v>0.24375000000000568</c:v>
                </c:pt>
                <c:pt idx="3">
                  <c:v>0.41875000000000995</c:v>
                </c:pt>
                <c:pt idx="4">
                  <c:v>8.1249999999997158E-2</c:v>
                </c:pt>
                <c:pt idx="5">
                  <c:v>-0.11874999999999147</c:v>
                </c:pt>
                <c:pt idx="6">
                  <c:v>-0.29374999999999574</c:v>
                </c:pt>
                <c:pt idx="7">
                  <c:v>8.1250000000011369E-2</c:v>
                </c:pt>
                <c:pt idx="8">
                  <c:v>0.41874999999999574</c:v>
                </c:pt>
                <c:pt idx="9">
                  <c:v>-0.38124999999999432</c:v>
                </c:pt>
                <c:pt idx="10">
                  <c:v>-0.35624999999999574</c:v>
                </c:pt>
                <c:pt idx="11">
                  <c:v>-0.18124999999999147</c:v>
                </c:pt>
                <c:pt idx="12">
                  <c:v>-0.31875000000000853</c:v>
                </c:pt>
                <c:pt idx="13">
                  <c:v>0.48125000000000995</c:v>
                </c:pt>
                <c:pt idx="14">
                  <c:v>0.40625000000000711</c:v>
                </c:pt>
                <c:pt idx="15">
                  <c:v>-0.31874999999999432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99A-412D-850D-3479BC9C4E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10990559"/>
        <c:axId val="910984799"/>
      </c:scatterChart>
      <c:valAx>
        <c:axId val="91099055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x2    (Vrstva)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910984799"/>
        <c:crosses val="autoZero"/>
        <c:crossBetween val="midCat"/>
      </c:valAx>
      <c:valAx>
        <c:axId val="910984799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Residuals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910990559"/>
        <c:crosses val="autoZero"/>
        <c:crossBetween val="midCat"/>
      </c:valAx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sk-SK"/>
              <a:t>x3 (Rýchlosť)  Residual Plot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xVal>
            <c:numRef>
              <c:f>DOE!$D$117:$D$132</c:f>
              <c:numCache>
                <c:formatCode>General</c:formatCode>
                <c:ptCount val="16"/>
                <c:pt idx="0">
                  <c:v>-1</c:v>
                </c:pt>
                <c:pt idx="1">
                  <c:v>-1</c:v>
                </c:pt>
                <c:pt idx="2">
                  <c:v>-1</c:v>
                </c:pt>
                <c:pt idx="3">
                  <c:v>-1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-1</c:v>
                </c:pt>
                <c:pt idx="9">
                  <c:v>-1</c:v>
                </c:pt>
                <c:pt idx="10">
                  <c:v>-1</c:v>
                </c:pt>
                <c:pt idx="11">
                  <c:v>-1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</c:numCache>
            </c:numRef>
          </c:xVal>
          <c:yVal>
            <c:numRef>
              <c:f>DOE!$D$228:$D$243</c:f>
              <c:numCache>
                <c:formatCode>General</c:formatCode>
                <c:ptCount val="16"/>
                <c:pt idx="0">
                  <c:v>-0.18125000000000568</c:v>
                </c:pt>
                <c:pt idx="1">
                  <c:v>1.8750000000011369E-2</c:v>
                </c:pt>
                <c:pt idx="2">
                  <c:v>0.24375000000000568</c:v>
                </c:pt>
                <c:pt idx="3">
                  <c:v>0.41875000000000995</c:v>
                </c:pt>
                <c:pt idx="4">
                  <c:v>8.1249999999997158E-2</c:v>
                </c:pt>
                <c:pt idx="5">
                  <c:v>-0.11874999999999147</c:v>
                </c:pt>
                <c:pt idx="6">
                  <c:v>-0.29374999999999574</c:v>
                </c:pt>
                <c:pt idx="7">
                  <c:v>8.1250000000011369E-2</c:v>
                </c:pt>
                <c:pt idx="8">
                  <c:v>0.41874999999999574</c:v>
                </c:pt>
                <c:pt idx="9">
                  <c:v>-0.38124999999999432</c:v>
                </c:pt>
                <c:pt idx="10">
                  <c:v>-0.35624999999999574</c:v>
                </c:pt>
                <c:pt idx="11">
                  <c:v>-0.18124999999999147</c:v>
                </c:pt>
                <c:pt idx="12">
                  <c:v>-0.31875000000000853</c:v>
                </c:pt>
                <c:pt idx="13">
                  <c:v>0.48125000000000995</c:v>
                </c:pt>
                <c:pt idx="14">
                  <c:v>0.40625000000000711</c:v>
                </c:pt>
                <c:pt idx="15">
                  <c:v>-0.31874999999999432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0EB-4898-BEF2-5DBB103DCA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10983359"/>
        <c:axId val="910985759"/>
      </c:scatterChart>
      <c:valAx>
        <c:axId val="91098335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x3 (Rýchlosť)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910985759"/>
        <c:crosses val="autoZero"/>
        <c:crossBetween val="midCat"/>
      </c:valAx>
      <c:valAx>
        <c:axId val="910985759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Residuals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910983359"/>
        <c:crosses val="autoZero"/>
        <c:crossBetween val="midCat"/>
      </c:valAx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sk-SK"/>
              <a:t>x1x2  Residual Plot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xVal>
            <c:numRef>
              <c:f>DOE!$E$117:$E$132</c:f>
              <c:numCache>
                <c:formatCode>General</c:formatCode>
                <c:ptCount val="16"/>
                <c:pt idx="0">
                  <c:v>1</c:v>
                </c:pt>
                <c:pt idx="1">
                  <c:v>-1</c:v>
                </c:pt>
                <c:pt idx="2">
                  <c:v>-1</c:v>
                </c:pt>
                <c:pt idx="3">
                  <c:v>1</c:v>
                </c:pt>
                <c:pt idx="4">
                  <c:v>1</c:v>
                </c:pt>
                <c:pt idx="5">
                  <c:v>-1</c:v>
                </c:pt>
                <c:pt idx="6">
                  <c:v>-1</c:v>
                </c:pt>
                <c:pt idx="7">
                  <c:v>1</c:v>
                </c:pt>
                <c:pt idx="8">
                  <c:v>1</c:v>
                </c:pt>
                <c:pt idx="9">
                  <c:v>-1</c:v>
                </c:pt>
                <c:pt idx="10">
                  <c:v>-1</c:v>
                </c:pt>
                <c:pt idx="11">
                  <c:v>1</c:v>
                </c:pt>
                <c:pt idx="12">
                  <c:v>1</c:v>
                </c:pt>
                <c:pt idx="13">
                  <c:v>-1</c:v>
                </c:pt>
                <c:pt idx="14">
                  <c:v>-1</c:v>
                </c:pt>
                <c:pt idx="15">
                  <c:v>1</c:v>
                </c:pt>
              </c:numCache>
            </c:numRef>
          </c:xVal>
          <c:yVal>
            <c:numRef>
              <c:f>DOE!$D$228:$D$243</c:f>
              <c:numCache>
                <c:formatCode>General</c:formatCode>
                <c:ptCount val="16"/>
                <c:pt idx="0">
                  <c:v>-0.18125000000000568</c:v>
                </c:pt>
                <c:pt idx="1">
                  <c:v>1.8750000000011369E-2</c:v>
                </c:pt>
                <c:pt idx="2">
                  <c:v>0.24375000000000568</c:v>
                </c:pt>
                <c:pt idx="3">
                  <c:v>0.41875000000000995</c:v>
                </c:pt>
                <c:pt idx="4">
                  <c:v>8.1249999999997158E-2</c:v>
                </c:pt>
                <c:pt idx="5">
                  <c:v>-0.11874999999999147</c:v>
                </c:pt>
                <c:pt idx="6">
                  <c:v>-0.29374999999999574</c:v>
                </c:pt>
                <c:pt idx="7">
                  <c:v>8.1250000000011369E-2</c:v>
                </c:pt>
                <c:pt idx="8">
                  <c:v>0.41874999999999574</c:v>
                </c:pt>
                <c:pt idx="9">
                  <c:v>-0.38124999999999432</c:v>
                </c:pt>
                <c:pt idx="10">
                  <c:v>-0.35624999999999574</c:v>
                </c:pt>
                <c:pt idx="11">
                  <c:v>-0.18124999999999147</c:v>
                </c:pt>
                <c:pt idx="12">
                  <c:v>-0.31875000000000853</c:v>
                </c:pt>
                <c:pt idx="13">
                  <c:v>0.48125000000000995</c:v>
                </c:pt>
                <c:pt idx="14">
                  <c:v>0.40625000000000711</c:v>
                </c:pt>
                <c:pt idx="15">
                  <c:v>-0.31874999999999432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4E9-4147-961B-ABA7E65843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10990079"/>
        <c:axId val="910983359"/>
      </c:scatterChart>
      <c:valAx>
        <c:axId val="91099007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x1x2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910983359"/>
        <c:crosses val="autoZero"/>
        <c:crossBetween val="midCat"/>
      </c:valAx>
      <c:valAx>
        <c:axId val="910983359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Residuals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910990079"/>
        <c:crosses val="autoZero"/>
        <c:crossBetween val="midCat"/>
      </c:valAx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sk-SK"/>
              <a:t>x1    (Teplota) Line Fit  Plot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Y Pevnosť</c:v>
          </c:tx>
          <c:spPr>
            <a:ln w="19050">
              <a:noFill/>
            </a:ln>
          </c:spPr>
          <c:xVal>
            <c:numRef>
              <c:f>DOE!$B$117:$B$132</c:f>
              <c:numCache>
                <c:formatCode>General</c:formatCode>
                <c:ptCount val="16"/>
                <c:pt idx="0">
                  <c:v>-1</c:v>
                </c:pt>
                <c:pt idx="1">
                  <c:v>1</c:v>
                </c:pt>
                <c:pt idx="2">
                  <c:v>-1</c:v>
                </c:pt>
                <c:pt idx="3">
                  <c:v>1</c:v>
                </c:pt>
                <c:pt idx="4">
                  <c:v>-1</c:v>
                </c:pt>
                <c:pt idx="5">
                  <c:v>1</c:v>
                </c:pt>
                <c:pt idx="6">
                  <c:v>-1</c:v>
                </c:pt>
                <c:pt idx="7">
                  <c:v>1</c:v>
                </c:pt>
                <c:pt idx="8">
                  <c:v>-1</c:v>
                </c:pt>
                <c:pt idx="9">
                  <c:v>1</c:v>
                </c:pt>
                <c:pt idx="10">
                  <c:v>-1</c:v>
                </c:pt>
                <c:pt idx="11">
                  <c:v>1</c:v>
                </c:pt>
                <c:pt idx="12">
                  <c:v>-1</c:v>
                </c:pt>
                <c:pt idx="13">
                  <c:v>1</c:v>
                </c:pt>
                <c:pt idx="14">
                  <c:v>-1</c:v>
                </c:pt>
                <c:pt idx="15">
                  <c:v>1</c:v>
                </c:pt>
              </c:numCache>
            </c:numRef>
          </c:xVal>
          <c:yVal>
            <c:numRef>
              <c:f>DOE!$F$117:$F$132</c:f>
              <c:numCache>
                <c:formatCode>General</c:formatCode>
                <c:ptCount val="16"/>
                <c:pt idx="0">
                  <c:v>56.5</c:v>
                </c:pt>
                <c:pt idx="1">
                  <c:v>61.2</c:v>
                </c:pt>
                <c:pt idx="2">
                  <c:v>42.5</c:v>
                </c:pt>
                <c:pt idx="3">
                  <c:v>49.1</c:v>
                </c:pt>
                <c:pt idx="4">
                  <c:v>54.2</c:v>
                </c:pt>
                <c:pt idx="5">
                  <c:v>58.5</c:v>
                </c:pt>
                <c:pt idx="6">
                  <c:v>39.4</c:v>
                </c:pt>
                <c:pt idx="7">
                  <c:v>46.2</c:v>
                </c:pt>
                <c:pt idx="8">
                  <c:v>57.1</c:v>
                </c:pt>
                <c:pt idx="9">
                  <c:v>60.8</c:v>
                </c:pt>
                <c:pt idx="10">
                  <c:v>41.9</c:v>
                </c:pt>
                <c:pt idx="11">
                  <c:v>48.5</c:v>
                </c:pt>
                <c:pt idx="12">
                  <c:v>53.8</c:v>
                </c:pt>
                <c:pt idx="13">
                  <c:v>59.1</c:v>
                </c:pt>
                <c:pt idx="14">
                  <c:v>40.1</c:v>
                </c:pt>
                <c:pt idx="15">
                  <c:v>45.8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6FE-4237-B9C1-21B3134E867F}"/>
            </c:ext>
          </c:extLst>
        </c:ser>
        <c:ser>
          <c:idx val="1"/>
          <c:order val="1"/>
          <c:tx>
            <c:v>Predicted Y Pevnosť</c:v>
          </c:tx>
          <c:spPr>
            <a:ln w="19050">
              <a:noFill/>
            </a:ln>
          </c:spPr>
          <c:xVal>
            <c:numRef>
              <c:f>DOE!$B$117:$B$132</c:f>
              <c:numCache>
                <c:formatCode>General</c:formatCode>
                <c:ptCount val="16"/>
                <c:pt idx="0">
                  <c:v>-1</c:v>
                </c:pt>
                <c:pt idx="1">
                  <c:v>1</c:v>
                </c:pt>
                <c:pt idx="2">
                  <c:v>-1</c:v>
                </c:pt>
                <c:pt idx="3">
                  <c:v>1</c:v>
                </c:pt>
                <c:pt idx="4">
                  <c:v>-1</c:v>
                </c:pt>
                <c:pt idx="5">
                  <c:v>1</c:v>
                </c:pt>
                <c:pt idx="6">
                  <c:v>-1</c:v>
                </c:pt>
                <c:pt idx="7">
                  <c:v>1</c:v>
                </c:pt>
                <c:pt idx="8">
                  <c:v>-1</c:v>
                </c:pt>
                <c:pt idx="9">
                  <c:v>1</c:v>
                </c:pt>
                <c:pt idx="10">
                  <c:v>-1</c:v>
                </c:pt>
                <c:pt idx="11">
                  <c:v>1</c:v>
                </c:pt>
                <c:pt idx="12">
                  <c:v>-1</c:v>
                </c:pt>
                <c:pt idx="13">
                  <c:v>1</c:v>
                </c:pt>
                <c:pt idx="14">
                  <c:v>-1</c:v>
                </c:pt>
                <c:pt idx="15">
                  <c:v>1</c:v>
                </c:pt>
              </c:numCache>
            </c:numRef>
          </c:xVal>
          <c:yVal>
            <c:numRef>
              <c:f>DOE!$C$228:$C$243</c:f>
              <c:numCache>
                <c:formatCode>General</c:formatCode>
                <c:ptCount val="16"/>
                <c:pt idx="0">
                  <c:v>56.681250000000006</c:v>
                </c:pt>
                <c:pt idx="1">
                  <c:v>61.181249999999991</c:v>
                </c:pt>
                <c:pt idx="2">
                  <c:v>42.256249999999994</c:v>
                </c:pt>
                <c:pt idx="3">
                  <c:v>48.681249999999991</c:v>
                </c:pt>
                <c:pt idx="4">
                  <c:v>54.118750000000006</c:v>
                </c:pt>
                <c:pt idx="5">
                  <c:v>58.618749999999991</c:v>
                </c:pt>
                <c:pt idx="6">
                  <c:v>39.693749999999994</c:v>
                </c:pt>
                <c:pt idx="7">
                  <c:v>46.118749999999991</c:v>
                </c:pt>
                <c:pt idx="8">
                  <c:v>56.681250000000006</c:v>
                </c:pt>
                <c:pt idx="9">
                  <c:v>61.181249999999991</c:v>
                </c:pt>
                <c:pt idx="10">
                  <c:v>42.256249999999994</c:v>
                </c:pt>
                <c:pt idx="11">
                  <c:v>48.681249999999991</c:v>
                </c:pt>
                <c:pt idx="12">
                  <c:v>54.118750000000006</c:v>
                </c:pt>
                <c:pt idx="13">
                  <c:v>58.618749999999991</c:v>
                </c:pt>
                <c:pt idx="14">
                  <c:v>39.693749999999994</c:v>
                </c:pt>
                <c:pt idx="15">
                  <c:v>46.118749999999991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6FE-4237-B9C1-21B3134E86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2351"/>
        <c:axId val="198409631"/>
      </c:scatterChart>
      <c:valAx>
        <c:axId val="19839235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x1    (Teplota)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98409631"/>
        <c:crosses val="autoZero"/>
        <c:crossBetween val="midCat"/>
      </c:valAx>
      <c:valAx>
        <c:axId val="19840963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Y Pevnosť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98392351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sk-SK"/>
              <a:t>x2    (Vrstva) Line Fit  Plot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Y Pevnosť</c:v>
          </c:tx>
          <c:spPr>
            <a:ln w="19050">
              <a:noFill/>
            </a:ln>
          </c:spPr>
          <c:xVal>
            <c:numRef>
              <c:f>DOE!$C$117:$C$132</c:f>
              <c:numCache>
                <c:formatCode>General</c:formatCode>
                <c:ptCount val="16"/>
                <c:pt idx="0">
                  <c:v>-1</c:v>
                </c:pt>
                <c:pt idx="1">
                  <c:v>-1</c:v>
                </c:pt>
                <c:pt idx="2">
                  <c:v>1</c:v>
                </c:pt>
                <c:pt idx="3">
                  <c:v>1</c:v>
                </c:pt>
                <c:pt idx="4">
                  <c:v>-1</c:v>
                </c:pt>
                <c:pt idx="5">
                  <c:v>-1</c:v>
                </c:pt>
                <c:pt idx="6">
                  <c:v>1</c:v>
                </c:pt>
                <c:pt idx="7">
                  <c:v>1</c:v>
                </c:pt>
                <c:pt idx="8">
                  <c:v>-1</c:v>
                </c:pt>
                <c:pt idx="9">
                  <c:v>-1</c:v>
                </c:pt>
                <c:pt idx="10">
                  <c:v>1</c:v>
                </c:pt>
                <c:pt idx="11">
                  <c:v>1</c:v>
                </c:pt>
                <c:pt idx="12">
                  <c:v>-1</c:v>
                </c:pt>
                <c:pt idx="13">
                  <c:v>-1</c:v>
                </c:pt>
                <c:pt idx="14">
                  <c:v>1</c:v>
                </c:pt>
                <c:pt idx="15">
                  <c:v>1</c:v>
                </c:pt>
              </c:numCache>
            </c:numRef>
          </c:xVal>
          <c:yVal>
            <c:numRef>
              <c:f>DOE!$F$117:$F$132</c:f>
              <c:numCache>
                <c:formatCode>General</c:formatCode>
                <c:ptCount val="16"/>
                <c:pt idx="0">
                  <c:v>56.5</c:v>
                </c:pt>
                <c:pt idx="1">
                  <c:v>61.2</c:v>
                </c:pt>
                <c:pt idx="2">
                  <c:v>42.5</c:v>
                </c:pt>
                <c:pt idx="3">
                  <c:v>49.1</c:v>
                </c:pt>
                <c:pt idx="4">
                  <c:v>54.2</c:v>
                </c:pt>
                <c:pt idx="5">
                  <c:v>58.5</c:v>
                </c:pt>
                <c:pt idx="6">
                  <c:v>39.4</c:v>
                </c:pt>
                <c:pt idx="7">
                  <c:v>46.2</c:v>
                </c:pt>
                <c:pt idx="8">
                  <c:v>57.1</c:v>
                </c:pt>
                <c:pt idx="9">
                  <c:v>60.8</c:v>
                </c:pt>
                <c:pt idx="10">
                  <c:v>41.9</c:v>
                </c:pt>
                <c:pt idx="11">
                  <c:v>48.5</c:v>
                </c:pt>
                <c:pt idx="12">
                  <c:v>53.8</c:v>
                </c:pt>
                <c:pt idx="13">
                  <c:v>59.1</c:v>
                </c:pt>
                <c:pt idx="14">
                  <c:v>40.1</c:v>
                </c:pt>
                <c:pt idx="15">
                  <c:v>45.8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F53-4D3A-85D0-98282DB7DAE6}"/>
            </c:ext>
          </c:extLst>
        </c:ser>
        <c:ser>
          <c:idx val="1"/>
          <c:order val="1"/>
          <c:tx>
            <c:v>Predicted Y Pevnosť</c:v>
          </c:tx>
          <c:spPr>
            <a:ln w="19050">
              <a:noFill/>
            </a:ln>
          </c:spPr>
          <c:xVal>
            <c:numRef>
              <c:f>DOE!$C$117:$C$132</c:f>
              <c:numCache>
                <c:formatCode>General</c:formatCode>
                <c:ptCount val="16"/>
                <c:pt idx="0">
                  <c:v>-1</c:v>
                </c:pt>
                <c:pt idx="1">
                  <c:v>-1</c:v>
                </c:pt>
                <c:pt idx="2">
                  <c:v>1</c:v>
                </c:pt>
                <c:pt idx="3">
                  <c:v>1</c:v>
                </c:pt>
                <c:pt idx="4">
                  <c:v>-1</c:v>
                </c:pt>
                <c:pt idx="5">
                  <c:v>-1</c:v>
                </c:pt>
                <c:pt idx="6">
                  <c:v>1</c:v>
                </c:pt>
                <c:pt idx="7">
                  <c:v>1</c:v>
                </c:pt>
                <c:pt idx="8">
                  <c:v>-1</c:v>
                </c:pt>
                <c:pt idx="9">
                  <c:v>-1</c:v>
                </c:pt>
                <c:pt idx="10">
                  <c:v>1</c:v>
                </c:pt>
                <c:pt idx="11">
                  <c:v>1</c:v>
                </c:pt>
                <c:pt idx="12">
                  <c:v>-1</c:v>
                </c:pt>
                <c:pt idx="13">
                  <c:v>-1</c:v>
                </c:pt>
                <c:pt idx="14">
                  <c:v>1</c:v>
                </c:pt>
                <c:pt idx="15">
                  <c:v>1</c:v>
                </c:pt>
              </c:numCache>
            </c:numRef>
          </c:xVal>
          <c:yVal>
            <c:numRef>
              <c:f>DOE!$C$228:$C$243</c:f>
              <c:numCache>
                <c:formatCode>General</c:formatCode>
                <c:ptCount val="16"/>
                <c:pt idx="0">
                  <c:v>56.681250000000006</c:v>
                </c:pt>
                <c:pt idx="1">
                  <c:v>61.181249999999991</c:v>
                </c:pt>
                <c:pt idx="2">
                  <c:v>42.256249999999994</c:v>
                </c:pt>
                <c:pt idx="3">
                  <c:v>48.681249999999991</c:v>
                </c:pt>
                <c:pt idx="4">
                  <c:v>54.118750000000006</c:v>
                </c:pt>
                <c:pt idx="5">
                  <c:v>58.618749999999991</c:v>
                </c:pt>
                <c:pt idx="6">
                  <c:v>39.693749999999994</c:v>
                </c:pt>
                <c:pt idx="7">
                  <c:v>46.118749999999991</c:v>
                </c:pt>
                <c:pt idx="8">
                  <c:v>56.681250000000006</c:v>
                </c:pt>
                <c:pt idx="9">
                  <c:v>61.181249999999991</c:v>
                </c:pt>
                <c:pt idx="10">
                  <c:v>42.256249999999994</c:v>
                </c:pt>
                <c:pt idx="11">
                  <c:v>48.681249999999991</c:v>
                </c:pt>
                <c:pt idx="12">
                  <c:v>54.118750000000006</c:v>
                </c:pt>
                <c:pt idx="13">
                  <c:v>58.618749999999991</c:v>
                </c:pt>
                <c:pt idx="14">
                  <c:v>39.693749999999994</c:v>
                </c:pt>
                <c:pt idx="15">
                  <c:v>46.118749999999991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F53-4D3A-85D0-98282DB7DA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86069391"/>
        <c:axId val="886079471"/>
      </c:scatterChart>
      <c:valAx>
        <c:axId val="88606939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x2    (Vrstva)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886079471"/>
        <c:crosses val="autoZero"/>
        <c:crossBetween val="midCat"/>
      </c:valAx>
      <c:valAx>
        <c:axId val="88607947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Y Pevnosť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886069391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sk-SK"/>
              <a:t>x3 (Rýchlosť) Line Fit  Plot</a:t>
            </a:r>
          </a:p>
        </c:rich>
      </c:tx>
      <c:layout>
        <c:manualLayout>
          <c:xMode val="edge"/>
          <c:yMode val="edge"/>
          <c:x val="0.14068952205192706"/>
          <c:y val="4.157806773296404E-2"/>
        </c:manualLayout>
      </c:layout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Y Pevnosť</c:v>
          </c:tx>
          <c:spPr>
            <a:ln w="19050">
              <a:noFill/>
            </a:ln>
          </c:spPr>
          <c:xVal>
            <c:numRef>
              <c:f>DOE!$D$117:$D$132</c:f>
              <c:numCache>
                <c:formatCode>General</c:formatCode>
                <c:ptCount val="16"/>
                <c:pt idx="0">
                  <c:v>-1</c:v>
                </c:pt>
                <c:pt idx="1">
                  <c:v>-1</c:v>
                </c:pt>
                <c:pt idx="2">
                  <c:v>-1</c:v>
                </c:pt>
                <c:pt idx="3">
                  <c:v>-1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-1</c:v>
                </c:pt>
                <c:pt idx="9">
                  <c:v>-1</c:v>
                </c:pt>
                <c:pt idx="10">
                  <c:v>-1</c:v>
                </c:pt>
                <c:pt idx="11">
                  <c:v>-1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</c:numCache>
            </c:numRef>
          </c:xVal>
          <c:yVal>
            <c:numRef>
              <c:f>DOE!$F$117:$F$132</c:f>
              <c:numCache>
                <c:formatCode>General</c:formatCode>
                <c:ptCount val="16"/>
                <c:pt idx="0">
                  <c:v>56.5</c:v>
                </c:pt>
                <c:pt idx="1">
                  <c:v>61.2</c:v>
                </c:pt>
                <c:pt idx="2">
                  <c:v>42.5</c:v>
                </c:pt>
                <c:pt idx="3">
                  <c:v>49.1</c:v>
                </c:pt>
                <c:pt idx="4">
                  <c:v>54.2</c:v>
                </c:pt>
                <c:pt idx="5">
                  <c:v>58.5</c:v>
                </c:pt>
                <c:pt idx="6">
                  <c:v>39.4</c:v>
                </c:pt>
                <c:pt idx="7">
                  <c:v>46.2</c:v>
                </c:pt>
                <c:pt idx="8">
                  <c:v>57.1</c:v>
                </c:pt>
                <c:pt idx="9">
                  <c:v>60.8</c:v>
                </c:pt>
                <c:pt idx="10">
                  <c:v>41.9</c:v>
                </c:pt>
                <c:pt idx="11">
                  <c:v>48.5</c:v>
                </c:pt>
                <c:pt idx="12">
                  <c:v>53.8</c:v>
                </c:pt>
                <c:pt idx="13">
                  <c:v>59.1</c:v>
                </c:pt>
                <c:pt idx="14">
                  <c:v>40.1</c:v>
                </c:pt>
                <c:pt idx="15">
                  <c:v>45.8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86E-4006-AB99-8B9F992A6515}"/>
            </c:ext>
          </c:extLst>
        </c:ser>
        <c:ser>
          <c:idx val="1"/>
          <c:order val="1"/>
          <c:tx>
            <c:v>Predicted Y Pevnosť</c:v>
          </c:tx>
          <c:spPr>
            <a:ln w="19050">
              <a:noFill/>
            </a:ln>
          </c:spPr>
          <c:xVal>
            <c:numRef>
              <c:f>DOE!$D$117:$D$132</c:f>
              <c:numCache>
                <c:formatCode>General</c:formatCode>
                <c:ptCount val="16"/>
                <c:pt idx="0">
                  <c:v>-1</c:v>
                </c:pt>
                <c:pt idx="1">
                  <c:v>-1</c:v>
                </c:pt>
                <c:pt idx="2">
                  <c:v>-1</c:v>
                </c:pt>
                <c:pt idx="3">
                  <c:v>-1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-1</c:v>
                </c:pt>
                <c:pt idx="9">
                  <c:v>-1</c:v>
                </c:pt>
                <c:pt idx="10">
                  <c:v>-1</c:v>
                </c:pt>
                <c:pt idx="11">
                  <c:v>-1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</c:numCache>
            </c:numRef>
          </c:xVal>
          <c:yVal>
            <c:numRef>
              <c:f>DOE!$C$228:$C$243</c:f>
              <c:numCache>
                <c:formatCode>General</c:formatCode>
                <c:ptCount val="16"/>
                <c:pt idx="0">
                  <c:v>56.681250000000006</c:v>
                </c:pt>
                <c:pt idx="1">
                  <c:v>61.181249999999991</c:v>
                </c:pt>
                <c:pt idx="2">
                  <c:v>42.256249999999994</c:v>
                </c:pt>
                <c:pt idx="3">
                  <c:v>48.681249999999991</c:v>
                </c:pt>
                <c:pt idx="4">
                  <c:v>54.118750000000006</c:v>
                </c:pt>
                <c:pt idx="5">
                  <c:v>58.618749999999991</c:v>
                </c:pt>
                <c:pt idx="6">
                  <c:v>39.693749999999994</c:v>
                </c:pt>
                <c:pt idx="7">
                  <c:v>46.118749999999991</c:v>
                </c:pt>
                <c:pt idx="8">
                  <c:v>56.681250000000006</c:v>
                </c:pt>
                <c:pt idx="9">
                  <c:v>61.181249999999991</c:v>
                </c:pt>
                <c:pt idx="10">
                  <c:v>42.256249999999994</c:v>
                </c:pt>
                <c:pt idx="11">
                  <c:v>48.681249999999991</c:v>
                </c:pt>
                <c:pt idx="12">
                  <c:v>54.118750000000006</c:v>
                </c:pt>
                <c:pt idx="13">
                  <c:v>58.618749999999991</c:v>
                </c:pt>
                <c:pt idx="14">
                  <c:v>39.693749999999994</c:v>
                </c:pt>
                <c:pt idx="15">
                  <c:v>46.118749999999991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86E-4006-AB99-8B9F992A65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95567456"/>
        <c:axId val="1095568416"/>
      </c:scatterChart>
      <c:valAx>
        <c:axId val="10955674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x3 (Rýchlosť)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095568416"/>
        <c:crosses val="autoZero"/>
        <c:crossBetween val="midCat"/>
      </c:valAx>
      <c:valAx>
        <c:axId val="109556841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Y Pevnosť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095567456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sk-SK"/>
              <a:t>x1x2 Line Fit  Plot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Y Pevnosť</c:v>
          </c:tx>
          <c:spPr>
            <a:ln w="19050">
              <a:noFill/>
            </a:ln>
          </c:spPr>
          <c:xVal>
            <c:numRef>
              <c:f>DOE!$E$117:$E$132</c:f>
              <c:numCache>
                <c:formatCode>General</c:formatCode>
                <c:ptCount val="16"/>
                <c:pt idx="0">
                  <c:v>1</c:v>
                </c:pt>
                <c:pt idx="1">
                  <c:v>-1</c:v>
                </c:pt>
                <c:pt idx="2">
                  <c:v>-1</c:v>
                </c:pt>
                <c:pt idx="3">
                  <c:v>1</c:v>
                </c:pt>
                <c:pt idx="4">
                  <c:v>1</c:v>
                </c:pt>
                <c:pt idx="5">
                  <c:v>-1</c:v>
                </c:pt>
                <c:pt idx="6">
                  <c:v>-1</c:v>
                </c:pt>
                <c:pt idx="7">
                  <c:v>1</c:v>
                </c:pt>
                <c:pt idx="8">
                  <c:v>1</c:v>
                </c:pt>
                <c:pt idx="9">
                  <c:v>-1</c:v>
                </c:pt>
                <c:pt idx="10">
                  <c:v>-1</c:v>
                </c:pt>
                <c:pt idx="11">
                  <c:v>1</c:v>
                </c:pt>
                <c:pt idx="12">
                  <c:v>1</c:v>
                </c:pt>
                <c:pt idx="13">
                  <c:v>-1</c:v>
                </c:pt>
                <c:pt idx="14">
                  <c:v>-1</c:v>
                </c:pt>
                <c:pt idx="15">
                  <c:v>1</c:v>
                </c:pt>
              </c:numCache>
            </c:numRef>
          </c:xVal>
          <c:yVal>
            <c:numRef>
              <c:f>DOE!$F$117:$F$132</c:f>
              <c:numCache>
                <c:formatCode>General</c:formatCode>
                <c:ptCount val="16"/>
                <c:pt idx="0">
                  <c:v>56.5</c:v>
                </c:pt>
                <c:pt idx="1">
                  <c:v>61.2</c:v>
                </c:pt>
                <c:pt idx="2">
                  <c:v>42.5</c:v>
                </c:pt>
                <c:pt idx="3">
                  <c:v>49.1</c:v>
                </c:pt>
                <c:pt idx="4">
                  <c:v>54.2</c:v>
                </c:pt>
                <c:pt idx="5">
                  <c:v>58.5</c:v>
                </c:pt>
                <c:pt idx="6">
                  <c:v>39.4</c:v>
                </c:pt>
                <c:pt idx="7">
                  <c:v>46.2</c:v>
                </c:pt>
                <c:pt idx="8">
                  <c:v>57.1</c:v>
                </c:pt>
                <c:pt idx="9">
                  <c:v>60.8</c:v>
                </c:pt>
                <c:pt idx="10">
                  <c:v>41.9</c:v>
                </c:pt>
                <c:pt idx="11">
                  <c:v>48.5</c:v>
                </c:pt>
                <c:pt idx="12">
                  <c:v>53.8</c:v>
                </c:pt>
                <c:pt idx="13">
                  <c:v>59.1</c:v>
                </c:pt>
                <c:pt idx="14">
                  <c:v>40.1</c:v>
                </c:pt>
                <c:pt idx="15">
                  <c:v>45.8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5F4-4A0D-9F13-B8F05ABCC326}"/>
            </c:ext>
          </c:extLst>
        </c:ser>
        <c:ser>
          <c:idx val="1"/>
          <c:order val="1"/>
          <c:tx>
            <c:v>Predicted Y Pevnosť</c:v>
          </c:tx>
          <c:spPr>
            <a:ln w="19050">
              <a:noFill/>
            </a:ln>
          </c:spPr>
          <c:xVal>
            <c:numRef>
              <c:f>DOE!$E$117:$E$132</c:f>
              <c:numCache>
                <c:formatCode>General</c:formatCode>
                <c:ptCount val="16"/>
                <c:pt idx="0">
                  <c:v>1</c:v>
                </c:pt>
                <c:pt idx="1">
                  <c:v>-1</c:v>
                </c:pt>
                <c:pt idx="2">
                  <c:v>-1</c:v>
                </c:pt>
                <c:pt idx="3">
                  <c:v>1</c:v>
                </c:pt>
                <c:pt idx="4">
                  <c:v>1</c:v>
                </c:pt>
                <c:pt idx="5">
                  <c:v>-1</c:v>
                </c:pt>
                <c:pt idx="6">
                  <c:v>-1</c:v>
                </c:pt>
                <c:pt idx="7">
                  <c:v>1</c:v>
                </c:pt>
                <c:pt idx="8">
                  <c:v>1</c:v>
                </c:pt>
                <c:pt idx="9">
                  <c:v>-1</c:v>
                </c:pt>
                <c:pt idx="10">
                  <c:v>-1</c:v>
                </c:pt>
                <c:pt idx="11">
                  <c:v>1</c:v>
                </c:pt>
                <c:pt idx="12">
                  <c:v>1</c:v>
                </c:pt>
                <c:pt idx="13">
                  <c:v>-1</c:v>
                </c:pt>
                <c:pt idx="14">
                  <c:v>-1</c:v>
                </c:pt>
                <c:pt idx="15">
                  <c:v>1</c:v>
                </c:pt>
              </c:numCache>
            </c:numRef>
          </c:xVal>
          <c:yVal>
            <c:numRef>
              <c:f>DOE!$C$228:$C$243</c:f>
              <c:numCache>
                <c:formatCode>General</c:formatCode>
                <c:ptCount val="16"/>
                <c:pt idx="0">
                  <c:v>56.681250000000006</c:v>
                </c:pt>
                <c:pt idx="1">
                  <c:v>61.181249999999991</c:v>
                </c:pt>
                <c:pt idx="2">
                  <c:v>42.256249999999994</c:v>
                </c:pt>
                <c:pt idx="3">
                  <c:v>48.681249999999991</c:v>
                </c:pt>
                <c:pt idx="4">
                  <c:v>54.118750000000006</c:v>
                </c:pt>
                <c:pt idx="5">
                  <c:v>58.618749999999991</c:v>
                </c:pt>
                <c:pt idx="6">
                  <c:v>39.693749999999994</c:v>
                </c:pt>
                <c:pt idx="7">
                  <c:v>46.118749999999991</c:v>
                </c:pt>
                <c:pt idx="8">
                  <c:v>56.681250000000006</c:v>
                </c:pt>
                <c:pt idx="9">
                  <c:v>61.181249999999991</c:v>
                </c:pt>
                <c:pt idx="10">
                  <c:v>42.256249999999994</c:v>
                </c:pt>
                <c:pt idx="11">
                  <c:v>48.681249999999991</c:v>
                </c:pt>
                <c:pt idx="12">
                  <c:v>54.118750000000006</c:v>
                </c:pt>
                <c:pt idx="13">
                  <c:v>58.618749999999991</c:v>
                </c:pt>
                <c:pt idx="14">
                  <c:v>39.693749999999994</c:v>
                </c:pt>
                <c:pt idx="15">
                  <c:v>46.118749999999991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5F4-4A0D-9F13-B8F05ABCC3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412031"/>
        <c:axId val="198416831"/>
      </c:scatterChart>
      <c:valAx>
        <c:axId val="19841203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x1x2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98416831"/>
        <c:crosses val="autoZero"/>
        <c:crossBetween val="midCat"/>
      </c:valAx>
      <c:valAx>
        <c:axId val="19841683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Y Pevnosť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98412031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sk-SK"/>
              <a:t>Normal Probability Plot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xVal>
            <c:numRef>
              <c:f>DOE!$G$228:$G$243</c:f>
              <c:numCache>
                <c:formatCode>General</c:formatCode>
                <c:ptCount val="16"/>
                <c:pt idx="0">
                  <c:v>3.125</c:v>
                </c:pt>
                <c:pt idx="1">
                  <c:v>9.375</c:v>
                </c:pt>
                <c:pt idx="2">
                  <c:v>15.625</c:v>
                </c:pt>
                <c:pt idx="3">
                  <c:v>21.875</c:v>
                </c:pt>
                <c:pt idx="4">
                  <c:v>28.125</c:v>
                </c:pt>
                <c:pt idx="5">
                  <c:v>34.375</c:v>
                </c:pt>
                <c:pt idx="6">
                  <c:v>40.625</c:v>
                </c:pt>
                <c:pt idx="7">
                  <c:v>46.875</c:v>
                </c:pt>
                <c:pt idx="8">
                  <c:v>53.125</c:v>
                </c:pt>
                <c:pt idx="9">
                  <c:v>59.375</c:v>
                </c:pt>
                <c:pt idx="10">
                  <c:v>65.625</c:v>
                </c:pt>
                <c:pt idx="11">
                  <c:v>71.875</c:v>
                </c:pt>
                <c:pt idx="12">
                  <c:v>78.125</c:v>
                </c:pt>
                <c:pt idx="13">
                  <c:v>84.375</c:v>
                </c:pt>
                <c:pt idx="14">
                  <c:v>90.625</c:v>
                </c:pt>
                <c:pt idx="15">
                  <c:v>96.875</c:v>
                </c:pt>
              </c:numCache>
            </c:numRef>
          </c:xVal>
          <c:yVal>
            <c:numRef>
              <c:f>DOE!$H$228:$H$243</c:f>
              <c:numCache>
                <c:formatCode>General</c:formatCode>
                <c:ptCount val="16"/>
                <c:pt idx="0">
                  <c:v>39.4</c:v>
                </c:pt>
                <c:pt idx="1">
                  <c:v>40.1</c:v>
                </c:pt>
                <c:pt idx="2">
                  <c:v>41.9</c:v>
                </c:pt>
                <c:pt idx="3">
                  <c:v>42.5</c:v>
                </c:pt>
                <c:pt idx="4">
                  <c:v>45.8</c:v>
                </c:pt>
                <c:pt idx="5">
                  <c:v>46.2</c:v>
                </c:pt>
                <c:pt idx="6">
                  <c:v>48.5</c:v>
                </c:pt>
                <c:pt idx="7">
                  <c:v>49.1</c:v>
                </c:pt>
                <c:pt idx="8">
                  <c:v>53.8</c:v>
                </c:pt>
                <c:pt idx="9">
                  <c:v>54.2</c:v>
                </c:pt>
                <c:pt idx="10">
                  <c:v>56.5</c:v>
                </c:pt>
                <c:pt idx="11">
                  <c:v>57.1</c:v>
                </c:pt>
                <c:pt idx="12">
                  <c:v>58.5</c:v>
                </c:pt>
                <c:pt idx="13">
                  <c:v>59.1</c:v>
                </c:pt>
                <c:pt idx="14">
                  <c:v>60.8</c:v>
                </c:pt>
                <c:pt idx="15">
                  <c:v>61.2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404-4C79-A6F3-A28B4D7F17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417791"/>
        <c:axId val="198412511"/>
      </c:scatterChart>
      <c:valAx>
        <c:axId val="19841779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Sample Percentile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98412511"/>
        <c:crosses val="autoZero"/>
        <c:crossBetween val="midCat"/>
      </c:valAx>
      <c:valAx>
        <c:axId val="19841251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Y Pevnosť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98417791"/>
        <c:crosses val="autoZero"/>
        <c:crossBetween val="midCat"/>
      </c:valAx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2"/>
    <cs:fontRef idx="minor">
      <a:schemeClr val="tx2"/>
    </cs:fontRef>
    <cs:spPr>
      <a:ln w="9525">
        <a:solidFill>
          <a:schemeClr val="phClr"/>
        </a:solidFill>
        <a:round/>
      </a:ln>
    </cs:spPr>
  </cs:dataPointMarker>
  <cs:dataPointMarkerLayout symbol="circle" size="5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spPr>
      <a:ln>
        <a:solidFill>
          <a:schemeClr val="tx2">
            <a:lumMod val="40000"/>
            <a:lumOff val="6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4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2"/>
    <cs:fontRef idx="minor">
      <a:schemeClr val="tx2"/>
    </cs:fontRef>
    <cs:spPr>
      <a:ln w="9525">
        <a:solidFill>
          <a:schemeClr val="phClr"/>
        </a:solidFill>
        <a:round/>
      </a:ln>
    </cs:spPr>
  </cs:dataPointMarker>
  <cs:dataPointMarkerLayout symbol="circle" size="5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spPr>
      <a:ln>
        <a:solidFill>
          <a:schemeClr val="tx2">
            <a:lumMod val="40000"/>
            <a:lumOff val="6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4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2"/>
    <cs:fontRef idx="minor">
      <a:schemeClr val="tx2"/>
    </cs:fontRef>
    <cs:spPr>
      <a:ln w="9525">
        <a:solidFill>
          <a:schemeClr val="phClr"/>
        </a:solidFill>
        <a:round/>
      </a:ln>
    </cs:spPr>
  </cs:dataPointMarker>
  <cs:dataPointMarkerLayout symbol="circle" size="5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spPr>
      <a:ln>
        <a:solidFill>
          <a:schemeClr val="tx2">
            <a:lumMod val="40000"/>
            <a:lumOff val="6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11906</xdr:colOff>
      <xdr:row>78</xdr:row>
      <xdr:rowOff>148828</xdr:rowOff>
    </xdr:from>
    <xdr:to>
      <xdr:col>16</xdr:col>
      <xdr:colOff>83343</xdr:colOff>
      <xdr:row>84</xdr:row>
      <xdr:rowOff>154781</xdr:rowOff>
    </xdr:to>
    <xdr:sp macro="" textlink="">
      <xdr:nvSpPr>
        <xdr:cNvPr id="2" name="Obdĺžnik 1">
          <a:extLst>
            <a:ext uri="{FF2B5EF4-FFF2-40B4-BE49-F238E27FC236}">
              <a16:creationId xmlns:a16="http://schemas.microsoft.com/office/drawing/2014/main" id="{9104D703-366F-4D41-A297-01DDCA7520BD}"/>
            </a:ext>
          </a:extLst>
        </xdr:cNvPr>
        <xdr:cNvSpPr/>
      </xdr:nvSpPr>
      <xdr:spPr>
        <a:xfrm>
          <a:off x="11327606" y="5759053"/>
          <a:ext cx="1366837" cy="1091803"/>
        </a:xfrm>
        <a:prstGeom prst="rect">
          <a:avLst/>
        </a:prstGeom>
        <a:noFill/>
        <a:ln w="28575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  <xdr:twoCellAnchor>
    <xdr:from>
      <xdr:col>14</xdr:col>
      <xdr:colOff>464344</xdr:colOff>
      <xdr:row>77</xdr:row>
      <xdr:rowOff>41673</xdr:rowOff>
    </xdr:from>
    <xdr:to>
      <xdr:col>16</xdr:col>
      <xdr:colOff>535781</xdr:colOff>
      <xdr:row>83</xdr:row>
      <xdr:rowOff>47626</xdr:rowOff>
    </xdr:to>
    <xdr:sp macro="" textlink="">
      <xdr:nvSpPr>
        <xdr:cNvPr id="3" name="Obdĺžnik 2">
          <a:extLst>
            <a:ext uri="{FF2B5EF4-FFF2-40B4-BE49-F238E27FC236}">
              <a16:creationId xmlns:a16="http://schemas.microsoft.com/office/drawing/2014/main" id="{23D87E4F-D6BD-4D39-9069-EE582E888286}"/>
            </a:ext>
          </a:extLst>
        </xdr:cNvPr>
        <xdr:cNvSpPr/>
      </xdr:nvSpPr>
      <xdr:spPr>
        <a:xfrm>
          <a:off x="11780044" y="5470923"/>
          <a:ext cx="1366837" cy="1091803"/>
        </a:xfrm>
        <a:prstGeom prst="rect">
          <a:avLst/>
        </a:prstGeom>
        <a:noFill/>
        <a:ln w="28575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  <xdr:twoCellAnchor>
    <xdr:from>
      <xdr:col>14</xdr:col>
      <xdr:colOff>0</xdr:colOff>
      <xdr:row>77</xdr:row>
      <xdr:rowOff>41672</xdr:rowOff>
    </xdr:from>
    <xdr:to>
      <xdr:col>14</xdr:col>
      <xdr:colOff>458391</xdr:colOff>
      <xdr:row>78</xdr:row>
      <xdr:rowOff>142875</xdr:rowOff>
    </xdr:to>
    <xdr:cxnSp macro="">
      <xdr:nvCxnSpPr>
        <xdr:cNvPr id="4" name="Rovná spojnica 3">
          <a:extLst>
            <a:ext uri="{FF2B5EF4-FFF2-40B4-BE49-F238E27FC236}">
              <a16:creationId xmlns:a16="http://schemas.microsoft.com/office/drawing/2014/main" id="{B130F471-5DF5-40BF-A154-AC6CADB15EC9}"/>
            </a:ext>
          </a:extLst>
        </xdr:cNvPr>
        <xdr:cNvCxnSpPr/>
      </xdr:nvCxnSpPr>
      <xdr:spPr>
        <a:xfrm flipV="1">
          <a:off x="11315700" y="5470922"/>
          <a:ext cx="458391" cy="282178"/>
        </a:xfrm>
        <a:prstGeom prst="line">
          <a:avLst/>
        </a:prstGeom>
        <a:ln w="28575"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69056</xdr:colOff>
      <xdr:row>77</xdr:row>
      <xdr:rowOff>51197</xdr:rowOff>
    </xdr:from>
    <xdr:to>
      <xdr:col>16</xdr:col>
      <xdr:colOff>527447</xdr:colOff>
      <xdr:row>78</xdr:row>
      <xdr:rowOff>152400</xdr:rowOff>
    </xdr:to>
    <xdr:cxnSp macro="">
      <xdr:nvCxnSpPr>
        <xdr:cNvPr id="5" name="Rovná spojnica 4">
          <a:extLst>
            <a:ext uri="{FF2B5EF4-FFF2-40B4-BE49-F238E27FC236}">
              <a16:creationId xmlns:a16="http://schemas.microsoft.com/office/drawing/2014/main" id="{C8495A55-DC83-493C-AC4F-3F9B5B2756D2}"/>
            </a:ext>
          </a:extLst>
        </xdr:cNvPr>
        <xdr:cNvCxnSpPr/>
      </xdr:nvCxnSpPr>
      <xdr:spPr>
        <a:xfrm flipV="1">
          <a:off x="12680156" y="5480447"/>
          <a:ext cx="458391" cy="282178"/>
        </a:xfrm>
        <a:prstGeom prst="line">
          <a:avLst/>
        </a:prstGeom>
        <a:ln w="28575"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71438</xdr:colOff>
      <xdr:row>83</xdr:row>
      <xdr:rowOff>47625</xdr:rowOff>
    </xdr:from>
    <xdr:to>
      <xdr:col>16</xdr:col>
      <xdr:colOff>529829</xdr:colOff>
      <xdr:row>84</xdr:row>
      <xdr:rowOff>148828</xdr:rowOff>
    </xdr:to>
    <xdr:cxnSp macro="">
      <xdr:nvCxnSpPr>
        <xdr:cNvPr id="6" name="Rovná spojnica 5">
          <a:extLst>
            <a:ext uri="{FF2B5EF4-FFF2-40B4-BE49-F238E27FC236}">
              <a16:creationId xmlns:a16="http://schemas.microsoft.com/office/drawing/2014/main" id="{BC6A2C4B-4664-41BE-A6FD-C1FB78938819}"/>
            </a:ext>
          </a:extLst>
        </xdr:cNvPr>
        <xdr:cNvCxnSpPr/>
      </xdr:nvCxnSpPr>
      <xdr:spPr>
        <a:xfrm flipV="1">
          <a:off x="12682538" y="6562725"/>
          <a:ext cx="458391" cy="282178"/>
        </a:xfrm>
        <a:prstGeom prst="line">
          <a:avLst/>
        </a:prstGeom>
        <a:ln w="28575"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17860</xdr:colOff>
      <xdr:row>83</xdr:row>
      <xdr:rowOff>29766</xdr:rowOff>
    </xdr:from>
    <xdr:to>
      <xdr:col>14</xdr:col>
      <xdr:colOff>476251</xdr:colOff>
      <xdr:row>84</xdr:row>
      <xdr:rowOff>130969</xdr:rowOff>
    </xdr:to>
    <xdr:cxnSp macro="">
      <xdr:nvCxnSpPr>
        <xdr:cNvPr id="7" name="Rovná spojnica 6">
          <a:extLst>
            <a:ext uri="{FF2B5EF4-FFF2-40B4-BE49-F238E27FC236}">
              <a16:creationId xmlns:a16="http://schemas.microsoft.com/office/drawing/2014/main" id="{11C42F0C-3AD1-4AE4-B9B7-B860B6431EA0}"/>
            </a:ext>
          </a:extLst>
        </xdr:cNvPr>
        <xdr:cNvCxnSpPr/>
      </xdr:nvCxnSpPr>
      <xdr:spPr>
        <a:xfrm flipV="1">
          <a:off x="11333560" y="6544866"/>
          <a:ext cx="458391" cy="282178"/>
        </a:xfrm>
        <a:prstGeom prst="line">
          <a:avLst/>
        </a:prstGeom>
        <a:ln w="28575"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321468</xdr:colOff>
      <xdr:row>85</xdr:row>
      <xdr:rowOff>184547</xdr:rowOff>
    </xdr:from>
    <xdr:to>
      <xdr:col>15</xdr:col>
      <xdr:colOff>523874</xdr:colOff>
      <xdr:row>86</xdr:row>
      <xdr:rowOff>5954</xdr:rowOff>
    </xdr:to>
    <xdr:cxnSp macro="">
      <xdr:nvCxnSpPr>
        <xdr:cNvPr id="8" name="Rovná spojovacia šípka 7">
          <a:extLst>
            <a:ext uri="{FF2B5EF4-FFF2-40B4-BE49-F238E27FC236}">
              <a16:creationId xmlns:a16="http://schemas.microsoft.com/office/drawing/2014/main" id="{A234CCD2-2045-4E84-9127-E74BBA7E90E7}"/>
            </a:ext>
          </a:extLst>
        </xdr:cNvPr>
        <xdr:cNvCxnSpPr/>
      </xdr:nvCxnSpPr>
      <xdr:spPr>
        <a:xfrm flipV="1">
          <a:off x="11637168" y="7056834"/>
          <a:ext cx="850106" cy="7145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309561</xdr:colOff>
      <xdr:row>86</xdr:row>
      <xdr:rowOff>65484</xdr:rowOff>
    </xdr:from>
    <xdr:to>
      <xdr:col>16</xdr:col>
      <xdr:colOff>464342</xdr:colOff>
      <xdr:row>87</xdr:row>
      <xdr:rowOff>172640</xdr:rowOff>
    </xdr:to>
    <xdr:sp macro="" textlink="">
      <xdr:nvSpPr>
        <xdr:cNvPr id="9" name="BlokTextu 8">
          <a:extLst>
            <a:ext uri="{FF2B5EF4-FFF2-40B4-BE49-F238E27FC236}">
              <a16:creationId xmlns:a16="http://schemas.microsoft.com/office/drawing/2014/main" id="{2973C7A6-ACBD-46EB-BFF9-456329441FAD}"/>
            </a:ext>
          </a:extLst>
        </xdr:cNvPr>
        <xdr:cNvSpPr txBox="1"/>
      </xdr:nvSpPr>
      <xdr:spPr>
        <a:xfrm>
          <a:off x="11625261" y="7123509"/>
          <a:ext cx="1450181" cy="2881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Teplota</a:t>
          </a:r>
          <a:endParaRPr lang="sk-SK" sz="1100"/>
        </a:p>
      </xdr:txBody>
    </xdr:sp>
    <xdr:clientData/>
  </xdr:twoCellAnchor>
  <xdr:twoCellAnchor>
    <xdr:from>
      <xdr:col>16</xdr:col>
      <xdr:colOff>440531</xdr:colOff>
      <xdr:row>83</xdr:row>
      <xdr:rowOff>178595</xdr:rowOff>
    </xdr:from>
    <xdr:to>
      <xdr:col>17</xdr:col>
      <xdr:colOff>202406</xdr:colOff>
      <xdr:row>85</xdr:row>
      <xdr:rowOff>47625</xdr:rowOff>
    </xdr:to>
    <xdr:cxnSp macro="">
      <xdr:nvCxnSpPr>
        <xdr:cNvPr id="10" name="Rovná spojovacia šípka 9">
          <a:extLst>
            <a:ext uri="{FF2B5EF4-FFF2-40B4-BE49-F238E27FC236}">
              <a16:creationId xmlns:a16="http://schemas.microsoft.com/office/drawing/2014/main" id="{F4167D53-FE0E-43C6-B165-A373A39D6407}"/>
            </a:ext>
          </a:extLst>
        </xdr:cNvPr>
        <xdr:cNvCxnSpPr/>
      </xdr:nvCxnSpPr>
      <xdr:spPr>
        <a:xfrm flipV="1">
          <a:off x="13051631" y="6693695"/>
          <a:ext cx="409575" cy="230980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273843</xdr:colOff>
      <xdr:row>78</xdr:row>
      <xdr:rowOff>71440</xdr:rowOff>
    </xdr:from>
    <xdr:to>
      <xdr:col>17</xdr:col>
      <xdr:colOff>285749</xdr:colOff>
      <xdr:row>81</xdr:row>
      <xdr:rowOff>125016</xdr:rowOff>
    </xdr:to>
    <xdr:cxnSp macro="">
      <xdr:nvCxnSpPr>
        <xdr:cNvPr id="11" name="Rovná spojovacia šípka 10">
          <a:extLst>
            <a:ext uri="{FF2B5EF4-FFF2-40B4-BE49-F238E27FC236}">
              <a16:creationId xmlns:a16="http://schemas.microsoft.com/office/drawing/2014/main" id="{C81FA4B3-364D-4801-859C-2B8818265659}"/>
            </a:ext>
          </a:extLst>
        </xdr:cNvPr>
        <xdr:cNvCxnSpPr/>
      </xdr:nvCxnSpPr>
      <xdr:spPr>
        <a:xfrm>
          <a:off x="13532643" y="5681665"/>
          <a:ext cx="11906" cy="596501"/>
        </a:xfrm>
        <a:prstGeom prst="straightConnector1">
          <a:avLst/>
        </a:prstGeom>
        <a:ln>
          <a:headEnd type="triangl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208359</xdr:colOff>
      <xdr:row>84</xdr:row>
      <xdr:rowOff>107156</xdr:rowOff>
    </xdr:from>
    <xdr:to>
      <xdr:col>16</xdr:col>
      <xdr:colOff>485775</xdr:colOff>
      <xdr:row>86</xdr:row>
      <xdr:rowOff>23812</xdr:rowOff>
    </xdr:to>
    <xdr:sp macro="" textlink="">
      <xdr:nvSpPr>
        <xdr:cNvPr id="12" name="BlokTextu 11">
          <a:extLst>
            <a:ext uri="{FF2B5EF4-FFF2-40B4-BE49-F238E27FC236}">
              <a16:creationId xmlns:a16="http://schemas.microsoft.com/office/drawing/2014/main" id="{CF6EC212-524C-48FD-90CD-E9E02635F536}"/>
            </a:ext>
          </a:extLst>
        </xdr:cNvPr>
        <xdr:cNvSpPr txBox="1"/>
      </xdr:nvSpPr>
      <xdr:spPr>
        <a:xfrm>
          <a:off x="12819459" y="6803231"/>
          <a:ext cx="277416" cy="2786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800"/>
            <a:t>-</a:t>
          </a:r>
        </a:p>
      </xdr:txBody>
    </xdr:sp>
    <xdr:clientData/>
  </xdr:twoCellAnchor>
  <xdr:twoCellAnchor>
    <xdr:from>
      <xdr:col>14</xdr:col>
      <xdr:colOff>23813</xdr:colOff>
      <xdr:row>85</xdr:row>
      <xdr:rowOff>1190</xdr:rowOff>
    </xdr:from>
    <xdr:to>
      <xdr:col>16</xdr:col>
      <xdr:colOff>178594</xdr:colOff>
      <xdr:row>86</xdr:row>
      <xdr:rowOff>108346</xdr:rowOff>
    </xdr:to>
    <xdr:sp macro="" textlink="">
      <xdr:nvSpPr>
        <xdr:cNvPr id="13" name="BlokTextu 12">
          <a:extLst>
            <a:ext uri="{FF2B5EF4-FFF2-40B4-BE49-F238E27FC236}">
              <a16:creationId xmlns:a16="http://schemas.microsoft.com/office/drawing/2014/main" id="{07C91030-627B-494A-A382-1A176F668A20}"/>
            </a:ext>
          </a:extLst>
        </xdr:cNvPr>
        <xdr:cNvSpPr txBox="1"/>
      </xdr:nvSpPr>
      <xdr:spPr>
        <a:xfrm>
          <a:off x="11339513" y="6878240"/>
          <a:ext cx="1450181" cy="2881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800"/>
            <a:t>-</a:t>
          </a:r>
        </a:p>
      </xdr:txBody>
    </xdr:sp>
    <xdr:clientData/>
  </xdr:twoCellAnchor>
  <xdr:twoCellAnchor>
    <xdr:from>
      <xdr:col>15</xdr:col>
      <xdr:colOff>506015</xdr:colOff>
      <xdr:row>85</xdr:row>
      <xdr:rowOff>35719</xdr:rowOff>
    </xdr:from>
    <xdr:to>
      <xdr:col>16</xdr:col>
      <xdr:colOff>285750</xdr:colOff>
      <xdr:row>86</xdr:row>
      <xdr:rowOff>142875</xdr:rowOff>
    </xdr:to>
    <xdr:sp macro="" textlink="">
      <xdr:nvSpPr>
        <xdr:cNvPr id="14" name="BlokTextu 13">
          <a:extLst>
            <a:ext uri="{FF2B5EF4-FFF2-40B4-BE49-F238E27FC236}">
              <a16:creationId xmlns:a16="http://schemas.microsoft.com/office/drawing/2014/main" id="{9A017CC4-7AE7-4591-8D40-7F4176771559}"/>
            </a:ext>
          </a:extLst>
        </xdr:cNvPr>
        <xdr:cNvSpPr txBox="1"/>
      </xdr:nvSpPr>
      <xdr:spPr>
        <a:xfrm>
          <a:off x="12469415" y="6912769"/>
          <a:ext cx="427435" cy="2881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300"/>
            <a:t>+</a:t>
          </a:r>
        </a:p>
      </xdr:txBody>
    </xdr:sp>
    <xdr:clientData/>
  </xdr:twoCellAnchor>
  <xdr:twoCellAnchor>
    <xdr:from>
      <xdr:col>15</xdr:col>
      <xdr:colOff>330994</xdr:colOff>
      <xdr:row>77</xdr:row>
      <xdr:rowOff>128588</xdr:rowOff>
    </xdr:from>
    <xdr:to>
      <xdr:col>16</xdr:col>
      <xdr:colOff>266700</xdr:colOff>
      <xdr:row>79</xdr:row>
      <xdr:rowOff>9525</xdr:rowOff>
    </xdr:to>
    <xdr:sp macro="" textlink="">
      <xdr:nvSpPr>
        <xdr:cNvPr id="15" name="BlokTextu 14">
          <a:extLst>
            <a:ext uri="{FF2B5EF4-FFF2-40B4-BE49-F238E27FC236}">
              <a16:creationId xmlns:a16="http://schemas.microsoft.com/office/drawing/2014/main" id="{D139B9D8-3B2D-4842-AB6C-4ECD7404FDCB}"/>
            </a:ext>
          </a:extLst>
        </xdr:cNvPr>
        <xdr:cNvSpPr txBox="1"/>
      </xdr:nvSpPr>
      <xdr:spPr>
        <a:xfrm>
          <a:off x="12294394" y="5557838"/>
          <a:ext cx="583406" cy="24288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000"/>
            <a:t>58,8</a:t>
          </a:r>
          <a:endParaRPr lang="sk-SK" sz="1000"/>
        </a:p>
      </xdr:txBody>
    </xdr:sp>
    <xdr:clientData/>
  </xdr:twoCellAnchor>
  <xdr:twoCellAnchor>
    <xdr:from>
      <xdr:col>15</xdr:col>
      <xdr:colOff>266700</xdr:colOff>
      <xdr:row>83</xdr:row>
      <xdr:rowOff>109537</xdr:rowOff>
    </xdr:from>
    <xdr:to>
      <xdr:col>16</xdr:col>
      <xdr:colOff>380999</xdr:colOff>
      <xdr:row>85</xdr:row>
      <xdr:rowOff>26193</xdr:rowOff>
    </xdr:to>
    <xdr:sp macro="" textlink="">
      <xdr:nvSpPr>
        <xdr:cNvPr id="16" name="BlokTextu 15">
          <a:extLst>
            <a:ext uri="{FF2B5EF4-FFF2-40B4-BE49-F238E27FC236}">
              <a16:creationId xmlns:a16="http://schemas.microsoft.com/office/drawing/2014/main" id="{8BC6FBF8-414D-4345-82BA-5E531D1AE9BD}"/>
            </a:ext>
          </a:extLst>
        </xdr:cNvPr>
        <xdr:cNvSpPr txBox="1"/>
      </xdr:nvSpPr>
      <xdr:spPr>
        <a:xfrm>
          <a:off x="12230100" y="6624637"/>
          <a:ext cx="761999" cy="2786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000"/>
            <a:t>61</a:t>
          </a:r>
          <a:endParaRPr lang="sk-SK" sz="1000"/>
        </a:p>
      </xdr:txBody>
    </xdr:sp>
    <xdr:clientData/>
  </xdr:twoCellAnchor>
  <xdr:twoCellAnchor>
    <xdr:from>
      <xdr:col>13</xdr:col>
      <xdr:colOff>190500</xdr:colOff>
      <xdr:row>77</xdr:row>
      <xdr:rowOff>85725</xdr:rowOff>
    </xdr:from>
    <xdr:to>
      <xdr:col>14</xdr:col>
      <xdr:colOff>263129</xdr:colOff>
      <xdr:row>78</xdr:row>
      <xdr:rowOff>133350</xdr:rowOff>
    </xdr:to>
    <xdr:sp macro="" textlink="">
      <xdr:nvSpPr>
        <xdr:cNvPr id="17" name="BlokTextu 16">
          <a:extLst>
            <a:ext uri="{FF2B5EF4-FFF2-40B4-BE49-F238E27FC236}">
              <a16:creationId xmlns:a16="http://schemas.microsoft.com/office/drawing/2014/main" id="{3740836B-3BD4-476F-8D36-CFF68CFA7C9A}"/>
            </a:ext>
          </a:extLst>
        </xdr:cNvPr>
        <xdr:cNvSpPr txBox="1"/>
      </xdr:nvSpPr>
      <xdr:spPr>
        <a:xfrm>
          <a:off x="10858500" y="5514975"/>
          <a:ext cx="720329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000"/>
            <a:t>54</a:t>
          </a:r>
          <a:endParaRPr lang="sk-SK" sz="1000"/>
        </a:p>
      </xdr:txBody>
    </xdr:sp>
    <xdr:clientData/>
  </xdr:twoCellAnchor>
  <xdr:twoCellAnchor>
    <xdr:from>
      <xdr:col>13</xdr:col>
      <xdr:colOff>228601</xdr:colOff>
      <xdr:row>83</xdr:row>
      <xdr:rowOff>153590</xdr:rowOff>
    </xdr:from>
    <xdr:to>
      <xdr:col>14</xdr:col>
      <xdr:colOff>194073</xdr:colOff>
      <xdr:row>85</xdr:row>
      <xdr:rowOff>190499</xdr:rowOff>
    </xdr:to>
    <xdr:sp macro="" textlink="">
      <xdr:nvSpPr>
        <xdr:cNvPr id="18" name="BlokTextu 17">
          <a:extLst>
            <a:ext uri="{FF2B5EF4-FFF2-40B4-BE49-F238E27FC236}">
              <a16:creationId xmlns:a16="http://schemas.microsoft.com/office/drawing/2014/main" id="{E21D6FD7-DD67-4FD7-8CF2-4AC9024532C7}"/>
            </a:ext>
          </a:extLst>
        </xdr:cNvPr>
        <xdr:cNvSpPr txBox="1"/>
      </xdr:nvSpPr>
      <xdr:spPr>
        <a:xfrm>
          <a:off x="10896601" y="6668690"/>
          <a:ext cx="613172" cy="38933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000"/>
            <a:t>56,8</a:t>
          </a:r>
          <a:endParaRPr lang="sk-SK" sz="1000"/>
        </a:p>
      </xdr:txBody>
    </xdr:sp>
    <xdr:clientData/>
  </xdr:twoCellAnchor>
  <xdr:twoCellAnchor>
    <xdr:from>
      <xdr:col>16</xdr:col>
      <xdr:colOff>523874</xdr:colOff>
      <xdr:row>82</xdr:row>
      <xdr:rowOff>50006</xdr:rowOff>
    </xdr:from>
    <xdr:to>
      <xdr:col>17</xdr:col>
      <xdr:colOff>438149</xdr:colOff>
      <xdr:row>83</xdr:row>
      <xdr:rowOff>157162</xdr:rowOff>
    </xdr:to>
    <xdr:sp macro="" textlink="">
      <xdr:nvSpPr>
        <xdr:cNvPr id="19" name="BlokTextu 18">
          <a:extLst>
            <a:ext uri="{FF2B5EF4-FFF2-40B4-BE49-F238E27FC236}">
              <a16:creationId xmlns:a16="http://schemas.microsoft.com/office/drawing/2014/main" id="{11B997FF-2B6D-455A-AA00-B5D6E73C4311}"/>
            </a:ext>
          </a:extLst>
        </xdr:cNvPr>
        <xdr:cNvSpPr txBox="1"/>
      </xdr:nvSpPr>
      <xdr:spPr>
        <a:xfrm>
          <a:off x="13134974" y="6384131"/>
          <a:ext cx="561975" cy="2881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000"/>
            <a:t>48,8</a:t>
          </a:r>
          <a:endParaRPr lang="sk-SK" sz="1000"/>
        </a:p>
        <a:p>
          <a:endParaRPr lang="sk-SK" sz="1000"/>
        </a:p>
      </xdr:txBody>
    </xdr:sp>
    <xdr:clientData/>
  </xdr:twoCellAnchor>
  <xdr:twoCellAnchor>
    <xdr:from>
      <xdr:col>16</xdr:col>
      <xdr:colOff>494110</xdr:colOff>
      <xdr:row>76</xdr:row>
      <xdr:rowOff>0</xdr:rowOff>
    </xdr:from>
    <xdr:to>
      <xdr:col>17</xdr:col>
      <xdr:colOff>552450</xdr:colOff>
      <xdr:row>77</xdr:row>
      <xdr:rowOff>107156</xdr:rowOff>
    </xdr:to>
    <xdr:sp macro="" textlink="">
      <xdr:nvSpPr>
        <xdr:cNvPr id="20" name="BlokTextu 19">
          <a:extLst>
            <a:ext uri="{FF2B5EF4-FFF2-40B4-BE49-F238E27FC236}">
              <a16:creationId xmlns:a16="http://schemas.microsoft.com/office/drawing/2014/main" id="{3977A91F-604D-46C2-83AD-6DF5AE507677}"/>
            </a:ext>
          </a:extLst>
        </xdr:cNvPr>
        <xdr:cNvSpPr txBox="1"/>
      </xdr:nvSpPr>
      <xdr:spPr>
        <a:xfrm>
          <a:off x="13105210" y="5248275"/>
          <a:ext cx="706040" cy="2881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000"/>
            <a:t>46</a:t>
          </a:r>
          <a:endParaRPr lang="sk-SK" sz="1000"/>
        </a:p>
      </xdr:txBody>
    </xdr:sp>
    <xdr:clientData/>
  </xdr:twoCellAnchor>
  <xdr:twoCellAnchor>
    <xdr:from>
      <xdr:col>14</xdr:col>
      <xdr:colOff>76200</xdr:colOff>
      <xdr:row>76</xdr:row>
      <xdr:rowOff>0</xdr:rowOff>
    </xdr:from>
    <xdr:to>
      <xdr:col>15</xdr:col>
      <xdr:colOff>255983</xdr:colOff>
      <xdr:row>77</xdr:row>
      <xdr:rowOff>107156</xdr:rowOff>
    </xdr:to>
    <xdr:sp macro="" textlink="">
      <xdr:nvSpPr>
        <xdr:cNvPr id="21" name="BlokTextu 20">
          <a:extLst>
            <a:ext uri="{FF2B5EF4-FFF2-40B4-BE49-F238E27FC236}">
              <a16:creationId xmlns:a16="http://schemas.microsoft.com/office/drawing/2014/main" id="{4E9D5288-0E9A-47A4-BC23-F23D86590632}"/>
            </a:ext>
          </a:extLst>
        </xdr:cNvPr>
        <xdr:cNvSpPr txBox="1"/>
      </xdr:nvSpPr>
      <xdr:spPr>
        <a:xfrm>
          <a:off x="11391900" y="5248275"/>
          <a:ext cx="827483" cy="2881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000"/>
            <a:t>39,8</a:t>
          </a:r>
          <a:endParaRPr lang="sk-SK" sz="1000"/>
        </a:p>
      </xdr:txBody>
    </xdr:sp>
    <xdr:clientData/>
  </xdr:twoCellAnchor>
  <xdr:twoCellAnchor>
    <xdr:from>
      <xdr:col>14</xdr:col>
      <xdr:colOff>102394</xdr:colOff>
      <xdr:row>82</xdr:row>
      <xdr:rowOff>11906</xdr:rowOff>
    </xdr:from>
    <xdr:to>
      <xdr:col>15</xdr:col>
      <xdr:colOff>76199</xdr:colOff>
      <xdr:row>83</xdr:row>
      <xdr:rowOff>119062</xdr:rowOff>
    </xdr:to>
    <xdr:sp macro="" textlink="">
      <xdr:nvSpPr>
        <xdr:cNvPr id="22" name="BlokTextu 21">
          <a:extLst>
            <a:ext uri="{FF2B5EF4-FFF2-40B4-BE49-F238E27FC236}">
              <a16:creationId xmlns:a16="http://schemas.microsoft.com/office/drawing/2014/main" id="{D51E0FBC-B1CA-4A5E-9A09-0B344C2E3CA4}"/>
            </a:ext>
          </a:extLst>
        </xdr:cNvPr>
        <xdr:cNvSpPr txBox="1"/>
      </xdr:nvSpPr>
      <xdr:spPr>
        <a:xfrm>
          <a:off x="11418094" y="6346031"/>
          <a:ext cx="621505" cy="2881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000"/>
            <a:t>42,2</a:t>
          </a:r>
          <a:endParaRPr lang="sk-SK" sz="1000"/>
        </a:p>
        <a:p>
          <a:endParaRPr lang="sk-SK" sz="1000"/>
        </a:p>
      </xdr:txBody>
    </xdr:sp>
    <xdr:clientData/>
  </xdr:twoCellAnchor>
  <xdr:twoCellAnchor>
    <xdr:from>
      <xdr:col>17</xdr:col>
      <xdr:colOff>95250</xdr:colOff>
      <xdr:row>77</xdr:row>
      <xdr:rowOff>0</xdr:rowOff>
    </xdr:from>
    <xdr:to>
      <xdr:col>17</xdr:col>
      <xdr:colOff>484585</xdr:colOff>
      <xdr:row>78</xdr:row>
      <xdr:rowOff>107156</xdr:rowOff>
    </xdr:to>
    <xdr:sp macro="" textlink="">
      <xdr:nvSpPr>
        <xdr:cNvPr id="23" name="BlokTextu 22">
          <a:extLst>
            <a:ext uri="{FF2B5EF4-FFF2-40B4-BE49-F238E27FC236}">
              <a16:creationId xmlns:a16="http://schemas.microsoft.com/office/drawing/2014/main" id="{878F09BE-DB75-41CA-896D-4095B12B1439}"/>
            </a:ext>
          </a:extLst>
        </xdr:cNvPr>
        <xdr:cNvSpPr txBox="1"/>
      </xdr:nvSpPr>
      <xdr:spPr>
        <a:xfrm>
          <a:off x="13354050" y="5429250"/>
          <a:ext cx="389335" cy="2881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300"/>
            <a:t>+</a:t>
          </a:r>
        </a:p>
      </xdr:txBody>
    </xdr:sp>
    <xdr:clientData/>
  </xdr:twoCellAnchor>
  <xdr:twoCellAnchor>
    <xdr:from>
      <xdr:col>17</xdr:col>
      <xdr:colOff>142875</xdr:colOff>
      <xdr:row>82</xdr:row>
      <xdr:rowOff>152400</xdr:rowOff>
    </xdr:from>
    <xdr:to>
      <xdr:col>17</xdr:col>
      <xdr:colOff>532210</xdr:colOff>
      <xdr:row>84</xdr:row>
      <xdr:rowOff>69056</xdr:rowOff>
    </xdr:to>
    <xdr:sp macro="" textlink="">
      <xdr:nvSpPr>
        <xdr:cNvPr id="24" name="BlokTextu 23">
          <a:extLst>
            <a:ext uri="{FF2B5EF4-FFF2-40B4-BE49-F238E27FC236}">
              <a16:creationId xmlns:a16="http://schemas.microsoft.com/office/drawing/2014/main" id="{00177BAD-9D72-4406-B811-7DF170F4E5F5}"/>
            </a:ext>
          </a:extLst>
        </xdr:cNvPr>
        <xdr:cNvSpPr txBox="1"/>
      </xdr:nvSpPr>
      <xdr:spPr>
        <a:xfrm>
          <a:off x="13401675" y="6486525"/>
          <a:ext cx="389335" cy="2786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300"/>
            <a:t>+</a:t>
          </a:r>
        </a:p>
      </xdr:txBody>
    </xdr:sp>
    <xdr:clientData/>
  </xdr:twoCellAnchor>
  <xdr:twoCellAnchor>
    <xdr:from>
      <xdr:col>17</xdr:col>
      <xdr:colOff>161925</xdr:colOff>
      <xdr:row>81</xdr:row>
      <xdr:rowOff>0</xdr:rowOff>
    </xdr:from>
    <xdr:to>
      <xdr:col>17</xdr:col>
      <xdr:colOff>439341</xdr:colOff>
      <xdr:row>82</xdr:row>
      <xdr:rowOff>78581</xdr:rowOff>
    </xdr:to>
    <xdr:sp macro="" textlink="">
      <xdr:nvSpPr>
        <xdr:cNvPr id="25" name="BlokTextu 24">
          <a:extLst>
            <a:ext uri="{FF2B5EF4-FFF2-40B4-BE49-F238E27FC236}">
              <a16:creationId xmlns:a16="http://schemas.microsoft.com/office/drawing/2014/main" id="{2B3B1B4F-65C9-48C1-9793-91C39F14CE57}"/>
            </a:ext>
          </a:extLst>
        </xdr:cNvPr>
        <xdr:cNvSpPr txBox="1"/>
      </xdr:nvSpPr>
      <xdr:spPr>
        <a:xfrm>
          <a:off x="13420725" y="6153150"/>
          <a:ext cx="277416" cy="2595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800"/>
            <a:t>-</a:t>
          </a:r>
        </a:p>
      </xdr:txBody>
    </xdr:sp>
    <xdr:clientData/>
  </xdr:twoCellAnchor>
  <xdr:twoCellAnchor>
    <xdr:from>
      <xdr:col>17</xdr:col>
      <xdr:colOff>390525</xdr:colOff>
      <xdr:row>79</xdr:row>
      <xdr:rowOff>76200</xdr:rowOff>
    </xdr:from>
    <xdr:to>
      <xdr:col>18</xdr:col>
      <xdr:colOff>482600</xdr:colOff>
      <xdr:row>80</xdr:row>
      <xdr:rowOff>147637</xdr:rowOff>
    </xdr:to>
    <xdr:sp macro="" textlink="">
      <xdr:nvSpPr>
        <xdr:cNvPr id="26" name="BlokTextu 25">
          <a:extLst>
            <a:ext uri="{FF2B5EF4-FFF2-40B4-BE49-F238E27FC236}">
              <a16:creationId xmlns:a16="http://schemas.microsoft.com/office/drawing/2014/main" id="{877EC252-82D9-4DED-AB11-843B7ECF6A50}"/>
            </a:ext>
          </a:extLst>
        </xdr:cNvPr>
        <xdr:cNvSpPr txBox="1"/>
      </xdr:nvSpPr>
      <xdr:spPr>
        <a:xfrm>
          <a:off x="13649325" y="5867400"/>
          <a:ext cx="739775" cy="25241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Rýchlosť</a:t>
          </a:r>
          <a:endParaRPr lang="sk-SK" sz="1100"/>
        </a:p>
      </xdr:txBody>
    </xdr:sp>
    <xdr:clientData/>
  </xdr:twoCellAnchor>
  <xdr:twoCellAnchor>
    <xdr:from>
      <xdr:col>17</xdr:col>
      <xdr:colOff>133350</xdr:colOff>
      <xdr:row>84</xdr:row>
      <xdr:rowOff>95250</xdr:rowOff>
    </xdr:from>
    <xdr:to>
      <xdr:col>18</xdr:col>
      <xdr:colOff>409575</xdr:colOff>
      <xdr:row>87</xdr:row>
      <xdr:rowOff>0</xdr:rowOff>
    </xdr:to>
    <xdr:sp macro="" textlink="">
      <xdr:nvSpPr>
        <xdr:cNvPr id="27" name="BlokTextu 26">
          <a:extLst>
            <a:ext uri="{FF2B5EF4-FFF2-40B4-BE49-F238E27FC236}">
              <a16:creationId xmlns:a16="http://schemas.microsoft.com/office/drawing/2014/main" id="{EF02D1AC-2721-4AA0-B46A-C8AED95B951D}"/>
            </a:ext>
          </a:extLst>
        </xdr:cNvPr>
        <xdr:cNvSpPr txBox="1"/>
      </xdr:nvSpPr>
      <xdr:spPr>
        <a:xfrm>
          <a:off x="13392150" y="6791325"/>
          <a:ext cx="923925" cy="4476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Vrtstva</a:t>
          </a:r>
          <a:endParaRPr lang="sk-SK" sz="1100"/>
        </a:p>
      </xdr:txBody>
    </xdr:sp>
    <xdr:clientData/>
  </xdr:twoCellAnchor>
  <xdr:twoCellAnchor>
    <xdr:from>
      <xdr:col>10</xdr:col>
      <xdr:colOff>399187</xdr:colOff>
      <xdr:row>190</xdr:row>
      <xdr:rowOff>24248</xdr:rowOff>
    </xdr:from>
    <xdr:to>
      <xdr:col>16</xdr:col>
      <xdr:colOff>405679</xdr:colOff>
      <xdr:row>204</xdr:row>
      <xdr:rowOff>11692</xdr:rowOff>
    </xdr:to>
    <xdr:graphicFrame macro="">
      <xdr:nvGraphicFramePr>
        <xdr:cNvPr id="28" name="Graf 27">
          <a:extLst>
            <a:ext uri="{FF2B5EF4-FFF2-40B4-BE49-F238E27FC236}">
              <a16:creationId xmlns:a16="http://schemas.microsoft.com/office/drawing/2014/main" id="{6305425A-BC9F-EFF8-421E-91E196D311F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457634</xdr:colOff>
      <xdr:row>206</xdr:row>
      <xdr:rowOff>96119</xdr:rowOff>
    </xdr:from>
    <xdr:to>
      <xdr:col>16</xdr:col>
      <xdr:colOff>464126</xdr:colOff>
      <xdr:row>216</xdr:row>
      <xdr:rowOff>85725</xdr:rowOff>
    </xdr:to>
    <xdr:graphicFrame macro="">
      <xdr:nvGraphicFramePr>
        <xdr:cNvPr id="29" name="Graf 28">
          <a:extLst>
            <a:ext uri="{FF2B5EF4-FFF2-40B4-BE49-F238E27FC236}">
              <a16:creationId xmlns:a16="http://schemas.microsoft.com/office/drawing/2014/main" id="{FFBCCBA9-302B-C1C3-34A4-08BA84C1D96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641640</xdr:colOff>
      <xdr:row>218</xdr:row>
      <xdr:rowOff>59318</xdr:rowOff>
    </xdr:from>
    <xdr:to>
      <xdr:col>16</xdr:col>
      <xdr:colOff>410012</xdr:colOff>
      <xdr:row>228</xdr:row>
      <xdr:rowOff>49791</xdr:rowOff>
    </xdr:to>
    <xdr:graphicFrame macro="">
      <xdr:nvGraphicFramePr>
        <xdr:cNvPr id="30" name="Graf 29">
          <a:extLst>
            <a:ext uri="{FF2B5EF4-FFF2-40B4-BE49-F238E27FC236}">
              <a16:creationId xmlns:a16="http://schemas.microsoft.com/office/drawing/2014/main" id="{6A6028D2-B939-8027-4095-39F24D46BA7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3031</xdr:colOff>
      <xdr:row>230</xdr:row>
      <xdr:rowOff>65811</xdr:rowOff>
    </xdr:from>
    <xdr:to>
      <xdr:col>16</xdr:col>
      <xdr:colOff>254141</xdr:colOff>
      <xdr:row>240</xdr:row>
      <xdr:rowOff>61046</xdr:rowOff>
    </xdr:to>
    <xdr:graphicFrame macro="">
      <xdr:nvGraphicFramePr>
        <xdr:cNvPr id="31" name="Graf 30">
          <a:extLst>
            <a:ext uri="{FF2B5EF4-FFF2-40B4-BE49-F238E27FC236}">
              <a16:creationId xmlns:a16="http://schemas.microsoft.com/office/drawing/2014/main" id="{71C93335-39EB-7B82-6BBC-F711EAB9ECF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21</xdr:col>
      <xdr:colOff>74467</xdr:colOff>
      <xdr:row>190</xdr:row>
      <xdr:rowOff>64080</xdr:rowOff>
    </xdr:from>
    <xdr:to>
      <xdr:col>27</xdr:col>
      <xdr:colOff>74472</xdr:colOff>
      <xdr:row>204</xdr:row>
      <xdr:rowOff>54552</xdr:rowOff>
    </xdr:to>
    <xdr:graphicFrame macro="">
      <xdr:nvGraphicFramePr>
        <xdr:cNvPr id="32" name="Graf 31">
          <a:extLst>
            <a:ext uri="{FF2B5EF4-FFF2-40B4-BE49-F238E27FC236}">
              <a16:creationId xmlns:a16="http://schemas.microsoft.com/office/drawing/2014/main" id="{53DBA0B8-08FB-8D93-3EE9-B1969842795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21</xdr:col>
      <xdr:colOff>158899</xdr:colOff>
      <xdr:row>206</xdr:row>
      <xdr:rowOff>180544</xdr:rowOff>
    </xdr:from>
    <xdr:to>
      <xdr:col>27</xdr:col>
      <xdr:colOff>570200</xdr:colOff>
      <xdr:row>216</xdr:row>
      <xdr:rowOff>175779</xdr:rowOff>
    </xdr:to>
    <xdr:graphicFrame macro="">
      <xdr:nvGraphicFramePr>
        <xdr:cNvPr id="33" name="Graf 32">
          <a:extLst>
            <a:ext uri="{FF2B5EF4-FFF2-40B4-BE49-F238E27FC236}">
              <a16:creationId xmlns:a16="http://schemas.microsoft.com/office/drawing/2014/main" id="{C8A6BBA4-330A-FB82-3C41-3AD3D6E8427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21</xdr:col>
      <xdr:colOff>438152</xdr:colOff>
      <xdr:row>219</xdr:row>
      <xdr:rowOff>1733</xdr:rowOff>
    </xdr:from>
    <xdr:to>
      <xdr:col>27</xdr:col>
      <xdr:colOff>33342</xdr:colOff>
      <xdr:row>229</xdr:row>
      <xdr:rowOff>16021</xdr:rowOff>
    </xdr:to>
    <xdr:graphicFrame macro="">
      <xdr:nvGraphicFramePr>
        <xdr:cNvPr id="34" name="Graf 33">
          <a:extLst>
            <a:ext uri="{FF2B5EF4-FFF2-40B4-BE49-F238E27FC236}">
              <a16:creationId xmlns:a16="http://schemas.microsoft.com/office/drawing/2014/main" id="{4E1DD581-F857-235B-B02C-310723EC36E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21</xdr:col>
      <xdr:colOff>249381</xdr:colOff>
      <xdr:row>230</xdr:row>
      <xdr:rowOff>123390</xdr:rowOff>
    </xdr:from>
    <xdr:to>
      <xdr:col>27</xdr:col>
      <xdr:colOff>39829</xdr:colOff>
      <xdr:row>240</xdr:row>
      <xdr:rowOff>132915</xdr:rowOff>
    </xdr:to>
    <xdr:graphicFrame macro="">
      <xdr:nvGraphicFramePr>
        <xdr:cNvPr id="35" name="Graf 34">
          <a:extLst>
            <a:ext uri="{FF2B5EF4-FFF2-40B4-BE49-F238E27FC236}">
              <a16:creationId xmlns:a16="http://schemas.microsoft.com/office/drawing/2014/main" id="{7198BC4C-52EB-0AE3-C935-70E106DE9C1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10</xdr:col>
      <xdr:colOff>639909</xdr:colOff>
      <xdr:row>243</xdr:row>
      <xdr:rowOff>133784</xdr:rowOff>
    </xdr:from>
    <xdr:to>
      <xdr:col>15</xdr:col>
      <xdr:colOff>484477</xdr:colOff>
      <xdr:row>253</xdr:row>
      <xdr:rowOff>124257</xdr:rowOff>
    </xdr:to>
    <xdr:graphicFrame macro="">
      <xdr:nvGraphicFramePr>
        <xdr:cNvPr id="36" name="Graf 35">
          <a:extLst>
            <a:ext uri="{FF2B5EF4-FFF2-40B4-BE49-F238E27FC236}">
              <a16:creationId xmlns:a16="http://schemas.microsoft.com/office/drawing/2014/main" id="{9823A278-BEDB-AAF1-7FFA-962378662CE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0</xdr:colOff>
      <xdr:row>247</xdr:row>
      <xdr:rowOff>0</xdr:rowOff>
    </xdr:from>
    <xdr:to>
      <xdr:col>7</xdr:col>
      <xdr:colOff>682581</xdr:colOff>
      <xdr:row>261</xdr:row>
      <xdr:rowOff>87061</xdr:rowOff>
    </xdr:to>
    <xdr:graphicFrame macro="">
      <xdr:nvGraphicFramePr>
        <xdr:cNvPr id="37" name="Graf 36">
          <a:extLst>
            <a:ext uri="{FF2B5EF4-FFF2-40B4-BE49-F238E27FC236}">
              <a16:creationId xmlns:a16="http://schemas.microsoft.com/office/drawing/2014/main" id="{24DFBE52-3A39-486A-B397-771063BFF5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</xdr:col>
      <xdr:colOff>0</xdr:colOff>
      <xdr:row>348</xdr:row>
      <xdr:rowOff>0</xdr:rowOff>
    </xdr:from>
    <xdr:to>
      <xdr:col>6</xdr:col>
      <xdr:colOff>320040</xdr:colOff>
      <xdr:row>361</xdr:row>
      <xdr:rowOff>30285</xdr:rowOff>
    </xdr:to>
    <xdr:graphicFrame macro="">
      <xdr:nvGraphicFramePr>
        <xdr:cNvPr id="38" name="Graf 37">
          <a:extLst>
            <a:ext uri="{FF2B5EF4-FFF2-40B4-BE49-F238E27FC236}">
              <a16:creationId xmlns:a16="http://schemas.microsoft.com/office/drawing/2014/main" id="{CA62D158-4002-4A41-B65B-D2150399F80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7</xdr:col>
      <xdr:colOff>0</xdr:colOff>
      <xdr:row>348</xdr:row>
      <xdr:rowOff>0</xdr:rowOff>
    </xdr:from>
    <xdr:to>
      <xdr:col>12</xdr:col>
      <xdr:colOff>300990</xdr:colOff>
      <xdr:row>361</xdr:row>
      <xdr:rowOff>30285</xdr:rowOff>
    </xdr:to>
    <xdr:graphicFrame macro="">
      <xdr:nvGraphicFramePr>
        <xdr:cNvPr id="39" name="Graf 38">
          <a:extLst>
            <a:ext uri="{FF2B5EF4-FFF2-40B4-BE49-F238E27FC236}">
              <a16:creationId xmlns:a16="http://schemas.microsoft.com/office/drawing/2014/main" id="{CEF931C0-1172-407F-8804-0F70598401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13</xdr:col>
      <xdr:colOff>0</xdr:colOff>
      <xdr:row>348</xdr:row>
      <xdr:rowOff>0</xdr:rowOff>
    </xdr:from>
    <xdr:to>
      <xdr:col>18</xdr:col>
      <xdr:colOff>296227</xdr:colOff>
      <xdr:row>361</xdr:row>
      <xdr:rowOff>30285</xdr:rowOff>
    </xdr:to>
    <xdr:graphicFrame macro="">
      <xdr:nvGraphicFramePr>
        <xdr:cNvPr id="40" name="Graf 39">
          <a:extLst>
            <a:ext uri="{FF2B5EF4-FFF2-40B4-BE49-F238E27FC236}">
              <a16:creationId xmlns:a16="http://schemas.microsoft.com/office/drawing/2014/main" id="{D11B9F8F-2305-4C74-9EC9-5B96D06CF3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438150</xdr:colOff>
      <xdr:row>382</xdr:row>
      <xdr:rowOff>176213</xdr:rowOff>
    </xdr:from>
    <xdr:to>
      <xdr:col>7</xdr:col>
      <xdr:colOff>291489</xdr:colOff>
      <xdr:row>397</xdr:row>
      <xdr:rowOff>123136</xdr:rowOff>
    </xdr:to>
    <xdr:graphicFrame macro="">
      <xdr:nvGraphicFramePr>
        <xdr:cNvPr id="42" name="Graf 41">
          <a:extLst>
            <a:ext uri="{FF2B5EF4-FFF2-40B4-BE49-F238E27FC236}">
              <a16:creationId xmlns:a16="http://schemas.microsoft.com/office/drawing/2014/main" id="{D356DC4A-472C-463E-BF86-17A2A9F717A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8</xdr:col>
      <xdr:colOff>0</xdr:colOff>
      <xdr:row>383</xdr:row>
      <xdr:rowOff>0</xdr:rowOff>
    </xdr:from>
    <xdr:to>
      <xdr:col>14</xdr:col>
      <xdr:colOff>480799</xdr:colOff>
      <xdr:row>397</xdr:row>
      <xdr:rowOff>127899</xdr:rowOff>
    </xdr:to>
    <xdr:graphicFrame macro="">
      <xdr:nvGraphicFramePr>
        <xdr:cNvPr id="43" name="Graf 42">
          <a:extLst>
            <a:ext uri="{FF2B5EF4-FFF2-40B4-BE49-F238E27FC236}">
              <a16:creationId xmlns:a16="http://schemas.microsoft.com/office/drawing/2014/main" id="{5423C38B-6E8F-4AD5-8692-181BA5D45EF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Y480"/>
  <sheetViews>
    <sheetView tabSelected="1" topLeftCell="A52" zoomScale="70" zoomScaleNormal="70" workbookViewId="0">
      <selection activeCell="L498" sqref="L498"/>
    </sheetView>
  </sheetViews>
  <sheetFormatPr defaultRowHeight="15" x14ac:dyDescent="0.25"/>
  <cols>
    <col min="1" max="2" width="9.140625" bestFit="1" customWidth="1"/>
    <col min="3" max="3" width="10.42578125" customWidth="1"/>
    <col min="4" max="4" width="10" customWidth="1"/>
    <col min="5" max="5" width="10.5703125" customWidth="1"/>
    <col min="6" max="6" width="10.85546875" customWidth="1"/>
    <col min="7" max="7" width="11.42578125" customWidth="1"/>
    <col min="8" max="8" width="11.42578125" bestFit="1" customWidth="1"/>
    <col min="9" max="11" width="9.140625" bestFit="1" customWidth="1"/>
    <col min="12" max="12" width="12.42578125" bestFit="1" customWidth="1"/>
    <col min="13" max="13" width="11.42578125" bestFit="1" customWidth="1"/>
    <col min="14" max="16" width="9.140625" bestFit="1" customWidth="1"/>
    <col min="17" max="17" width="14.85546875" bestFit="1" customWidth="1"/>
    <col min="19" max="19" width="9.140625" bestFit="1" customWidth="1"/>
    <col min="22" max="22" width="9.140625" bestFit="1" customWidth="1"/>
    <col min="25" max="25" width="9.140625" bestFit="1" customWidth="1"/>
  </cols>
  <sheetData>
    <row r="2" spans="2:16" x14ac:dyDescent="0.25">
      <c r="B2" s="53" t="s">
        <v>14</v>
      </c>
      <c r="C2" s="53"/>
      <c r="D2" s="53"/>
      <c r="E2" s="53"/>
      <c r="F2" s="53"/>
      <c r="G2" s="53"/>
    </row>
    <row r="3" spans="2:16" x14ac:dyDescent="0.25">
      <c r="B3" s="53"/>
      <c r="C3" s="53"/>
      <c r="D3" s="53"/>
      <c r="E3" s="53"/>
      <c r="F3" s="53"/>
      <c r="G3" s="53"/>
    </row>
    <row r="4" spans="2:16" x14ac:dyDescent="0.25">
      <c r="B4" s="53"/>
      <c r="C4" s="53"/>
      <c r="D4" s="53"/>
      <c r="E4" s="53"/>
      <c r="F4" s="53"/>
      <c r="G4" s="53"/>
      <c r="L4" s="4"/>
      <c r="M4" s="4"/>
      <c r="N4" s="4"/>
      <c r="O4" s="4"/>
      <c r="P4" s="4"/>
    </row>
    <row r="5" spans="2:16" x14ac:dyDescent="0.25">
      <c r="B5" s="53"/>
      <c r="C5" s="53"/>
      <c r="D5" s="53"/>
      <c r="E5" s="53"/>
      <c r="F5" s="53"/>
      <c r="G5" s="53"/>
      <c r="L5" s="5"/>
      <c r="M5" s="5"/>
      <c r="N5" s="5"/>
      <c r="O5" s="5"/>
      <c r="P5" s="4"/>
    </row>
    <row r="6" spans="2:16" x14ac:dyDescent="0.25">
      <c r="L6" s="5"/>
      <c r="M6" s="5"/>
      <c r="N6" s="5"/>
      <c r="O6" s="5"/>
      <c r="P6" s="4"/>
    </row>
    <row r="7" spans="2:16" x14ac:dyDescent="0.25">
      <c r="L7" s="5"/>
      <c r="M7" s="5"/>
      <c r="N7" s="5"/>
      <c r="O7" s="5"/>
      <c r="P7" s="4"/>
    </row>
    <row r="8" spans="2:16" ht="46.9" customHeight="1" x14ac:dyDescent="0.25">
      <c r="B8" s="4" t="s">
        <v>0</v>
      </c>
      <c r="C8" s="4" t="s">
        <v>1</v>
      </c>
      <c r="D8" s="4" t="s">
        <v>2</v>
      </c>
      <c r="E8" s="4" t="s">
        <v>3</v>
      </c>
      <c r="F8" s="4" t="s">
        <v>4</v>
      </c>
      <c r="I8" t="s">
        <v>88</v>
      </c>
      <c r="J8" t="s">
        <v>89</v>
      </c>
      <c r="L8" s="5"/>
      <c r="M8" s="5"/>
      <c r="N8" s="5"/>
      <c r="O8" s="5"/>
      <c r="P8" s="4"/>
    </row>
    <row r="9" spans="2:16" ht="30" x14ac:dyDescent="0.25">
      <c r="B9" s="4" t="s">
        <v>5</v>
      </c>
      <c r="C9" s="5" t="s">
        <v>6</v>
      </c>
      <c r="D9" s="5" t="s">
        <v>7</v>
      </c>
      <c r="E9" s="6">
        <v>200</v>
      </c>
      <c r="F9" s="6">
        <v>220</v>
      </c>
      <c r="H9" t="s">
        <v>18</v>
      </c>
      <c r="I9" s="32">
        <f>(E9+F9)/2</f>
        <v>210</v>
      </c>
      <c r="J9" s="32">
        <f>(F9-E9)/2</f>
        <v>10</v>
      </c>
      <c r="L9" s="5"/>
      <c r="M9" s="5"/>
      <c r="N9" s="5"/>
      <c r="O9" s="5"/>
      <c r="P9" s="4"/>
    </row>
    <row r="10" spans="2:16" ht="30" x14ac:dyDescent="0.25">
      <c r="B10" s="4" t="s">
        <v>8</v>
      </c>
      <c r="C10" s="5" t="s">
        <v>9</v>
      </c>
      <c r="D10" s="5" t="s">
        <v>10</v>
      </c>
      <c r="E10" s="6">
        <v>0.1</v>
      </c>
      <c r="F10" s="6">
        <v>0.3</v>
      </c>
      <c r="H10" t="s">
        <v>19</v>
      </c>
      <c r="I10" s="32">
        <f>(E10+F10)/2</f>
        <v>0.2</v>
      </c>
      <c r="J10" s="32">
        <f>(F10-E10)/2</f>
        <v>9.9999999999999992E-2</v>
      </c>
      <c r="L10" s="5"/>
      <c r="M10" s="5"/>
      <c r="N10" s="5"/>
      <c r="O10" s="5"/>
      <c r="P10" s="4"/>
    </row>
    <row r="11" spans="2:16" ht="30" x14ac:dyDescent="0.25">
      <c r="B11" s="4" t="s">
        <v>11</v>
      </c>
      <c r="C11" s="5" t="s">
        <v>12</v>
      </c>
      <c r="D11" s="5" t="s">
        <v>13</v>
      </c>
      <c r="E11" s="6">
        <v>40</v>
      </c>
      <c r="F11" s="6">
        <v>80</v>
      </c>
      <c r="H11" t="s">
        <v>20</v>
      </c>
      <c r="I11" s="32">
        <f>(E11+F11)/2</f>
        <v>60</v>
      </c>
      <c r="J11" s="32">
        <f>(F11-E11)/2</f>
        <v>20</v>
      </c>
      <c r="L11" s="5"/>
      <c r="M11" s="5"/>
      <c r="N11" s="5"/>
      <c r="O11" s="5"/>
      <c r="P11" s="4"/>
    </row>
    <row r="12" spans="2:16" x14ac:dyDescent="0.25">
      <c r="L12" s="5"/>
      <c r="M12" s="5"/>
      <c r="N12" s="5"/>
      <c r="O12" s="5"/>
      <c r="P12" s="4"/>
    </row>
    <row r="13" spans="2:16" x14ac:dyDescent="0.25">
      <c r="L13" s="5"/>
      <c r="M13" s="5"/>
      <c r="N13" s="5"/>
      <c r="O13" s="5"/>
      <c r="P13" s="4"/>
    </row>
    <row r="14" spans="2:16" ht="33" customHeight="1" x14ac:dyDescent="0.25">
      <c r="B14" s="3" t="s">
        <v>15</v>
      </c>
      <c r="C14" s="10" t="s">
        <v>24</v>
      </c>
      <c r="D14" s="10" t="s">
        <v>25</v>
      </c>
      <c r="E14" s="10" t="s">
        <v>16</v>
      </c>
      <c r="F14" s="10" t="s">
        <v>26</v>
      </c>
      <c r="G14" s="10"/>
      <c r="H14" s="9"/>
      <c r="J14" s="4"/>
      <c r="K14" s="4"/>
      <c r="L14" s="5"/>
      <c r="M14" s="5"/>
      <c r="N14" s="5"/>
      <c r="O14" s="5"/>
      <c r="P14" s="4"/>
    </row>
    <row r="15" spans="2:16" x14ac:dyDescent="0.25">
      <c r="B15" s="6">
        <v>1</v>
      </c>
      <c r="C15" s="6">
        <v>-1</v>
      </c>
      <c r="D15" s="6">
        <v>-1</v>
      </c>
      <c r="E15" s="6">
        <v>-1</v>
      </c>
      <c r="F15" s="6">
        <v>56.5</v>
      </c>
      <c r="G15" s="6"/>
      <c r="H15" s="7"/>
      <c r="J15" s="5"/>
      <c r="K15" s="4"/>
      <c r="L15" s="5"/>
      <c r="M15" s="5"/>
      <c r="N15" s="5"/>
      <c r="O15" s="5"/>
      <c r="P15" s="4"/>
    </row>
    <row r="16" spans="2:16" x14ac:dyDescent="0.25">
      <c r="B16" s="6">
        <v>2</v>
      </c>
      <c r="C16" s="6">
        <v>1</v>
      </c>
      <c r="D16" s="6">
        <v>-1</v>
      </c>
      <c r="E16" s="6">
        <v>-1</v>
      </c>
      <c r="F16" s="6">
        <v>61.2</v>
      </c>
      <c r="G16" s="6"/>
      <c r="H16" s="7"/>
      <c r="J16" s="5"/>
      <c r="K16" s="4"/>
      <c r="L16" s="5"/>
      <c r="M16" s="5"/>
      <c r="N16" s="5"/>
      <c r="O16" s="5"/>
      <c r="P16" s="4"/>
    </row>
    <row r="17" spans="2:16" x14ac:dyDescent="0.25">
      <c r="B17" s="6">
        <v>3</v>
      </c>
      <c r="C17" s="6">
        <v>-1</v>
      </c>
      <c r="D17" s="6">
        <v>1</v>
      </c>
      <c r="E17" s="6">
        <v>-1</v>
      </c>
      <c r="F17" s="6">
        <v>42.5</v>
      </c>
      <c r="G17" s="6"/>
      <c r="H17" s="7"/>
      <c r="J17" s="5"/>
      <c r="K17" s="4"/>
      <c r="L17" s="5"/>
      <c r="M17" s="5"/>
      <c r="N17" s="5"/>
      <c r="O17" s="5"/>
      <c r="P17" s="4"/>
    </row>
    <row r="18" spans="2:16" x14ac:dyDescent="0.25">
      <c r="B18" s="6">
        <v>4</v>
      </c>
      <c r="C18" s="6">
        <v>1</v>
      </c>
      <c r="D18" s="6">
        <v>1</v>
      </c>
      <c r="E18" s="6">
        <v>-1</v>
      </c>
      <c r="F18" s="6">
        <v>49.1</v>
      </c>
      <c r="G18" s="6"/>
      <c r="H18" s="7"/>
      <c r="J18" s="5"/>
      <c r="K18" s="4"/>
      <c r="L18" s="5"/>
      <c r="M18" s="5"/>
      <c r="N18" s="5"/>
      <c r="O18" s="5"/>
      <c r="P18" s="4"/>
    </row>
    <row r="19" spans="2:16" x14ac:dyDescent="0.25">
      <c r="B19" s="6">
        <v>5</v>
      </c>
      <c r="C19" s="6">
        <v>-1</v>
      </c>
      <c r="D19" s="6">
        <v>-1</v>
      </c>
      <c r="E19" s="6">
        <v>1</v>
      </c>
      <c r="F19" s="6">
        <v>54.2</v>
      </c>
      <c r="G19" s="6"/>
      <c r="H19" s="7"/>
      <c r="J19" s="5"/>
      <c r="K19" s="4"/>
      <c r="L19" s="5"/>
      <c r="M19" s="5"/>
      <c r="N19" s="5"/>
      <c r="O19" s="5"/>
      <c r="P19" s="4"/>
    </row>
    <row r="20" spans="2:16" x14ac:dyDescent="0.25">
      <c r="B20" s="6">
        <v>6</v>
      </c>
      <c r="C20" s="6">
        <v>1</v>
      </c>
      <c r="D20" s="6">
        <v>-1</v>
      </c>
      <c r="E20" s="6">
        <v>1</v>
      </c>
      <c r="F20" s="6">
        <v>58.5</v>
      </c>
      <c r="G20" s="6"/>
      <c r="H20" s="7"/>
      <c r="J20" s="5"/>
      <c r="K20" s="4"/>
      <c r="L20" s="5"/>
      <c r="M20" s="5"/>
      <c r="N20" s="5"/>
      <c r="O20" s="5"/>
      <c r="P20" s="4"/>
    </row>
    <row r="21" spans="2:16" x14ac:dyDescent="0.25">
      <c r="B21" s="6">
        <v>7</v>
      </c>
      <c r="C21" s="6">
        <v>-1</v>
      </c>
      <c r="D21" s="6">
        <v>1</v>
      </c>
      <c r="E21" s="6">
        <v>1</v>
      </c>
      <c r="F21" s="6">
        <v>39.4</v>
      </c>
      <c r="G21" s="6"/>
      <c r="H21" s="7"/>
      <c r="J21" s="5"/>
      <c r="K21" s="4"/>
    </row>
    <row r="22" spans="2:16" x14ac:dyDescent="0.25">
      <c r="B22" s="6">
        <v>8</v>
      </c>
      <c r="C22" s="6">
        <v>1</v>
      </c>
      <c r="D22" s="6">
        <v>1</v>
      </c>
      <c r="E22" s="6">
        <v>1</v>
      </c>
      <c r="F22" s="6">
        <v>46.2</v>
      </c>
      <c r="G22" s="6"/>
      <c r="H22" s="7"/>
      <c r="J22" s="5"/>
      <c r="K22" s="4"/>
    </row>
    <row r="23" spans="2:16" x14ac:dyDescent="0.25">
      <c r="B23" s="6">
        <v>9</v>
      </c>
      <c r="C23" s="6">
        <v>-1</v>
      </c>
      <c r="D23" s="6">
        <v>-1</v>
      </c>
      <c r="E23" s="6">
        <v>-1</v>
      </c>
      <c r="F23" s="6">
        <v>57.1</v>
      </c>
      <c r="G23" s="6"/>
      <c r="H23" s="7"/>
      <c r="J23" s="5"/>
      <c r="K23" s="4"/>
    </row>
    <row r="24" spans="2:16" x14ac:dyDescent="0.25">
      <c r="B24" s="6">
        <v>10</v>
      </c>
      <c r="C24" s="6">
        <v>1</v>
      </c>
      <c r="D24" s="6">
        <v>-1</v>
      </c>
      <c r="E24" s="6">
        <v>-1</v>
      </c>
      <c r="F24" s="6">
        <v>60.8</v>
      </c>
      <c r="G24" s="6"/>
      <c r="H24" s="7"/>
      <c r="J24" s="5"/>
      <c r="K24" s="4"/>
    </row>
    <row r="25" spans="2:16" x14ac:dyDescent="0.25">
      <c r="B25" s="6">
        <v>11</v>
      </c>
      <c r="C25" s="6">
        <v>-1</v>
      </c>
      <c r="D25" s="6">
        <v>1</v>
      </c>
      <c r="E25" s="6">
        <v>-1</v>
      </c>
      <c r="F25" s="6">
        <v>41.9</v>
      </c>
      <c r="G25" s="6"/>
      <c r="H25" s="7"/>
      <c r="J25" s="5"/>
      <c r="K25" s="4"/>
    </row>
    <row r="26" spans="2:16" x14ac:dyDescent="0.25">
      <c r="B26" s="6">
        <v>12</v>
      </c>
      <c r="C26" s="6">
        <v>1</v>
      </c>
      <c r="D26" s="6">
        <v>1</v>
      </c>
      <c r="E26" s="6">
        <v>-1</v>
      </c>
      <c r="F26" s="6">
        <v>48.5</v>
      </c>
      <c r="G26" s="6"/>
      <c r="H26" s="7"/>
      <c r="J26" s="5"/>
      <c r="K26" s="4"/>
    </row>
    <row r="27" spans="2:16" x14ac:dyDescent="0.25">
      <c r="B27" s="6">
        <v>13</v>
      </c>
      <c r="C27" s="6">
        <v>-1</v>
      </c>
      <c r="D27" s="6">
        <v>-1</v>
      </c>
      <c r="E27" s="6">
        <v>1</v>
      </c>
      <c r="F27" s="6">
        <v>53.8</v>
      </c>
      <c r="G27" s="6"/>
      <c r="H27" s="7"/>
      <c r="J27" s="5"/>
      <c r="K27" s="4"/>
    </row>
    <row r="28" spans="2:16" x14ac:dyDescent="0.25">
      <c r="B28" s="6">
        <v>14</v>
      </c>
      <c r="C28" s="6">
        <v>1</v>
      </c>
      <c r="D28" s="6">
        <v>-1</v>
      </c>
      <c r="E28" s="6">
        <v>1</v>
      </c>
      <c r="F28" s="6">
        <v>59.1</v>
      </c>
      <c r="G28" s="6"/>
      <c r="H28" s="7"/>
      <c r="J28" s="5"/>
      <c r="K28" s="4"/>
    </row>
    <row r="29" spans="2:16" x14ac:dyDescent="0.25">
      <c r="B29" s="6">
        <v>15</v>
      </c>
      <c r="C29" s="6">
        <v>-1</v>
      </c>
      <c r="D29" s="6">
        <v>1</v>
      </c>
      <c r="E29" s="6">
        <v>1</v>
      </c>
      <c r="F29" s="6">
        <v>40.1</v>
      </c>
      <c r="G29" s="6"/>
      <c r="H29" s="7"/>
      <c r="J29" s="5"/>
      <c r="K29" s="4"/>
    </row>
    <row r="30" spans="2:16" x14ac:dyDescent="0.25">
      <c r="B30" s="6">
        <v>16</v>
      </c>
      <c r="C30" s="6">
        <v>1</v>
      </c>
      <c r="D30" s="6">
        <v>1</v>
      </c>
      <c r="E30" s="6">
        <v>1</v>
      </c>
      <c r="F30" s="6">
        <v>45.8</v>
      </c>
      <c r="G30" s="6"/>
      <c r="H30" s="7"/>
      <c r="J30" s="5"/>
      <c r="K30" s="4"/>
    </row>
    <row r="33" spans="1:17" x14ac:dyDescent="0.25">
      <c r="B33" s="50" t="s">
        <v>17</v>
      </c>
      <c r="C33" s="50"/>
      <c r="D33" s="50"/>
      <c r="E33" s="50"/>
      <c r="F33" s="50"/>
      <c r="G33" s="50"/>
    </row>
    <row r="34" spans="1:17" x14ac:dyDescent="0.25">
      <c r="B34" s="50"/>
      <c r="C34" s="50"/>
      <c r="D34" s="50"/>
      <c r="E34" s="50"/>
      <c r="F34" s="50"/>
      <c r="G34" s="50"/>
    </row>
    <row r="35" spans="1:17" x14ac:dyDescent="0.25">
      <c r="B35" s="50"/>
      <c r="C35" s="50"/>
      <c r="D35" s="50"/>
      <c r="E35" s="50"/>
      <c r="F35" s="50"/>
      <c r="G35" s="50"/>
    </row>
    <row r="37" spans="1:17" x14ac:dyDescent="0.25">
      <c r="B37" s="52" t="s">
        <v>227</v>
      </c>
      <c r="C37" s="52"/>
      <c r="D37" s="52"/>
      <c r="E37" s="52"/>
      <c r="F37" s="52"/>
      <c r="G37" s="52"/>
    </row>
    <row r="38" spans="1:17" x14ac:dyDescent="0.25">
      <c r="B38" s="52"/>
      <c r="C38" s="52"/>
      <c r="D38" s="52"/>
      <c r="E38" s="52"/>
      <c r="F38" s="52"/>
      <c r="G38" s="52"/>
    </row>
    <row r="39" spans="1:17" x14ac:dyDescent="0.25">
      <c r="B39" s="52"/>
      <c r="C39" s="52"/>
      <c r="D39" s="52"/>
      <c r="E39" s="52"/>
      <c r="F39" s="52"/>
      <c r="G39" s="52"/>
    </row>
    <row r="40" spans="1:17" x14ac:dyDescent="0.25">
      <c r="B40" s="2"/>
      <c r="C40" s="2"/>
      <c r="D40" s="2"/>
      <c r="E40" s="2"/>
      <c r="F40" s="2"/>
      <c r="G40" s="2"/>
    </row>
    <row r="41" spans="1:17" x14ac:dyDescent="0.25">
      <c r="B41" t="s">
        <v>70</v>
      </c>
      <c r="C41" t="s">
        <v>71</v>
      </c>
      <c r="D41" t="s">
        <v>72</v>
      </c>
      <c r="E41" t="s">
        <v>73</v>
      </c>
      <c r="F41" t="s">
        <v>74</v>
      </c>
      <c r="G41" t="s">
        <v>75</v>
      </c>
      <c r="H41" t="s">
        <v>76</v>
      </c>
      <c r="I41" t="s">
        <v>77</v>
      </c>
    </row>
    <row r="42" spans="1:17" ht="45" x14ac:dyDescent="0.25">
      <c r="A42" s="3" t="s">
        <v>15</v>
      </c>
      <c r="C42" s="10" t="s">
        <v>24</v>
      </c>
      <c r="D42" s="10" t="s">
        <v>25</v>
      </c>
      <c r="E42" s="10" t="s">
        <v>16</v>
      </c>
      <c r="F42" s="10" t="s">
        <v>21</v>
      </c>
      <c r="G42" s="10" t="s">
        <v>22</v>
      </c>
      <c r="H42" s="9" t="s">
        <v>23</v>
      </c>
      <c r="I42" s="10" t="s">
        <v>69</v>
      </c>
      <c r="J42" s="10" t="s">
        <v>26</v>
      </c>
      <c r="L42" s="3" t="s">
        <v>15</v>
      </c>
      <c r="M42" s="10" t="s">
        <v>24</v>
      </c>
      <c r="N42" s="10" t="s">
        <v>25</v>
      </c>
      <c r="O42" s="10" t="s">
        <v>16</v>
      </c>
      <c r="P42" s="10" t="s">
        <v>26</v>
      </c>
    </row>
    <row r="43" spans="1:17" x14ac:dyDescent="0.25">
      <c r="A43" s="6">
        <v>1</v>
      </c>
      <c r="B43">
        <v>1</v>
      </c>
      <c r="C43" s="6">
        <v>-1</v>
      </c>
      <c r="D43" s="6">
        <v>-1</v>
      </c>
      <c r="E43" s="6">
        <v>-1</v>
      </c>
      <c r="F43" s="6">
        <f>+C43*D43</f>
        <v>1</v>
      </c>
      <c r="G43" s="6">
        <f>+C43*E43</f>
        <v>1</v>
      </c>
      <c r="H43" s="7">
        <f>+D43*E43</f>
        <v>1</v>
      </c>
      <c r="I43" s="7">
        <f>+C43*D43*E43</f>
        <v>-1</v>
      </c>
      <c r="J43" s="6">
        <v>56.5</v>
      </c>
      <c r="L43" s="11">
        <v>1</v>
      </c>
      <c r="M43" s="11">
        <v>-1</v>
      </c>
      <c r="N43" s="11">
        <v>-1</v>
      </c>
      <c r="O43" s="11">
        <v>-1</v>
      </c>
      <c r="P43" s="13">
        <v>56.5</v>
      </c>
      <c r="Q43" s="12"/>
    </row>
    <row r="44" spans="1:17" x14ac:dyDescent="0.25">
      <c r="A44" s="6">
        <v>2</v>
      </c>
      <c r="B44">
        <v>1</v>
      </c>
      <c r="C44" s="6">
        <v>1</v>
      </c>
      <c r="D44" s="6">
        <v>-1</v>
      </c>
      <c r="E44" s="6">
        <v>-1</v>
      </c>
      <c r="F44" s="6">
        <f t="shared" ref="F44:F58" si="0">+C44*D44</f>
        <v>-1</v>
      </c>
      <c r="G44" s="6">
        <f t="shared" ref="G44:G58" si="1">+C44*E44</f>
        <v>-1</v>
      </c>
      <c r="H44" s="7">
        <f t="shared" ref="H44:H58" si="2">+D44*E44</f>
        <v>1</v>
      </c>
      <c r="I44" s="7">
        <f t="shared" ref="I44:I58" si="3">+C44*D44*E44</f>
        <v>1</v>
      </c>
      <c r="J44" s="6">
        <v>61.2</v>
      </c>
      <c r="L44" s="11">
        <v>9</v>
      </c>
      <c r="M44" s="11">
        <v>-1</v>
      </c>
      <c r="N44" s="11">
        <v>-1</v>
      </c>
      <c r="O44" s="11">
        <v>-1</v>
      </c>
      <c r="P44" s="13">
        <v>57.1</v>
      </c>
      <c r="Q44" s="14">
        <f>+AVERAGE(P43:P44)</f>
        <v>56.8</v>
      </c>
    </row>
    <row r="45" spans="1:17" x14ac:dyDescent="0.25">
      <c r="A45" s="6">
        <v>3</v>
      </c>
      <c r="B45">
        <v>1</v>
      </c>
      <c r="C45" s="6">
        <v>-1</v>
      </c>
      <c r="D45" s="6">
        <v>1</v>
      </c>
      <c r="E45" s="6">
        <v>-1</v>
      </c>
      <c r="F45" s="6">
        <f t="shared" si="0"/>
        <v>-1</v>
      </c>
      <c r="G45" s="6">
        <f t="shared" si="1"/>
        <v>1</v>
      </c>
      <c r="H45" s="7">
        <f t="shared" si="2"/>
        <v>-1</v>
      </c>
      <c r="I45" s="7">
        <f t="shared" si="3"/>
        <v>1</v>
      </c>
      <c r="J45" s="6">
        <v>42.5</v>
      </c>
      <c r="L45" s="6">
        <v>5</v>
      </c>
      <c r="M45" s="6">
        <v>-1</v>
      </c>
      <c r="N45" s="6">
        <v>-1</v>
      </c>
      <c r="O45" s="6">
        <v>1</v>
      </c>
      <c r="P45" s="15">
        <v>54.2</v>
      </c>
      <c r="Q45" s="16"/>
    </row>
    <row r="46" spans="1:17" x14ac:dyDescent="0.25">
      <c r="A46" s="6">
        <v>4</v>
      </c>
      <c r="B46">
        <v>1</v>
      </c>
      <c r="C46" s="6">
        <v>1</v>
      </c>
      <c r="D46" s="6">
        <v>1</v>
      </c>
      <c r="E46" s="6">
        <v>-1</v>
      </c>
      <c r="F46" s="6">
        <f t="shared" si="0"/>
        <v>1</v>
      </c>
      <c r="G46" s="6">
        <f t="shared" si="1"/>
        <v>-1</v>
      </c>
      <c r="H46" s="7">
        <f t="shared" si="2"/>
        <v>-1</v>
      </c>
      <c r="I46" s="7">
        <f t="shared" si="3"/>
        <v>-1</v>
      </c>
      <c r="J46" s="6">
        <v>49.1</v>
      </c>
      <c r="L46" s="6">
        <v>13</v>
      </c>
      <c r="M46" s="6">
        <v>-1</v>
      </c>
      <c r="N46" s="6">
        <v>-1</v>
      </c>
      <c r="O46" s="6">
        <v>1</v>
      </c>
      <c r="P46" s="15">
        <v>53.8</v>
      </c>
      <c r="Q46" s="16">
        <f t="shared" ref="Q46:Q56" si="4">+AVERAGE(P45:P46)</f>
        <v>54</v>
      </c>
    </row>
    <row r="47" spans="1:17" x14ac:dyDescent="0.25">
      <c r="A47" s="6">
        <v>5</v>
      </c>
      <c r="B47">
        <v>1</v>
      </c>
      <c r="C47" s="6">
        <v>-1</v>
      </c>
      <c r="D47" s="6">
        <v>-1</v>
      </c>
      <c r="E47" s="6">
        <v>1</v>
      </c>
      <c r="F47" s="6">
        <f t="shared" si="0"/>
        <v>1</v>
      </c>
      <c r="G47" s="6">
        <f t="shared" si="1"/>
        <v>-1</v>
      </c>
      <c r="H47" s="7">
        <f t="shared" si="2"/>
        <v>-1</v>
      </c>
      <c r="I47" s="7">
        <f t="shared" si="3"/>
        <v>1</v>
      </c>
      <c r="J47" s="6">
        <v>54.2</v>
      </c>
      <c r="L47" s="11">
        <v>3</v>
      </c>
      <c r="M47" s="11">
        <v>-1</v>
      </c>
      <c r="N47" s="11">
        <v>1</v>
      </c>
      <c r="O47" s="11">
        <v>-1</v>
      </c>
      <c r="P47" s="13">
        <v>42.5</v>
      </c>
      <c r="Q47" s="14"/>
    </row>
    <row r="48" spans="1:17" x14ac:dyDescent="0.25">
      <c r="A48" s="6">
        <v>6</v>
      </c>
      <c r="B48">
        <v>1</v>
      </c>
      <c r="C48" s="6">
        <v>1</v>
      </c>
      <c r="D48" s="6">
        <v>-1</v>
      </c>
      <c r="E48" s="6">
        <v>1</v>
      </c>
      <c r="F48" s="6">
        <f t="shared" si="0"/>
        <v>-1</v>
      </c>
      <c r="G48" s="6">
        <f t="shared" si="1"/>
        <v>1</v>
      </c>
      <c r="H48" s="7">
        <f t="shared" si="2"/>
        <v>-1</v>
      </c>
      <c r="I48" s="7">
        <f t="shared" si="3"/>
        <v>-1</v>
      </c>
      <c r="J48" s="6">
        <v>58.5</v>
      </c>
      <c r="L48" s="11">
        <v>11</v>
      </c>
      <c r="M48" s="11">
        <v>-1</v>
      </c>
      <c r="N48" s="11">
        <v>1</v>
      </c>
      <c r="O48" s="11">
        <v>-1</v>
      </c>
      <c r="P48" s="13">
        <v>41.9</v>
      </c>
      <c r="Q48" s="14">
        <f t="shared" si="4"/>
        <v>42.2</v>
      </c>
    </row>
    <row r="49" spans="1:25" x14ac:dyDescent="0.25">
      <c r="A49" s="6">
        <v>7</v>
      </c>
      <c r="B49">
        <v>1</v>
      </c>
      <c r="C49" s="6">
        <v>-1</v>
      </c>
      <c r="D49" s="6">
        <v>1</v>
      </c>
      <c r="E49" s="6">
        <v>1</v>
      </c>
      <c r="F49" s="6">
        <f t="shared" si="0"/>
        <v>-1</v>
      </c>
      <c r="G49" s="6">
        <f t="shared" si="1"/>
        <v>-1</v>
      </c>
      <c r="H49" s="7">
        <f t="shared" si="2"/>
        <v>1</v>
      </c>
      <c r="I49" s="7">
        <f t="shared" si="3"/>
        <v>-1</v>
      </c>
      <c r="J49" s="6">
        <v>39.4</v>
      </c>
      <c r="L49" s="6">
        <v>7</v>
      </c>
      <c r="M49" s="6">
        <v>-1</v>
      </c>
      <c r="N49" s="6">
        <v>1</v>
      </c>
      <c r="O49" s="6">
        <v>1</v>
      </c>
      <c r="P49" s="15">
        <v>39.4</v>
      </c>
      <c r="Q49" s="16"/>
    </row>
    <row r="50" spans="1:25" x14ac:dyDescent="0.25">
      <c r="A50" s="6">
        <v>8</v>
      </c>
      <c r="B50">
        <v>1</v>
      </c>
      <c r="C50" s="6">
        <v>1</v>
      </c>
      <c r="D50" s="6">
        <v>1</v>
      </c>
      <c r="E50" s="6">
        <v>1</v>
      </c>
      <c r="F50" s="6">
        <f t="shared" si="0"/>
        <v>1</v>
      </c>
      <c r="G50" s="6">
        <f t="shared" si="1"/>
        <v>1</v>
      </c>
      <c r="H50" s="7">
        <f t="shared" si="2"/>
        <v>1</v>
      </c>
      <c r="I50" s="7">
        <f t="shared" si="3"/>
        <v>1</v>
      </c>
      <c r="J50" s="6">
        <v>46.2</v>
      </c>
      <c r="L50" s="6">
        <v>15</v>
      </c>
      <c r="M50" s="6">
        <v>-1</v>
      </c>
      <c r="N50" s="6">
        <v>1</v>
      </c>
      <c r="O50" s="6">
        <v>1</v>
      </c>
      <c r="P50" s="15">
        <v>40.1</v>
      </c>
      <c r="Q50" s="16">
        <f t="shared" si="4"/>
        <v>39.75</v>
      </c>
    </row>
    <row r="51" spans="1:25" x14ac:dyDescent="0.25">
      <c r="A51" s="6">
        <v>9</v>
      </c>
      <c r="B51">
        <v>1</v>
      </c>
      <c r="C51" s="6">
        <v>-1</v>
      </c>
      <c r="D51" s="6">
        <v>-1</v>
      </c>
      <c r="E51" s="6">
        <v>-1</v>
      </c>
      <c r="F51" s="6">
        <f t="shared" si="0"/>
        <v>1</v>
      </c>
      <c r="G51" s="6">
        <f t="shared" si="1"/>
        <v>1</v>
      </c>
      <c r="H51" s="7">
        <f t="shared" si="2"/>
        <v>1</v>
      </c>
      <c r="I51" s="7">
        <f t="shared" si="3"/>
        <v>-1</v>
      </c>
      <c r="J51" s="6">
        <v>57.1</v>
      </c>
      <c r="L51" s="11">
        <v>2</v>
      </c>
      <c r="M51" s="11">
        <v>1</v>
      </c>
      <c r="N51" s="11">
        <v>-1</v>
      </c>
      <c r="O51" s="11">
        <v>-1</v>
      </c>
      <c r="P51" s="13">
        <v>61.2</v>
      </c>
      <c r="Q51" s="14"/>
    </row>
    <row r="52" spans="1:25" x14ac:dyDescent="0.25">
      <c r="A52" s="6">
        <v>10</v>
      </c>
      <c r="B52">
        <v>1</v>
      </c>
      <c r="C52" s="6">
        <v>1</v>
      </c>
      <c r="D52" s="6">
        <v>-1</v>
      </c>
      <c r="E52" s="6">
        <v>-1</v>
      </c>
      <c r="F52" s="6">
        <f t="shared" si="0"/>
        <v>-1</v>
      </c>
      <c r="G52" s="6">
        <f t="shared" si="1"/>
        <v>-1</v>
      </c>
      <c r="H52" s="7">
        <f t="shared" si="2"/>
        <v>1</v>
      </c>
      <c r="I52" s="7">
        <f t="shared" si="3"/>
        <v>1</v>
      </c>
      <c r="J52" s="6">
        <v>60.8</v>
      </c>
      <c r="L52" s="11">
        <v>10</v>
      </c>
      <c r="M52" s="11">
        <v>1</v>
      </c>
      <c r="N52" s="11">
        <v>-1</v>
      </c>
      <c r="O52" s="11">
        <v>-1</v>
      </c>
      <c r="P52" s="13">
        <v>60.8</v>
      </c>
      <c r="Q52" s="14">
        <f t="shared" si="4"/>
        <v>61</v>
      </c>
    </row>
    <row r="53" spans="1:25" x14ac:dyDescent="0.25">
      <c r="A53" s="6">
        <v>11</v>
      </c>
      <c r="B53">
        <v>1</v>
      </c>
      <c r="C53" s="6">
        <v>-1</v>
      </c>
      <c r="D53" s="6">
        <v>1</v>
      </c>
      <c r="E53" s="6">
        <v>-1</v>
      </c>
      <c r="F53" s="6">
        <f t="shared" si="0"/>
        <v>-1</v>
      </c>
      <c r="G53" s="6">
        <f t="shared" si="1"/>
        <v>1</v>
      </c>
      <c r="H53" s="7">
        <f t="shared" si="2"/>
        <v>-1</v>
      </c>
      <c r="I53" s="7">
        <f t="shared" si="3"/>
        <v>1</v>
      </c>
      <c r="J53" s="6">
        <v>41.9</v>
      </c>
      <c r="L53" s="6">
        <v>6</v>
      </c>
      <c r="M53" s="6">
        <v>1</v>
      </c>
      <c r="N53" s="6">
        <v>-1</v>
      </c>
      <c r="O53" s="6">
        <v>1</v>
      </c>
      <c r="P53" s="15">
        <v>58.5</v>
      </c>
      <c r="Q53" s="16"/>
    </row>
    <row r="54" spans="1:25" x14ac:dyDescent="0.25">
      <c r="A54" s="6">
        <v>12</v>
      </c>
      <c r="B54">
        <v>1</v>
      </c>
      <c r="C54" s="6">
        <v>1</v>
      </c>
      <c r="D54" s="6">
        <v>1</v>
      </c>
      <c r="E54" s="6">
        <v>-1</v>
      </c>
      <c r="F54" s="6">
        <f t="shared" si="0"/>
        <v>1</v>
      </c>
      <c r="G54" s="6">
        <f t="shared" si="1"/>
        <v>-1</v>
      </c>
      <c r="H54" s="7">
        <f t="shared" si="2"/>
        <v>-1</v>
      </c>
      <c r="I54" s="7">
        <f t="shared" si="3"/>
        <v>-1</v>
      </c>
      <c r="J54" s="6">
        <v>48.5</v>
      </c>
      <c r="L54" s="6">
        <v>14</v>
      </c>
      <c r="M54" s="6">
        <v>1</v>
      </c>
      <c r="N54" s="6">
        <v>-1</v>
      </c>
      <c r="O54" s="6">
        <v>1</v>
      </c>
      <c r="P54" s="15">
        <v>59.1</v>
      </c>
      <c r="Q54" s="16">
        <f t="shared" si="4"/>
        <v>58.8</v>
      </c>
    </row>
    <row r="55" spans="1:25" x14ac:dyDescent="0.25">
      <c r="A55" s="6">
        <v>13</v>
      </c>
      <c r="B55">
        <v>1</v>
      </c>
      <c r="C55" s="6">
        <v>-1</v>
      </c>
      <c r="D55" s="6">
        <v>-1</v>
      </c>
      <c r="E55" s="6">
        <v>1</v>
      </c>
      <c r="F55" s="6">
        <f t="shared" si="0"/>
        <v>1</v>
      </c>
      <c r="G55" s="6">
        <f t="shared" si="1"/>
        <v>-1</v>
      </c>
      <c r="H55" s="7">
        <f t="shared" si="2"/>
        <v>-1</v>
      </c>
      <c r="I55" s="7">
        <f t="shared" si="3"/>
        <v>1</v>
      </c>
      <c r="J55" s="6">
        <v>53.8</v>
      </c>
      <c r="L55" s="11">
        <v>4</v>
      </c>
      <c r="M55" s="11">
        <v>1</v>
      </c>
      <c r="N55" s="11">
        <v>1</v>
      </c>
      <c r="O55" s="11">
        <v>-1</v>
      </c>
      <c r="P55" s="13">
        <v>49.1</v>
      </c>
      <c r="Q55" s="14"/>
    </row>
    <row r="56" spans="1:25" x14ac:dyDescent="0.25">
      <c r="A56" s="6">
        <v>14</v>
      </c>
      <c r="B56">
        <v>1</v>
      </c>
      <c r="C56" s="6">
        <v>1</v>
      </c>
      <c r="D56" s="6">
        <v>-1</v>
      </c>
      <c r="E56" s="6">
        <v>1</v>
      </c>
      <c r="F56" s="6">
        <f t="shared" si="0"/>
        <v>-1</v>
      </c>
      <c r="G56" s="6">
        <f t="shared" si="1"/>
        <v>1</v>
      </c>
      <c r="H56" s="7">
        <f t="shared" si="2"/>
        <v>-1</v>
      </c>
      <c r="I56" s="7">
        <f t="shared" si="3"/>
        <v>-1</v>
      </c>
      <c r="J56" s="6">
        <v>59.1</v>
      </c>
      <c r="L56" s="11">
        <v>12</v>
      </c>
      <c r="M56" s="11">
        <v>1</v>
      </c>
      <c r="N56" s="11">
        <v>1</v>
      </c>
      <c r="O56" s="11">
        <v>-1</v>
      </c>
      <c r="P56" s="13">
        <v>48.5</v>
      </c>
      <c r="Q56" s="14">
        <f t="shared" si="4"/>
        <v>48.8</v>
      </c>
    </row>
    <row r="57" spans="1:25" x14ac:dyDescent="0.25">
      <c r="A57" s="6">
        <v>15</v>
      </c>
      <c r="B57">
        <v>1</v>
      </c>
      <c r="C57" s="6">
        <v>-1</v>
      </c>
      <c r="D57" s="6">
        <v>1</v>
      </c>
      <c r="E57" s="6">
        <v>1</v>
      </c>
      <c r="F57" s="6">
        <f t="shared" si="0"/>
        <v>-1</v>
      </c>
      <c r="G57" s="6">
        <f t="shared" si="1"/>
        <v>-1</v>
      </c>
      <c r="H57" s="7">
        <f t="shared" si="2"/>
        <v>1</v>
      </c>
      <c r="I57" s="7">
        <f t="shared" si="3"/>
        <v>-1</v>
      </c>
      <c r="J57" s="6">
        <v>40.1</v>
      </c>
      <c r="L57" s="6">
        <v>8</v>
      </c>
      <c r="M57" s="6">
        <v>1</v>
      </c>
      <c r="N57" s="6">
        <v>1</v>
      </c>
      <c r="O57" s="6">
        <v>1</v>
      </c>
      <c r="P57" s="15">
        <v>46.2</v>
      </c>
      <c r="Q57" s="16"/>
    </row>
    <row r="58" spans="1:25" x14ac:dyDescent="0.25">
      <c r="A58" s="6">
        <v>16</v>
      </c>
      <c r="B58">
        <v>1</v>
      </c>
      <c r="C58" s="6">
        <v>1</v>
      </c>
      <c r="D58" s="6">
        <v>1</v>
      </c>
      <c r="E58" s="6">
        <v>1</v>
      </c>
      <c r="F58" s="6">
        <f t="shared" si="0"/>
        <v>1</v>
      </c>
      <c r="G58" s="6">
        <f t="shared" si="1"/>
        <v>1</v>
      </c>
      <c r="H58" s="7">
        <f t="shared" si="2"/>
        <v>1</v>
      </c>
      <c r="I58" s="7">
        <f t="shared" si="3"/>
        <v>1</v>
      </c>
      <c r="J58" s="6">
        <v>45.8</v>
      </c>
      <c r="L58" s="6">
        <v>16</v>
      </c>
      <c r="M58" s="6">
        <v>1</v>
      </c>
      <c r="N58" s="6">
        <v>1</v>
      </c>
      <c r="O58" s="6">
        <v>1</v>
      </c>
      <c r="P58" s="15">
        <v>45.8</v>
      </c>
      <c r="Q58" s="16">
        <f>+AVERAGE(P57:P58)</f>
        <v>46</v>
      </c>
    </row>
    <row r="60" spans="1:25" x14ac:dyDescent="0.25">
      <c r="B60" t="s">
        <v>66</v>
      </c>
      <c r="S60" t="s">
        <v>67</v>
      </c>
      <c r="V60" t="s">
        <v>68</v>
      </c>
      <c r="X60" s="1" t="s">
        <v>78</v>
      </c>
    </row>
    <row r="61" spans="1:25" x14ac:dyDescent="0.25">
      <c r="B61" cm="1">
        <f t="array" ref="B61:Q68">+TRANSPOSE(B43:I58)</f>
        <v>1</v>
      </c>
      <c r="C61">
        <v>1</v>
      </c>
      <c r="D61">
        <v>1</v>
      </c>
      <c r="E61">
        <v>1</v>
      </c>
      <c r="F61">
        <v>1</v>
      </c>
      <c r="G61">
        <v>1</v>
      </c>
      <c r="H61">
        <v>1</v>
      </c>
      <c r="I61">
        <v>1</v>
      </c>
      <c r="J61">
        <v>1</v>
      </c>
      <c r="K61">
        <v>1</v>
      </c>
      <c r="L61">
        <v>1</v>
      </c>
      <c r="M61">
        <v>1</v>
      </c>
      <c r="N61">
        <v>1</v>
      </c>
      <c r="O61">
        <v>1</v>
      </c>
      <c r="P61">
        <v>1</v>
      </c>
      <c r="Q61">
        <v>1</v>
      </c>
      <c r="S61" cm="1">
        <f t="array" ref="S61:S68">+MMULT(_xlfn.ANCHORARRAY(B61),J43:J58)</f>
        <v>814.69999999999993</v>
      </c>
      <c r="V61">
        <f t="shared" ref="V61:V68" si="5">+S61/16</f>
        <v>50.918749999999996</v>
      </c>
      <c r="X61" s="33" t="s">
        <v>70</v>
      </c>
      <c r="Y61" s="34">
        <f>+V61</f>
        <v>50.918749999999996</v>
      </c>
    </row>
    <row r="62" spans="1:25" x14ac:dyDescent="0.25">
      <c r="B62">
        <v>-1</v>
      </c>
      <c r="C62">
        <v>1</v>
      </c>
      <c r="D62">
        <v>-1</v>
      </c>
      <c r="E62">
        <v>1</v>
      </c>
      <c r="F62">
        <v>-1</v>
      </c>
      <c r="G62">
        <v>1</v>
      </c>
      <c r="H62">
        <v>-1</v>
      </c>
      <c r="I62">
        <v>1</v>
      </c>
      <c r="J62">
        <v>-1</v>
      </c>
      <c r="K62">
        <v>1</v>
      </c>
      <c r="L62">
        <v>-1</v>
      </c>
      <c r="M62">
        <v>1</v>
      </c>
      <c r="N62">
        <v>-1</v>
      </c>
      <c r="O62">
        <v>1</v>
      </c>
      <c r="P62">
        <v>-1</v>
      </c>
      <c r="Q62">
        <v>1</v>
      </c>
      <c r="S62">
        <v>43.7</v>
      </c>
      <c r="V62">
        <f t="shared" si="5"/>
        <v>2.7312500000000002</v>
      </c>
      <c r="X62" s="33" t="s">
        <v>71</v>
      </c>
      <c r="Y62" s="34">
        <f t="shared" ref="Y62:Y68" si="6">+V62</f>
        <v>2.7312500000000002</v>
      </c>
    </row>
    <row r="63" spans="1:25" x14ac:dyDescent="0.25">
      <c r="B63">
        <v>-1</v>
      </c>
      <c r="C63">
        <v>-1</v>
      </c>
      <c r="D63">
        <v>1</v>
      </c>
      <c r="E63">
        <v>1</v>
      </c>
      <c r="F63">
        <v>-1</v>
      </c>
      <c r="G63">
        <v>-1</v>
      </c>
      <c r="H63">
        <v>1</v>
      </c>
      <c r="I63">
        <v>1</v>
      </c>
      <c r="J63">
        <v>-1</v>
      </c>
      <c r="K63">
        <v>-1</v>
      </c>
      <c r="L63">
        <v>1</v>
      </c>
      <c r="M63">
        <v>1</v>
      </c>
      <c r="N63">
        <v>-1</v>
      </c>
      <c r="O63">
        <v>-1</v>
      </c>
      <c r="P63">
        <v>1</v>
      </c>
      <c r="Q63">
        <v>1</v>
      </c>
      <c r="S63">
        <v>-107.7</v>
      </c>
      <c r="V63">
        <f t="shared" si="5"/>
        <v>-6.7312500000000002</v>
      </c>
      <c r="X63" s="33" t="s">
        <v>72</v>
      </c>
      <c r="Y63" s="34">
        <f t="shared" si="6"/>
        <v>-6.7312500000000002</v>
      </c>
    </row>
    <row r="64" spans="1:25" x14ac:dyDescent="0.25">
      <c r="B64">
        <v>-1</v>
      </c>
      <c r="C64">
        <v>-1</v>
      </c>
      <c r="D64">
        <v>-1</v>
      </c>
      <c r="E64">
        <v>-1</v>
      </c>
      <c r="F64">
        <v>1</v>
      </c>
      <c r="G64">
        <v>1</v>
      </c>
      <c r="H64">
        <v>1</v>
      </c>
      <c r="I64">
        <v>1</v>
      </c>
      <c r="J64">
        <v>-1</v>
      </c>
      <c r="K64">
        <v>-1</v>
      </c>
      <c r="L64">
        <v>-1</v>
      </c>
      <c r="M64">
        <v>-1</v>
      </c>
      <c r="N64">
        <v>1</v>
      </c>
      <c r="O64">
        <v>1</v>
      </c>
      <c r="P64">
        <v>1</v>
      </c>
      <c r="Q64">
        <v>1</v>
      </c>
      <c r="S64">
        <v>-20.500000000000014</v>
      </c>
      <c r="V64">
        <f t="shared" si="5"/>
        <v>-1.2812500000000009</v>
      </c>
      <c r="X64" s="33" t="s">
        <v>73</v>
      </c>
      <c r="Y64" s="34">
        <f t="shared" si="6"/>
        <v>-1.2812500000000009</v>
      </c>
    </row>
    <row r="65" spans="2:25" x14ac:dyDescent="0.25">
      <c r="B65">
        <v>1</v>
      </c>
      <c r="C65">
        <v>-1</v>
      </c>
      <c r="D65">
        <v>-1</v>
      </c>
      <c r="E65">
        <v>1</v>
      </c>
      <c r="F65">
        <v>1</v>
      </c>
      <c r="G65">
        <v>-1</v>
      </c>
      <c r="H65">
        <v>-1</v>
      </c>
      <c r="I65">
        <v>1</v>
      </c>
      <c r="J65">
        <v>1</v>
      </c>
      <c r="K65">
        <v>-1</v>
      </c>
      <c r="L65">
        <v>-1</v>
      </c>
      <c r="M65">
        <v>1</v>
      </c>
      <c r="N65">
        <v>1</v>
      </c>
      <c r="O65">
        <v>-1</v>
      </c>
      <c r="P65">
        <v>-1</v>
      </c>
      <c r="Q65">
        <v>1</v>
      </c>
      <c r="S65">
        <v>7.7000000000000028</v>
      </c>
      <c r="V65">
        <f t="shared" si="5"/>
        <v>0.48125000000000018</v>
      </c>
      <c r="X65" s="33" t="s">
        <v>74</v>
      </c>
      <c r="Y65" s="34">
        <f t="shared" si="6"/>
        <v>0.48125000000000018</v>
      </c>
    </row>
    <row r="66" spans="2:25" x14ac:dyDescent="0.25">
      <c r="B66">
        <v>1</v>
      </c>
      <c r="C66">
        <v>-1</v>
      </c>
      <c r="D66">
        <v>1</v>
      </c>
      <c r="E66">
        <v>-1</v>
      </c>
      <c r="F66">
        <v>-1</v>
      </c>
      <c r="G66">
        <v>1</v>
      </c>
      <c r="H66">
        <v>-1</v>
      </c>
      <c r="I66">
        <v>1</v>
      </c>
      <c r="J66">
        <v>1</v>
      </c>
      <c r="K66">
        <v>-1</v>
      </c>
      <c r="L66">
        <v>1</v>
      </c>
      <c r="M66">
        <v>-1</v>
      </c>
      <c r="N66">
        <v>-1</v>
      </c>
      <c r="O66">
        <v>1</v>
      </c>
      <c r="P66">
        <v>-1</v>
      </c>
      <c r="Q66">
        <v>1</v>
      </c>
      <c r="S66">
        <v>0.50000000000001421</v>
      </c>
      <c r="V66">
        <f t="shared" si="5"/>
        <v>3.1250000000000888E-2</v>
      </c>
      <c r="X66" s="33" t="s">
        <v>75</v>
      </c>
      <c r="Y66" s="34">
        <f t="shared" si="6"/>
        <v>3.1250000000000888E-2</v>
      </c>
    </row>
    <row r="67" spans="2:25" x14ac:dyDescent="0.25">
      <c r="B67">
        <v>1</v>
      </c>
      <c r="C67">
        <v>1</v>
      </c>
      <c r="D67">
        <v>-1</v>
      </c>
      <c r="E67">
        <v>-1</v>
      </c>
      <c r="F67">
        <v>-1</v>
      </c>
      <c r="G67">
        <v>-1</v>
      </c>
      <c r="H67">
        <v>1</v>
      </c>
      <c r="I67">
        <v>1</v>
      </c>
      <c r="J67">
        <v>1</v>
      </c>
      <c r="K67">
        <v>1</v>
      </c>
      <c r="L67">
        <v>-1</v>
      </c>
      <c r="M67">
        <v>-1</v>
      </c>
      <c r="N67">
        <v>-1</v>
      </c>
      <c r="O67">
        <v>-1</v>
      </c>
      <c r="P67">
        <v>1</v>
      </c>
      <c r="Q67">
        <v>1</v>
      </c>
      <c r="S67">
        <v>-0.50000000000000711</v>
      </c>
      <c r="V67">
        <f t="shared" si="5"/>
        <v>-3.1250000000000444E-2</v>
      </c>
      <c r="X67" s="33" t="s">
        <v>76</v>
      </c>
      <c r="Y67" s="34">
        <f t="shared" si="6"/>
        <v>-3.1250000000000444E-2</v>
      </c>
    </row>
    <row r="68" spans="2:25" x14ac:dyDescent="0.25">
      <c r="B68">
        <v>-1</v>
      </c>
      <c r="C68">
        <v>1</v>
      </c>
      <c r="D68">
        <v>1</v>
      </c>
      <c r="E68">
        <v>-1</v>
      </c>
      <c r="F68">
        <v>1</v>
      </c>
      <c r="G68">
        <v>-1</v>
      </c>
      <c r="H68">
        <v>-1</v>
      </c>
      <c r="I68">
        <v>1</v>
      </c>
      <c r="J68">
        <v>-1</v>
      </c>
      <c r="K68">
        <v>1</v>
      </c>
      <c r="L68">
        <v>1</v>
      </c>
      <c r="M68">
        <v>-1</v>
      </c>
      <c r="N68">
        <v>1</v>
      </c>
      <c r="O68">
        <v>-1</v>
      </c>
      <c r="P68">
        <v>-1</v>
      </c>
      <c r="Q68">
        <v>1</v>
      </c>
      <c r="S68">
        <v>-1.9000000000000057</v>
      </c>
      <c r="V68">
        <f t="shared" si="5"/>
        <v>-0.11875000000000036</v>
      </c>
      <c r="X68" s="33" t="s">
        <v>77</v>
      </c>
      <c r="Y68" s="34">
        <f t="shared" si="6"/>
        <v>-0.11875000000000036</v>
      </c>
    </row>
    <row r="70" spans="2:25" x14ac:dyDescent="0.25">
      <c r="B70" s="28" t="s">
        <v>269</v>
      </c>
    </row>
    <row r="71" spans="2:25" x14ac:dyDescent="0.25">
      <c r="B71" s="1" t="s">
        <v>79</v>
      </c>
    </row>
    <row r="72" spans="2:25" ht="13.9" customHeight="1" x14ac:dyDescent="0.25">
      <c r="B72" t="s">
        <v>28</v>
      </c>
    </row>
    <row r="73" spans="2:25" ht="15.75" thickBot="1" x14ac:dyDescent="0.3">
      <c r="N73" s="28" t="s">
        <v>268</v>
      </c>
    </row>
    <row r="74" spans="2:25" x14ac:dyDescent="0.25">
      <c r="B74" s="18" t="s">
        <v>29</v>
      </c>
      <c r="C74" s="18"/>
    </row>
    <row r="75" spans="2:25" x14ac:dyDescent="0.25">
      <c r="B75" t="s">
        <v>30</v>
      </c>
      <c r="C75">
        <v>0.99931177702564256</v>
      </c>
      <c r="M75" s="1"/>
      <c r="N75" s="1" t="s">
        <v>27</v>
      </c>
      <c r="O75" s="1"/>
    </row>
    <row r="76" spans="2:25" x14ac:dyDescent="0.25">
      <c r="B76" t="s">
        <v>31</v>
      </c>
      <c r="C76">
        <v>0.99862402770214764</v>
      </c>
    </row>
    <row r="77" spans="2:25" x14ac:dyDescent="0.25">
      <c r="B77" t="s">
        <v>32</v>
      </c>
      <c r="C77">
        <v>0.99742005194152683</v>
      </c>
    </row>
    <row r="78" spans="2:25" x14ac:dyDescent="0.25">
      <c r="B78" t="s">
        <v>33</v>
      </c>
      <c r="C78">
        <v>0.38810436740650273</v>
      </c>
    </row>
    <row r="79" spans="2:25" ht="15.75" thickBot="1" x14ac:dyDescent="0.3">
      <c r="B79" s="35" t="s">
        <v>34</v>
      </c>
      <c r="C79" s="35">
        <v>16</v>
      </c>
    </row>
    <row r="81" spans="2:10" ht="15.75" thickBot="1" x14ac:dyDescent="0.3">
      <c r="B81" t="s">
        <v>35</v>
      </c>
    </row>
    <row r="82" spans="2:10" x14ac:dyDescent="0.25">
      <c r="B82" s="17"/>
      <c r="C82" s="17" t="s">
        <v>40</v>
      </c>
      <c r="D82" s="17" t="s">
        <v>41</v>
      </c>
      <c r="E82" s="17" t="s">
        <v>42</v>
      </c>
      <c r="F82" s="17" t="s">
        <v>43</v>
      </c>
      <c r="G82" s="17" t="s">
        <v>44</v>
      </c>
    </row>
    <row r="83" spans="2:10" x14ac:dyDescent="0.25">
      <c r="B83" t="s">
        <v>36</v>
      </c>
      <c r="C83">
        <v>7</v>
      </c>
      <c r="D83">
        <v>874.53937499999995</v>
      </c>
      <c r="E83">
        <v>124.93419642857143</v>
      </c>
      <c r="F83">
        <v>829.4386484884318</v>
      </c>
      <c r="G83">
        <v>8.386646791716128E-11</v>
      </c>
    </row>
    <row r="84" spans="2:10" x14ac:dyDescent="0.25">
      <c r="B84" t="s">
        <v>37</v>
      </c>
      <c r="C84">
        <v>8</v>
      </c>
      <c r="D84">
        <v>1.2050000000000134</v>
      </c>
      <c r="E84">
        <v>0.15062500000000167</v>
      </c>
    </row>
    <row r="85" spans="2:10" ht="15.75" thickBot="1" x14ac:dyDescent="0.3">
      <c r="B85" s="35" t="s">
        <v>38</v>
      </c>
      <c r="C85" s="35">
        <v>15</v>
      </c>
      <c r="D85" s="35">
        <v>875.74437499999999</v>
      </c>
      <c r="E85" s="35"/>
      <c r="F85" s="35"/>
      <c r="G85" s="35"/>
    </row>
    <row r="86" spans="2:10" ht="15.75" thickBot="1" x14ac:dyDescent="0.3"/>
    <row r="87" spans="2:10" x14ac:dyDescent="0.25">
      <c r="B87" s="17"/>
      <c r="C87" s="17" t="s">
        <v>45</v>
      </c>
      <c r="D87" s="17" t="s">
        <v>33</v>
      </c>
      <c r="E87" s="17" t="s">
        <v>46</v>
      </c>
      <c r="F87" s="17" t="s">
        <v>47</v>
      </c>
      <c r="G87" s="17" t="s">
        <v>48</v>
      </c>
      <c r="H87" s="17" t="s">
        <v>49</v>
      </c>
      <c r="I87" s="17" t="s">
        <v>50</v>
      </c>
      <c r="J87" s="17" t="s">
        <v>51</v>
      </c>
    </row>
    <row r="88" spans="2:10" x14ac:dyDescent="0.25">
      <c r="B88" t="s">
        <v>39</v>
      </c>
      <c r="C88">
        <v>50.918749999999996</v>
      </c>
      <c r="D88">
        <v>9.7026091851625682E-2</v>
      </c>
      <c r="E88">
        <v>524.79440352875395</v>
      </c>
      <c r="F88" s="36">
        <v>1.9465207972871515E-19</v>
      </c>
      <c r="G88">
        <v>50.695007430967451</v>
      </c>
      <c r="H88">
        <v>51.142492569032541</v>
      </c>
      <c r="I88">
        <v>50.695007430967451</v>
      </c>
      <c r="J88">
        <v>51.142492569032541</v>
      </c>
    </row>
    <row r="89" spans="2:10" x14ac:dyDescent="0.25">
      <c r="B89" t="s">
        <v>24</v>
      </c>
      <c r="C89">
        <v>2.7312500000000011</v>
      </c>
      <c r="D89">
        <v>9.7026091851625682E-2</v>
      </c>
      <c r="E89">
        <v>28.149644573716166</v>
      </c>
      <c r="F89" s="36">
        <v>2.7398577977173672E-9</v>
      </c>
      <c r="G89">
        <v>2.5075074309674528</v>
      </c>
      <c r="H89">
        <v>2.9549925690325494</v>
      </c>
      <c r="I89">
        <v>2.5075074309674528</v>
      </c>
      <c r="J89">
        <v>2.9549925690325494</v>
      </c>
    </row>
    <row r="90" spans="2:10" x14ac:dyDescent="0.25">
      <c r="B90" t="s">
        <v>25</v>
      </c>
      <c r="C90">
        <v>-6.7312500000000002</v>
      </c>
      <c r="D90">
        <v>9.7026091851625682E-2</v>
      </c>
      <c r="E90">
        <v>-69.375668663369098</v>
      </c>
      <c r="F90" s="36">
        <v>2.0747412916711294E-12</v>
      </c>
      <c r="G90">
        <v>-6.954992569032548</v>
      </c>
      <c r="H90">
        <v>-6.5075074309674523</v>
      </c>
      <c r="I90">
        <v>-6.954992569032548</v>
      </c>
      <c r="J90">
        <v>-6.5075074309674523</v>
      </c>
    </row>
    <row r="91" spans="2:10" x14ac:dyDescent="0.25">
      <c r="B91" t="s">
        <v>16</v>
      </c>
      <c r="C91">
        <v>-1.2812499999999998</v>
      </c>
      <c r="D91">
        <v>9.7026091851625682E-2</v>
      </c>
      <c r="E91">
        <v>-13.205210841216958</v>
      </c>
      <c r="F91" s="36">
        <v>1.0306188279339715E-6</v>
      </c>
      <c r="G91">
        <v>-1.5049925690325479</v>
      </c>
      <c r="H91">
        <v>-1.0575074309674517</v>
      </c>
      <c r="I91">
        <v>-1.5049925690325479</v>
      </c>
      <c r="J91">
        <v>-1.0575074309674517</v>
      </c>
    </row>
    <row r="92" spans="2:10" x14ac:dyDescent="0.25">
      <c r="B92" t="s">
        <v>21</v>
      </c>
      <c r="C92">
        <v>0.48125000000000001</v>
      </c>
      <c r="D92">
        <v>9.7026091851625682E-2</v>
      </c>
      <c r="E92">
        <v>4.9600060232863701</v>
      </c>
      <c r="F92" s="36">
        <v>1.1068891234480305E-3</v>
      </c>
      <c r="G92">
        <v>0.25750743096745188</v>
      </c>
      <c r="H92">
        <v>0.70499256903254814</v>
      </c>
      <c r="I92">
        <v>0.25750743096745188</v>
      </c>
      <c r="J92">
        <v>0.70499256903254814</v>
      </c>
    </row>
    <row r="93" spans="2:10" x14ac:dyDescent="0.25">
      <c r="B93" t="s">
        <v>22</v>
      </c>
      <c r="C93">
        <v>3.1250000000000014E-2</v>
      </c>
      <c r="D93">
        <v>9.7026091851625682E-2</v>
      </c>
      <c r="E93">
        <v>0.3220783132004138</v>
      </c>
      <c r="F93" s="23">
        <v>0.75564859039542931</v>
      </c>
      <c r="G93">
        <v>-0.19249256903254813</v>
      </c>
      <c r="H93">
        <v>0.25499256903254819</v>
      </c>
      <c r="I93">
        <v>-0.19249256903254813</v>
      </c>
      <c r="J93">
        <v>0.25499256903254819</v>
      </c>
    </row>
    <row r="94" spans="2:10" x14ac:dyDescent="0.25">
      <c r="B94" t="s">
        <v>23</v>
      </c>
      <c r="C94">
        <v>-3.1249999999999247E-2</v>
      </c>
      <c r="D94">
        <v>9.7026091851625682E-2</v>
      </c>
      <c r="E94">
        <v>-0.32207831320040592</v>
      </c>
      <c r="F94" s="23">
        <v>0.75564859039543508</v>
      </c>
      <c r="G94">
        <v>-0.25499256903254741</v>
      </c>
      <c r="H94">
        <v>0.19249256903254891</v>
      </c>
      <c r="I94">
        <v>-0.25499256903254741</v>
      </c>
      <c r="J94">
        <v>0.19249256903254891</v>
      </c>
    </row>
    <row r="95" spans="2:10" ht="15.75" thickBot="1" x14ac:dyDescent="0.3">
      <c r="B95" s="35" t="s">
        <v>69</v>
      </c>
      <c r="C95" s="35">
        <v>-0.11874999999999995</v>
      </c>
      <c r="D95" s="35">
        <v>9.7026091851625682E-2</v>
      </c>
      <c r="E95" s="35">
        <v>-1.2238975901615714</v>
      </c>
      <c r="F95" s="24">
        <v>0.25581069741647838</v>
      </c>
      <c r="G95" s="35">
        <v>-0.3424925690325481</v>
      </c>
      <c r="H95" s="35">
        <v>0.10499256903254821</v>
      </c>
      <c r="I95" s="35">
        <v>-0.3424925690325481</v>
      </c>
      <c r="J95" s="35">
        <v>0.10499256903254821</v>
      </c>
    </row>
    <row r="99" spans="2:10" x14ac:dyDescent="0.25">
      <c r="B99" s="28" t="s">
        <v>270</v>
      </c>
    </row>
    <row r="100" spans="2:10" x14ac:dyDescent="0.25">
      <c r="D100" s="20" t="s">
        <v>52</v>
      </c>
      <c r="E100" s="20" t="s">
        <v>53</v>
      </c>
      <c r="F100" t="s">
        <v>81</v>
      </c>
      <c r="G100" s="20" t="s">
        <v>54</v>
      </c>
    </row>
    <row r="101" spans="2:10" x14ac:dyDescent="0.25">
      <c r="D101" s="21" t="s">
        <v>55</v>
      </c>
      <c r="E101" s="19">
        <v>50.92</v>
      </c>
      <c r="F101">
        <v>1.9465207972871515E-19</v>
      </c>
      <c r="G101" s="20" t="s">
        <v>56</v>
      </c>
    </row>
    <row r="102" spans="2:10" x14ac:dyDescent="0.25">
      <c r="D102" s="21" t="s">
        <v>57</v>
      </c>
      <c r="E102" s="19">
        <v>2.73</v>
      </c>
      <c r="F102">
        <v>2.7398577977173672E-9</v>
      </c>
      <c r="G102" s="20" t="s">
        <v>58</v>
      </c>
    </row>
    <row r="103" spans="2:10" x14ac:dyDescent="0.25">
      <c r="D103" s="21" t="s">
        <v>9</v>
      </c>
      <c r="E103" s="19">
        <v>-6.73</v>
      </c>
      <c r="F103">
        <v>2.0747412916711294E-12</v>
      </c>
      <c r="G103" s="20" t="s">
        <v>59</v>
      </c>
    </row>
    <row r="104" spans="2:10" x14ac:dyDescent="0.25">
      <c r="D104" s="21" t="s">
        <v>12</v>
      </c>
      <c r="E104" s="19">
        <v>-1.28</v>
      </c>
      <c r="F104">
        <v>1.0306188279339715E-6</v>
      </c>
      <c r="G104" s="20" t="s">
        <v>60</v>
      </c>
    </row>
    <row r="105" spans="2:10" x14ac:dyDescent="0.25">
      <c r="D105" s="21" t="s">
        <v>61</v>
      </c>
      <c r="E105" s="19">
        <v>0.48</v>
      </c>
      <c r="F105">
        <v>1.1068891234480305E-3</v>
      </c>
      <c r="G105" s="20" t="s">
        <v>62</v>
      </c>
    </row>
    <row r="106" spans="2:10" x14ac:dyDescent="0.25">
      <c r="D106" s="21" t="s">
        <v>63</v>
      </c>
      <c r="E106" s="19">
        <v>0.03</v>
      </c>
      <c r="F106">
        <v>0.75564859039542931</v>
      </c>
      <c r="G106" s="20" t="s">
        <v>64</v>
      </c>
      <c r="J106" t="s">
        <v>271</v>
      </c>
    </row>
    <row r="107" spans="2:10" x14ac:dyDescent="0.25">
      <c r="D107" s="21" t="s">
        <v>65</v>
      </c>
      <c r="E107" s="19">
        <v>-0.03</v>
      </c>
      <c r="F107">
        <v>0.75564859039543508</v>
      </c>
      <c r="G107" s="20" t="s">
        <v>64</v>
      </c>
      <c r="J107" t="s">
        <v>271</v>
      </c>
    </row>
    <row r="108" spans="2:10" ht="15.75" thickBot="1" x14ac:dyDescent="0.3">
      <c r="D108" s="21" t="s">
        <v>80</v>
      </c>
      <c r="E108" s="35">
        <v>-0.11874999999999995</v>
      </c>
      <c r="F108">
        <v>0.25581069741647838</v>
      </c>
      <c r="G108" s="20" t="s">
        <v>64</v>
      </c>
      <c r="J108" t="s">
        <v>271</v>
      </c>
    </row>
    <row r="110" spans="2:10" x14ac:dyDescent="0.25">
      <c r="B110" t="s">
        <v>228</v>
      </c>
    </row>
    <row r="111" spans="2:10" x14ac:dyDescent="0.25">
      <c r="B111" t="s">
        <v>229</v>
      </c>
    </row>
    <row r="114" spans="2:13" x14ac:dyDescent="0.25">
      <c r="B114" s="1" t="s">
        <v>82</v>
      </c>
    </row>
    <row r="115" spans="2:13" x14ac:dyDescent="0.25">
      <c r="B115" t="s">
        <v>83</v>
      </c>
      <c r="C115" t="s">
        <v>84</v>
      </c>
      <c r="D115" t="s">
        <v>85</v>
      </c>
      <c r="E115" t="s">
        <v>86</v>
      </c>
      <c r="H115" s="28" t="s">
        <v>272</v>
      </c>
    </row>
    <row r="116" spans="2:13" ht="30" x14ac:dyDescent="0.25">
      <c r="B116" s="10" t="s">
        <v>24</v>
      </c>
      <c r="C116" s="10" t="s">
        <v>25</v>
      </c>
      <c r="D116" s="10" t="s">
        <v>16</v>
      </c>
      <c r="E116" s="10" t="s">
        <v>21</v>
      </c>
      <c r="F116" s="10" t="s">
        <v>26</v>
      </c>
      <c r="H116" t="s">
        <v>28</v>
      </c>
    </row>
    <row r="117" spans="2:13" ht="15.75" thickBot="1" x14ac:dyDescent="0.3">
      <c r="B117" s="6">
        <v>-1</v>
      </c>
      <c r="C117" s="6">
        <v>-1</v>
      </c>
      <c r="D117" s="6">
        <v>-1</v>
      </c>
      <c r="E117" s="6">
        <f>+B117*C117</f>
        <v>1</v>
      </c>
      <c r="F117" s="6">
        <v>56.5</v>
      </c>
    </row>
    <row r="118" spans="2:13" x14ac:dyDescent="0.25">
      <c r="B118" s="6">
        <v>1</v>
      </c>
      <c r="C118" s="6">
        <v>-1</v>
      </c>
      <c r="D118" s="6">
        <v>-1</v>
      </c>
      <c r="E118" s="6">
        <f t="shared" ref="E118:E132" si="7">+B118*C118</f>
        <v>-1</v>
      </c>
      <c r="F118" s="6">
        <v>61.2</v>
      </c>
      <c r="H118" s="18" t="s">
        <v>29</v>
      </c>
      <c r="I118" s="18"/>
    </row>
    <row r="119" spans="2:13" x14ac:dyDescent="0.25">
      <c r="B119" s="6">
        <v>-1</v>
      </c>
      <c r="C119" s="6">
        <v>1</v>
      </c>
      <c r="D119" s="6">
        <v>-1</v>
      </c>
      <c r="E119" s="6">
        <f t="shared" si="7"/>
        <v>-1</v>
      </c>
      <c r="F119" s="6">
        <v>42.5</v>
      </c>
      <c r="H119" t="s">
        <v>30</v>
      </c>
      <c r="I119">
        <v>0.99916500429443733</v>
      </c>
    </row>
    <row r="120" spans="2:13" x14ac:dyDescent="0.25">
      <c r="B120" s="6">
        <v>1</v>
      </c>
      <c r="C120" s="6">
        <v>1</v>
      </c>
      <c r="D120" s="6">
        <v>-1</v>
      </c>
      <c r="E120" s="6">
        <f t="shared" si="7"/>
        <v>1</v>
      </c>
      <c r="F120" s="6">
        <v>49.1</v>
      </c>
      <c r="H120" t="s">
        <v>31</v>
      </c>
      <c r="I120">
        <v>0.99833070580670302</v>
      </c>
    </row>
    <row r="121" spans="2:13" x14ac:dyDescent="0.25">
      <c r="B121" s="6">
        <v>-1</v>
      </c>
      <c r="C121" s="6">
        <v>-1</v>
      </c>
      <c r="D121" s="6">
        <v>1</v>
      </c>
      <c r="E121" s="6">
        <f t="shared" si="7"/>
        <v>1</v>
      </c>
      <c r="F121" s="6">
        <v>54.2</v>
      </c>
      <c r="H121" t="s">
        <v>32</v>
      </c>
      <c r="I121">
        <v>0.99772368973641323</v>
      </c>
    </row>
    <row r="122" spans="2:13" x14ac:dyDescent="0.25">
      <c r="B122" s="6">
        <v>1</v>
      </c>
      <c r="C122" s="6">
        <v>-1</v>
      </c>
      <c r="D122" s="6">
        <v>1</v>
      </c>
      <c r="E122" s="6">
        <f t="shared" si="7"/>
        <v>-1</v>
      </c>
      <c r="F122" s="6">
        <v>58.5</v>
      </c>
      <c r="H122" t="s">
        <v>33</v>
      </c>
      <c r="I122">
        <v>0.36455140552839521</v>
      </c>
    </row>
    <row r="123" spans="2:13" ht="15.75" thickBot="1" x14ac:dyDescent="0.3">
      <c r="B123" s="6">
        <v>-1</v>
      </c>
      <c r="C123" s="6">
        <v>1</v>
      </c>
      <c r="D123" s="6">
        <v>1</v>
      </c>
      <c r="E123" s="6">
        <f t="shared" si="7"/>
        <v>-1</v>
      </c>
      <c r="F123" s="6">
        <v>39.4</v>
      </c>
      <c r="H123" s="35" t="s">
        <v>34</v>
      </c>
      <c r="I123" s="35">
        <v>16</v>
      </c>
    </row>
    <row r="124" spans="2:13" x14ac:dyDescent="0.25">
      <c r="B124" s="6">
        <v>1</v>
      </c>
      <c r="C124" s="6">
        <v>1</v>
      </c>
      <c r="D124" s="6">
        <v>1</v>
      </c>
      <c r="E124" s="6">
        <f t="shared" si="7"/>
        <v>1</v>
      </c>
      <c r="F124" s="6">
        <v>46.2</v>
      </c>
    </row>
    <row r="125" spans="2:13" ht="15.75" thickBot="1" x14ac:dyDescent="0.3">
      <c r="B125" s="6">
        <v>-1</v>
      </c>
      <c r="C125" s="6">
        <v>-1</v>
      </c>
      <c r="D125" s="6">
        <v>-1</v>
      </c>
      <c r="E125" s="6">
        <f t="shared" si="7"/>
        <v>1</v>
      </c>
      <c r="F125" s="6">
        <v>57.1</v>
      </c>
      <c r="H125" t="s">
        <v>35</v>
      </c>
    </row>
    <row r="126" spans="2:13" x14ac:dyDescent="0.25">
      <c r="B126" s="6">
        <v>1</v>
      </c>
      <c r="C126" s="6">
        <v>-1</v>
      </c>
      <c r="D126" s="6">
        <v>-1</v>
      </c>
      <c r="E126" s="6">
        <f t="shared" si="7"/>
        <v>-1</v>
      </c>
      <c r="F126" s="6">
        <v>60.8</v>
      </c>
      <c r="H126" s="17"/>
      <c r="I126" s="17" t="s">
        <v>40</v>
      </c>
      <c r="J126" s="17" t="s">
        <v>41</v>
      </c>
      <c r="K126" s="17" t="s">
        <v>42</v>
      </c>
      <c r="L126" s="17" t="s">
        <v>43</v>
      </c>
      <c r="M126" s="17" t="s">
        <v>44</v>
      </c>
    </row>
    <row r="127" spans="2:13" x14ac:dyDescent="0.25">
      <c r="B127" s="6">
        <v>-1</v>
      </c>
      <c r="C127" s="6">
        <v>1</v>
      </c>
      <c r="D127" s="6">
        <v>-1</v>
      </c>
      <c r="E127" s="6">
        <f t="shared" si="7"/>
        <v>-1</v>
      </c>
      <c r="F127" s="6">
        <v>41.9</v>
      </c>
      <c r="H127" t="s">
        <v>36</v>
      </c>
      <c r="I127">
        <v>4</v>
      </c>
      <c r="J127">
        <v>874.28250000000003</v>
      </c>
      <c r="K127">
        <v>218.57062500000001</v>
      </c>
      <c r="L127">
        <v>1644.6528430953251</v>
      </c>
      <c r="M127">
        <v>3.4374021603003764E-15</v>
      </c>
    </row>
    <row r="128" spans="2:13" x14ac:dyDescent="0.25">
      <c r="B128" s="6">
        <v>1</v>
      </c>
      <c r="C128" s="6">
        <v>1</v>
      </c>
      <c r="D128" s="6">
        <v>-1</v>
      </c>
      <c r="E128" s="6">
        <f t="shared" si="7"/>
        <v>1</v>
      </c>
      <c r="F128" s="6">
        <v>48.5</v>
      </c>
      <c r="H128" t="s">
        <v>37</v>
      </c>
      <c r="I128">
        <v>11</v>
      </c>
      <c r="J128">
        <v>1.4618750000000131</v>
      </c>
      <c r="K128">
        <v>0.13289772727272847</v>
      </c>
    </row>
    <row r="129" spans="2:16" ht="15.75" thickBot="1" x14ac:dyDescent="0.3">
      <c r="B129" s="6">
        <v>-1</v>
      </c>
      <c r="C129" s="6">
        <v>-1</v>
      </c>
      <c r="D129" s="6">
        <v>1</v>
      </c>
      <c r="E129" s="6">
        <f t="shared" si="7"/>
        <v>1</v>
      </c>
      <c r="F129" s="6">
        <v>53.8</v>
      </c>
      <c r="H129" s="35" t="s">
        <v>38</v>
      </c>
      <c r="I129" s="35">
        <v>15</v>
      </c>
      <c r="J129" s="35">
        <v>875.74437499999999</v>
      </c>
      <c r="K129" s="35"/>
      <c r="L129" s="35"/>
      <c r="M129" s="35"/>
    </row>
    <row r="130" spans="2:16" ht="15.75" thickBot="1" x14ac:dyDescent="0.3">
      <c r="B130" s="6">
        <v>1</v>
      </c>
      <c r="C130" s="6">
        <v>-1</v>
      </c>
      <c r="D130" s="6">
        <v>1</v>
      </c>
      <c r="E130" s="6">
        <f t="shared" si="7"/>
        <v>-1</v>
      </c>
      <c r="F130" s="6">
        <v>59.1</v>
      </c>
    </row>
    <row r="131" spans="2:16" x14ac:dyDescent="0.25">
      <c r="B131" s="6">
        <v>-1</v>
      </c>
      <c r="C131" s="6">
        <v>1</v>
      </c>
      <c r="D131" s="6">
        <v>1</v>
      </c>
      <c r="E131" s="6">
        <f t="shared" si="7"/>
        <v>-1</v>
      </c>
      <c r="F131" s="6">
        <v>40.1</v>
      </c>
      <c r="H131" s="17"/>
      <c r="I131" s="17" t="s">
        <v>45</v>
      </c>
      <c r="J131" s="17" t="s">
        <v>33</v>
      </c>
      <c r="K131" s="17" t="s">
        <v>46</v>
      </c>
      <c r="L131" s="17" t="s">
        <v>47</v>
      </c>
      <c r="M131" s="17" t="s">
        <v>48</v>
      </c>
      <c r="N131" s="17" t="s">
        <v>49</v>
      </c>
      <c r="O131" s="17" t="s">
        <v>50</v>
      </c>
      <c r="P131" s="17" t="s">
        <v>51</v>
      </c>
    </row>
    <row r="132" spans="2:16" x14ac:dyDescent="0.25">
      <c r="B132" s="6">
        <v>1</v>
      </c>
      <c r="C132" s="6">
        <v>1</v>
      </c>
      <c r="D132" s="6">
        <v>1</v>
      </c>
      <c r="E132" s="6">
        <f t="shared" si="7"/>
        <v>1</v>
      </c>
      <c r="F132" s="6">
        <v>45.8</v>
      </c>
      <c r="H132" t="s">
        <v>39</v>
      </c>
      <c r="I132">
        <v>50.918749999999996</v>
      </c>
      <c r="J132">
        <v>9.1137851382098803E-2</v>
      </c>
      <c r="K132">
        <v>558.70035586554764</v>
      </c>
      <c r="L132">
        <v>7.5857844103311266E-26</v>
      </c>
      <c r="M132">
        <v>50.718156941585356</v>
      </c>
      <c r="N132">
        <v>51.119343058414636</v>
      </c>
      <c r="O132">
        <v>50.718156941585356</v>
      </c>
      <c r="P132">
        <v>51.119343058414636</v>
      </c>
    </row>
    <row r="133" spans="2:16" x14ac:dyDescent="0.25">
      <c r="H133" t="s">
        <v>83</v>
      </c>
      <c r="I133">
        <v>2.7312499999999993</v>
      </c>
      <c r="J133">
        <v>9.1137851382098803E-2</v>
      </c>
      <c r="K133">
        <v>29.968338715262586</v>
      </c>
      <c r="L133">
        <v>6.74394673316355E-12</v>
      </c>
      <c r="M133">
        <v>2.5306569415853626</v>
      </c>
      <c r="N133">
        <v>2.931843058414636</v>
      </c>
      <c r="O133">
        <v>2.5306569415853626</v>
      </c>
      <c r="P133">
        <v>2.931843058414636</v>
      </c>
    </row>
    <row r="134" spans="2:16" x14ac:dyDescent="0.25">
      <c r="H134" t="s">
        <v>84</v>
      </c>
      <c r="I134">
        <v>-6.7312500000000002</v>
      </c>
      <c r="J134">
        <v>9.1137851382098803E-2</v>
      </c>
      <c r="K134">
        <v>-73.857896559125436</v>
      </c>
      <c r="L134">
        <v>3.4852876096836782E-16</v>
      </c>
      <c r="M134">
        <v>-6.9318430584146364</v>
      </c>
      <c r="N134">
        <v>-6.5306569415853639</v>
      </c>
      <c r="O134">
        <v>-6.9318430584146364</v>
      </c>
      <c r="P134">
        <v>-6.5306569415853639</v>
      </c>
    </row>
    <row r="135" spans="2:16" x14ac:dyDescent="0.25">
      <c r="C135" t="s">
        <v>88</v>
      </c>
      <c r="D135" t="s">
        <v>89</v>
      </c>
      <c r="H135" t="s">
        <v>85</v>
      </c>
      <c r="I135">
        <v>-1.2812499999999998</v>
      </c>
      <c r="J135">
        <v>9.1137851382098803E-2</v>
      </c>
      <c r="K135">
        <v>-14.058373996862313</v>
      </c>
      <c r="L135">
        <v>2.2506234020556982E-8</v>
      </c>
      <c r="M135">
        <v>-1.4818430584146365</v>
      </c>
      <c r="N135">
        <v>-1.0806569415853631</v>
      </c>
      <c r="O135">
        <v>-1.4818430584146365</v>
      </c>
      <c r="P135">
        <v>-1.0806569415853631</v>
      </c>
    </row>
    <row r="136" spans="2:16" ht="15.75" thickBot="1" x14ac:dyDescent="0.3">
      <c r="B136" t="s">
        <v>18</v>
      </c>
      <c r="C136">
        <v>210</v>
      </c>
      <c r="D136">
        <v>10</v>
      </c>
      <c r="H136" s="35" t="s">
        <v>86</v>
      </c>
      <c r="I136" s="35">
        <v>0.48125000000000001</v>
      </c>
      <c r="J136" s="35">
        <v>9.1137851382098803E-2</v>
      </c>
      <c r="K136" s="35">
        <v>5.2804624280897476</v>
      </c>
      <c r="L136" s="35">
        <v>2.6009923587961913E-4</v>
      </c>
      <c r="M136" s="35">
        <v>0.28065694158536336</v>
      </c>
      <c r="N136" s="35">
        <v>0.68184305841463666</v>
      </c>
      <c r="O136" s="35">
        <v>0.28065694158536336</v>
      </c>
      <c r="P136" s="35">
        <v>0.68184305841463666</v>
      </c>
    </row>
    <row r="137" spans="2:16" x14ac:dyDescent="0.25">
      <c r="B137" t="s">
        <v>19</v>
      </c>
      <c r="C137">
        <v>0.2</v>
      </c>
      <c r="D137">
        <v>9.9999999999999992E-2</v>
      </c>
    </row>
    <row r="138" spans="2:16" x14ac:dyDescent="0.25">
      <c r="B138" t="s">
        <v>20</v>
      </c>
      <c r="C138">
        <v>60</v>
      </c>
      <c r="D138">
        <v>20</v>
      </c>
      <c r="H138" s="37" t="s">
        <v>91</v>
      </c>
      <c r="I138" t="s">
        <v>87</v>
      </c>
    </row>
    <row r="139" spans="2:16" x14ac:dyDescent="0.25">
      <c r="H139" s="37" t="s">
        <v>92</v>
      </c>
      <c r="I139" t="s">
        <v>90</v>
      </c>
    </row>
    <row r="140" spans="2:16" x14ac:dyDescent="0.25">
      <c r="G140" s="22" t="s">
        <v>97</v>
      </c>
      <c r="H140" s="37" t="s">
        <v>99</v>
      </c>
      <c r="I140" t="s">
        <v>98</v>
      </c>
    </row>
    <row r="142" spans="2:16" x14ac:dyDescent="0.25">
      <c r="B142" s="1" t="s">
        <v>230</v>
      </c>
      <c r="I142" t="s">
        <v>93</v>
      </c>
    </row>
    <row r="143" spans="2:16" x14ac:dyDescent="0.25">
      <c r="I143" t="s">
        <v>31</v>
      </c>
      <c r="J143">
        <f>+I120</f>
        <v>0.99833070580670302</v>
      </c>
      <c r="L143" t="s">
        <v>96</v>
      </c>
    </row>
    <row r="144" spans="2:16" x14ac:dyDescent="0.25">
      <c r="B144" s="1" t="s">
        <v>231</v>
      </c>
    </row>
    <row r="145" spans="2:14" x14ac:dyDescent="0.25">
      <c r="I145" s="25" t="s">
        <v>94</v>
      </c>
    </row>
    <row r="146" spans="2:14" x14ac:dyDescent="0.25">
      <c r="B146" s="1" t="s">
        <v>232</v>
      </c>
      <c r="I146" t="s">
        <v>32</v>
      </c>
      <c r="J146" s="1">
        <f>+C77</f>
        <v>0.99742005194152683</v>
      </c>
    </row>
    <row r="147" spans="2:14" x14ac:dyDescent="0.25">
      <c r="I147" s="25" t="s">
        <v>95</v>
      </c>
    </row>
    <row r="148" spans="2:14" ht="14.25" customHeight="1" x14ac:dyDescent="0.25">
      <c r="B148" s="53" t="s">
        <v>233</v>
      </c>
      <c r="C148" s="53"/>
      <c r="D148" s="53"/>
      <c r="E148" s="53"/>
      <c r="F148" s="53"/>
      <c r="G148" s="53"/>
      <c r="I148" t="s">
        <v>32</v>
      </c>
      <c r="J148" s="1">
        <f>+I121</f>
        <v>0.99772368973641323</v>
      </c>
    </row>
    <row r="149" spans="2:14" x14ac:dyDescent="0.25">
      <c r="B149" s="53"/>
      <c r="C149" s="53"/>
      <c r="D149" s="53"/>
      <c r="E149" s="53"/>
      <c r="F149" s="53"/>
      <c r="G149" s="53"/>
    </row>
    <row r="150" spans="2:14" x14ac:dyDescent="0.25">
      <c r="B150" s="53"/>
      <c r="C150" s="53"/>
      <c r="D150" s="53"/>
      <c r="E150" s="53"/>
      <c r="F150" s="53"/>
      <c r="G150" s="53"/>
      <c r="H150" s="50" t="s">
        <v>108</v>
      </c>
      <c r="I150" s="50"/>
      <c r="J150" s="50"/>
      <c r="K150" s="50"/>
      <c r="L150" s="50"/>
      <c r="M150" s="50"/>
      <c r="N150" s="50"/>
    </row>
    <row r="151" spans="2:14" x14ac:dyDescent="0.25">
      <c r="H151" s="50"/>
      <c r="I151" s="50"/>
      <c r="J151" s="50"/>
      <c r="K151" s="50"/>
      <c r="L151" s="50"/>
      <c r="M151" s="50"/>
      <c r="N151" s="50"/>
    </row>
    <row r="152" spans="2:14" ht="14.25" customHeight="1" x14ac:dyDescent="0.25">
      <c r="B152" s="52" t="s">
        <v>234</v>
      </c>
      <c r="C152" s="52"/>
      <c r="D152" s="52"/>
      <c r="E152" s="52"/>
      <c r="F152" s="52"/>
      <c r="G152" s="52"/>
      <c r="H152" s="50"/>
      <c r="I152" s="50"/>
      <c r="J152" s="50"/>
      <c r="K152" s="50"/>
      <c r="L152" s="50"/>
      <c r="M152" s="50"/>
      <c r="N152" s="50"/>
    </row>
    <row r="153" spans="2:14" x14ac:dyDescent="0.25">
      <c r="B153" s="52"/>
      <c r="C153" s="52"/>
      <c r="D153" s="52"/>
      <c r="E153" s="52"/>
      <c r="F153" s="52"/>
      <c r="G153" s="52"/>
      <c r="H153" s="50"/>
      <c r="I153" s="50"/>
      <c r="J153" s="50"/>
      <c r="K153" s="50"/>
      <c r="L153" s="50"/>
      <c r="M153" s="50"/>
      <c r="N153" s="50"/>
    </row>
    <row r="156" spans="2:14" ht="15.75" thickBot="1" x14ac:dyDescent="0.3">
      <c r="H156" t="s">
        <v>100</v>
      </c>
    </row>
    <row r="157" spans="2:14" x14ac:dyDescent="0.25">
      <c r="H157" s="26" t="s">
        <v>44</v>
      </c>
    </row>
    <row r="158" spans="2:14" x14ac:dyDescent="0.25">
      <c r="H158" s="38">
        <f>+M127</f>
        <v>3.4374021603003764E-15</v>
      </c>
    </row>
    <row r="159" spans="2:14" x14ac:dyDescent="0.25">
      <c r="H159" t="s">
        <v>101</v>
      </c>
    </row>
    <row r="160" spans="2:14" x14ac:dyDescent="0.25">
      <c r="H160" t="s">
        <v>102</v>
      </c>
    </row>
    <row r="161" spans="2:17" x14ac:dyDescent="0.25">
      <c r="H161" s="1" t="s">
        <v>103</v>
      </c>
    </row>
    <row r="162" spans="2:17" x14ac:dyDescent="0.25">
      <c r="H162" t="s">
        <v>104</v>
      </c>
    </row>
    <row r="163" spans="2:17" x14ac:dyDescent="0.25">
      <c r="H163" t="s">
        <v>105</v>
      </c>
      <c r="I163">
        <f>+L127</f>
        <v>1644.6528430953251</v>
      </c>
    </row>
    <row r="164" spans="2:17" x14ac:dyDescent="0.25">
      <c r="H164" t="s">
        <v>106</v>
      </c>
      <c r="I164">
        <f>_xlfn.F.INV(0.95,I127,I128)</f>
        <v>3.3566900211325938</v>
      </c>
    </row>
    <row r="165" spans="2:17" x14ac:dyDescent="0.25">
      <c r="B165" s="28" t="s">
        <v>273</v>
      </c>
      <c r="H165" t="s">
        <v>107</v>
      </c>
    </row>
    <row r="167" spans="2:17" x14ac:dyDescent="0.25">
      <c r="B167" s="1" t="s">
        <v>109</v>
      </c>
      <c r="I167" t="s">
        <v>83</v>
      </c>
      <c r="J167" t="s">
        <v>84</v>
      </c>
      <c r="K167" t="s">
        <v>85</v>
      </c>
      <c r="L167" t="s">
        <v>111</v>
      </c>
      <c r="M167" t="s">
        <v>110</v>
      </c>
      <c r="N167" t="s">
        <v>112</v>
      </c>
      <c r="P167" t="s">
        <v>139</v>
      </c>
    </row>
    <row r="168" spans="2:17" ht="15.75" thickBot="1" x14ac:dyDescent="0.3">
      <c r="I168" s="6">
        <v>-1</v>
      </c>
      <c r="J168" s="6">
        <v>-1</v>
      </c>
      <c r="K168" s="6">
        <v>-1</v>
      </c>
      <c r="L168" s="6">
        <v>56.5</v>
      </c>
    </row>
    <row r="169" spans="2:17" x14ac:dyDescent="0.25">
      <c r="B169" s="18" t="s">
        <v>29</v>
      </c>
      <c r="C169" s="18"/>
      <c r="I169" s="6">
        <v>-1</v>
      </c>
      <c r="J169" s="6">
        <v>-1</v>
      </c>
      <c r="K169" s="6">
        <v>-1</v>
      </c>
      <c r="L169" s="6">
        <v>57.1</v>
      </c>
      <c r="M169">
        <f>+DEVSQ(L168:L169)</f>
        <v>0.18000000000000085</v>
      </c>
      <c r="N169">
        <f>+COUNT(L168:L169)-1</f>
        <v>1</v>
      </c>
      <c r="P169">
        <f>+L169-L168</f>
        <v>0.60000000000000142</v>
      </c>
      <c r="Q169">
        <f>+P169^2</f>
        <v>0.36000000000000171</v>
      </c>
    </row>
    <row r="170" spans="2:17" x14ac:dyDescent="0.25">
      <c r="B170" t="s">
        <v>30</v>
      </c>
      <c r="C170">
        <v>0.99916500429443733</v>
      </c>
      <c r="I170" s="6">
        <v>-1</v>
      </c>
      <c r="J170" s="6">
        <v>-1</v>
      </c>
      <c r="K170" s="6">
        <v>1</v>
      </c>
      <c r="L170" s="6">
        <v>54.2</v>
      </c>
    </row>
    <row r="171" spans="2:17" x14ac:dyDescent="0.25">
      <c r="B171" t="s">
        <v>31</v>
      </c>
      <c r="C171">
        <v>0.99833070580670302</v>
      </c>
      <c r="I171" s="6">
        <v>-1</v>
      </c>
      <c r="J171" s="6">
        <v>-1</v>
      </c>
      <c r="K171" s="6">
        <v>1</v>
      </c>
      <c r="L171" s="6">
        <v>53.8</v>
      </c>
      <c r="M171">
        <f t="shared" ref="M171" si="8">+DEVSQ(L170:L171)</f>
        <v>8.0000000000002278E-2</v>
      </c>
      <c r="N171">
        <f t="shared" ref="N171" si="9">+COUNT(L170:L171)-1</f>
        <v>1</v>
      </c>
      <c r="P171">
        <f t="shared" ref="P171:P183" si="10">+L171-L170</f>
        <v>-0.40000000000000568</v>
      </c>
      <c r="Q171">
        <f t="shared" ref="Q171:Q183" si="11">+P171^2</f>
        <v>0.16000000000000456</v>
      </c>
    </row>
    <row r="172" spans="2:17" x14ac:dyDescent="0.25">
      <c r="B172" t="s">
        <v>32</v>
      </c>
      <c r="C172">
        <v>0.99772368973641323</v>
      </c>
      <c r="I172" s="6">
        <v>-1</v>
      </c>
      <c r="J172" s="6">
        <v>1</v>
      </c>
      <c r="K172" s="6">
        <v>-1</v>
      </c>
      <c r="L172" s="6">
        <v>42.5</v>
      </c>
    </row>
    <row r="173" spans="2:17" x14ac:dyDescent="0.25">
      <c r="B173" t="s">
        <v>33</v>
      </c>
      <c r="C173">
        <v>0.36455140552839521</v>
      </c>
      <c r="I173" s="6">
        <v>-1</v>
      </c>
      <c r="J173" s="6">
        <v>1</v>
      </c>
      <c r="K173" s="6">
        <v>-1</v>
      </c>
      <c r="L173" s="6">
        <v>41.9</v>
      </c>
      <c r="M173">
        <f t="shared" ref="M173" si="12">+DEVSQ(L172:L173)</f>
        <v>0.18000000000000085</v>
      </c>
      <c r="N173">
        <f t="shared" ref="N173" si="13">+COUNT(L172:L173)-1</f>
        <v>1</v>
      </c>
      <c r="P173">
        <f t="shared" si="10"/>
        <v>-0.60000000000000142</v>
      </c>
      <c r="Q173">
        <f t="shared" si="11"/>
        <v>0.36000000000000171</v>
      </c>
    </row>
    <row r="174" spans="2:17" ht="15.75" thickBot="1" x14ac:dyDescent="0.3">
      <c r="B174" s="35" t="s">
        <v>34</v>
      </c>
      <c r="C174" s="35">
        <v>16</v>
      </c>
      <c r="I174" s="6">
        <v>-1</v>
      </c>
      <c r="J174" s="6">
        <v>1</v>
      </c>
      <c r="K174" s="6">
        <v>1</v>
      </c>
      <c r="L174" s="6">
        <v>39.4</v>
      </c>
    </row>
    <row r="175" spans="2:17" x14ac:dyDescent="0.25">
      <c r="I175" s="6">
        <v>-1</v>
      </c>
      <c r="J175" s="6">
        <v>1</v>
      </c>
      <c r="K175" s="6">
        <v>1</v>
      </c>
      <c r="L175" s="6">
        <v>40.1</v>
      </c>
      <c r="M175">
        <f t="shared" ref="M175" si="14">+DEVSQ(L174:L175)</f>
        <v>0.24500000000000199</v>
      </c>
      <c r="N175">
        <f t="shared" ref="N175" si="15">+COUNT(L174:L175)-1</f>
        <v>1</v>
      </c>
      <c r="P175">
        <f t="shared" si="10"/>
        <v>0.70000000000000284</v>
      </c>
      <c r="Q175">
        <f t="shared" si="11"/>
        <v>0.49000000000000399</v>
      </c>
    </row>
    <row r="176" spans="2:17" ht="15.75" thickBot="1" x14ac:dyDescent="0.3">
      <c r="B176" t="s">
        <v>35</v>
      </c>
      <c r="I176" s="6">
        <v>1</v>
      </c>
      <c r="J176" s="6">
        <v>-1</v>
      </c>
      <c r="K176" s="6">
        <v>-1</v>
      </c>
      <c r="L176" s="6">
        <v>61.2</v>
      </c>
    </row>
    <row r="177" spans="2:17" x14ac:dyDescent="0.25">
      <c r="B177" s="17"/>
      <c r="C177" s="17" t="s">
        <v>40</v>
      </c>
      <c r="D177" s="17" t="s">
        <v>41</v>
      </c>
      <c r="E177" s="17" t="s">
        <v>42</v>
      </c>
      <c r="F177" s="17" t="s">
        <v>43</v>
      </c>
      <c r="G177" s="17" t="s">
        <v>44</v>
      </c>
      <c r="I177" s="6">
        <v>1</v>
      </c>
      <c r="J177" s="6">
        <v>-1</v>
      </c>
      <c r="K177" s="6">
        <v>-1</v>
      </c>
      <c r="L177" s="6">
        <v>60.8</v>
      </c>
      <c r="M177">
        <f t="shared" ref="M177" si="16">+DEVSQ(L176:L177)</f>
        <v>8.0000000000002278E-2</v>
      </c>
      <c r="N177">
        <f t="shared" ref="N177" si="17">+COUNT(L176:L177)-1</f>
        <v>1</v>
      </c>
      <c r="P177">
        <f t="shared" si="10"/>
        <v>-0.40000000000000568</v>
      </c>
      <c r="Q177">
        <f t="shared" si="11"/>
        <v>0.16000000000000456</v>
      </c>
    </row>
    <row r="178" spans="2:17" x14ac:dyDescent="0.25">
      <c r="B178" t="s">
        <v>36</v>
      </c>
      <c r="C178">
        <v>4</v>
      </c>
      <c r="D178">
        <v>874.28250000000003</v>
      </c>
      <c r="E178">
        <v>218.57062500000001</v>
      </c>
      <c r="F178">
        <v>1644.6528430953251</v>
      </c>
      <c r="G178">
        <v>3.4374021603003764E-15</v>
      </c>
      <c r="I178" s="6">
        <v>1</v>
      </c>
      <c r="J178" s="6">
        <v>-1</v>
      </c>
      <c r="K178" s="6">
        <v>1</v>
      </c>
      <c r="L178" s="6">
        <v>58.5</v>
      </c>
    </row>
    <row r="179" spans="2:17" x14ac:dyDescent="0.25">
      <c r="B179" t="s">
        <v>37</v>
      </c>
      <c r="C179">
        <v>11</v>
      </c>
      <c r="D179">
        <v>1.4618750000000131</v>
      </c>
      <c r="E179">
        <v>0.13289772727272847</v>
      </c>
      <c r="I179" s="6">
        <v>1</v>
      </c>
      <c r="J179" s="6">
        <v>-1</v>
      </c>
      <c r="K179" s="6">
        <v>1</v>
      </c>
      <c r="L179" s="6">
        <v>59.1</v>
      </c>
      <c r="M179">
        <f t="shared" ref="M179" si="18">+DEVSQ(L178:L179)</f>
        <v>0.18000000000000085</v>
      </c>
      <c r="N179">
        <f t="shared" ref="N179" si="19">+COUNT(L178:L179)-1</f>
        <v>1</v>
      </c>
      <c r="P179">
        <f t="shared" si="10"/>
        <v>0.60000000000000142</v>
      </c>
      <c r="Q179">
        <f t="shared" si="11"/>
        <v>0.36000000000000171</v>
      </c>
    </row>
    <row r="180" spans="2:17" x14ac:dyDescent="0.25">
      <c r="B180" s="39" t="s">
        <v>109</v>
      </c>
      <c r="C180" s="39">
        <f>+C179-C181</f>
        <v>3</v>
      </c>
      <c r="D180" s="39">
        <f>+D179-D181</f>
        <v>0.25687500000000085</v>
      </c>
      <c r="E180" s="39">
        <f>+D180/C180</f>
        <v>8.5625000000000284E-2</v>
      </c>
      <c r="F180" s="39">
        <f>+E180/E181</f>
        <v>0.56846473029045252</v>
      </c>
      <c r="G180" s="40">
        <f>1-_xlfn.F.DIST(F180,C180,C181,1)</f>
        <v>0.65119436350134285</v>
      </c>
      <c r="I180" s="6">
        <v>1</v>
      </c>
      <c r="J180" s="6">
        <v>1</v>
      </c>
      <c r="K180" s="6">
        <v>-1</v>
      </c>
      <c r="L180" s="6">
        <v>49.1</v>
      </c>
    </row>
    <row r="181" spans="2:17" x14ac:dyDescent="0.25">
      <c r="B181" s="39" t="s">
        <v>110</v>
      </c>
      <c r="C181" s="39">
        <f>+N184</f>
        <v>8</v>
      </c>
      <c r="D181" s="39">
        <f>+M184</f>
        <v>1.2050000000000123</v>
      </c>
      <c r="E181" s="39">
        <f>+D181/C181</f>
        <v>0.15062500000000154</v>
      </c>
      <c r="F181" s="39"/>
      <c r="G181" s="39"/>
      <c r="I181" s="6">
        <v>1</v>
      </c>
      <c r="J181" s="6">
        <v>1</v>
      </c>
      <c r="K181" s="6">
        <v>-1</v>
      </c>
      <c r="L181" s="6">
        <v>48.5</v>
      </c>
      <c r="M181">
        <f t="shared" ref="M181" si="20">+DEVSQ(L180:L181)</f>
        <v>0.18000000000000085</v>
      </c>
      <c r="N181">
        <f t="shared" ref="N181" si="21">+COUNT(L180:L181)-1</f>
        <v>1</v>
      </c>
      <c r="P181">
        <f t="shared" si="10"/>
        <v>-0.60000000000000142</v>
      </c>
      <c r="Q181">
        <f t="shared" si="11"/>
        <v>0.36000000000000171</v>
      </c>
    </row>
    <row r="182" spans="2:17" ht="15.75" thickBot="1" x14ac:dyDescent="0.3">
      <c r="B182" s="35" t="s">
        <v>38</v>
      </c>
      <c r="C182" s="35">
        <v>15</v>
      </c>
      <c r="D182" s="35">
        <v>875.74437499999999</v>
      </c>
      <c r="E182" s="35"/>
      <c r="F182" s="35"/>
      <c r="G182" s="35"/>
      <c r="I182" s="6">
        <v>1</v>
      </c>
      <c r="J182" s="6">
        <v>1</v>
      </c>
      <c r="K182" s="6">
        <v>1</v>
      </c>
      <c r="L182" s="6">
        <v>46.2</v>
      </c>
    </row>
    <row r="183" spans="2:17" x14ac:dyDescent="0.25">
      <c r="I183" s="6">
        <v>1</v>
      </c>
      <c r="J183" s="6">
        <v>1</v>
      </c>
      <c r="K183" s="6">
        <v>1</v>
      </c>
      <c r="L183" s="6">
        <v>45.8</v>
      </c>
      <c r="M183">
        <f t="shared" ref="M183" si="22">+DEVSQ(L182:L183)</f>
        <v>8.0000000000002278E-2</v>
      </c>
      <c r="N183">
        <f t="shared" ref="N183" si="23">+COUNT(L182:L183)-1</f>
        <v>1</v>
      </c>
      <c r="P183">
        <f t="shared" si="10"/>
        <v>-0.40000000000000568</v>
      </c>
      <c r="Q183">
        <f t="shared" si="11"/>
        <v>0.16000000000000456</v>
      </c>
    </row>
    <row r="184" spans="2:17" x14ac:dyDescent="0.25">
      <c r="C184" t="s">
        <v>113</v>
      </c>
      <c r="M184" s="41">
        <f>SUM(M168:M183)</f>
        <v>1.2050000000000123</v>
      </c>
      <c r="N184" s="41">
        <f>SUM(N168:N183)</f>
        <v>8</v>
      </c>
      <c r="Q184">
        <f>SUM(Q169:Q183)</f>
        <v>2.4100000000000246</v>
      </c>
    </row>
    <row r="185" spans="2:17" x14ac:dyDescent="0.25">
      <c r="C185" t="s">
        <v>114</v>
      </c>
      <c r="Q185">
        <f>+Q184/2</f>
        <v>1.2050000000000123</v>
      </c>
    </row>
    <row r="186" spans="2:17" x14ac:dyDescent="0.25">
      <c r="L186" t="s">
        <v>140</v>
      </c>
      <c r="M186">
        <f>+M184/N184</f>
        <v>0.15062500000000154</v>
      </c>
    </row>
    <row r="187" spans="2:17" x14ac:dyDescent="0.25">
      <c r="C187" t="s">
        <v>116</v>
      </c>
      <c r="L187" s="22" t="s">
        <v>141</v>
      </c>
      <c r="M187">
        <f>+SQRT(M186/C174)</f>
        <v>9.702609185162564E-2</v>
      </c>
    </row>
    <row r="188" spans="2:17" x14ac:dyDescent="0.25">
      <c r="C188" s="1" t="s">
        <v>115</v>
      </c>
    </row>
    <row r="189" spans="2:17" x14ac:dyDescent="0.25">
      <c r="C189" s="1"/>
    </row>
    <row r="190" spans="2:17" x14ac:dyDescent="0.25">
      <c r="C190" s="28" t="s">
        <v>274</v>
      </c>
    </row>
    <row r="191" spans="2:17" ht="14.25" customHeight="1" x14ac:dyDescent="0.25">
      <c r="C191" s="50" t="s">
        <v>125</v>
      </c>
      <c r="D191" s="50"/>
      <c r="E191" s="50"/>
      <c r="F191" s="50"/>
      <c r="G191" s="50"/>
      <c r="H191" s="50"/>
      <c r="I191" s="50"/>
      <c r="J191" s="50"/>
    </row>
    <row r="192" spans="2:17" x14ac:dyDescent="0.25">
      <c r="C192" s="50"/>
      <c r="D192" s="50"/>
      <c r="E192" s="50"/>
      <c r="F192" s="50"/>
      <c r="G192" s="50"/>
      <c r="H192" s="50"/>
      <c r="I192" s="50"/>
      <c r="J192" s="50"/>
    </row>
    <row r="193" spans="2:10" x14ac:dyDescent="0.25">
      <c r="C193" s="50"/>
      <c r="D193" s="50"/>
      <c r="E193" s="50"/>
      <c r="F193" s="50"/>
      <c r="G193" s="50"/>
      <c r="H193" s="50"/>
      <c r="I193" s="50"/>
      <c r="J193" s="50"/>
    </row>
    <row r="194" spans="2:10" x14ac:dyDescent="0.25">
      <c r="C194" s="50"/>
      <c r="D194" s="50"/>
      <c r="E194" s="50"/>
      <c r="F194" s="50"/>
      <c r="G194" s="50"/>
      <c r="H194" s="50"/>
      <c r="I194" s="50"/>
      <c r="J194" s="50"/>
    </row>
    <row r="195" spans="2:10" ht="14.25" customHeight="1" x14ac:dyDescent="0.25">
      <c r="C195" s="50" t="s">
        <v>235</v>
      </c>
      <c r="D195" s="50"/>
      <c r="E195" s="50"/>
      <c r="F195" s="50"/>
      <c r="G195" s="50"/>
      <c r="H195" s="50"/>
      <c r="I195" s="50"/>
      <c r="J195" s="50"/>
    </row>
    <row r="196" spans="2:10" x14ac:dyDescent="0.25">
      <c r="C196" s="50"/>
      <c r="D196" s="50"/>
      <c r="E196" s="50"/>
      <c r="F196" s="50"/>
      <c r="G196" s="50"/>
      <c r="H196" s="50"/>
      <c r="I196" s="50"/>
      <c r="J196" s="50"/>
    </row>
    <row r="197" spans="2:10" x14ac:dyDescent="0.25">
      <c r="C197" s="50"/>
      <c r="D197" s="50"/>
      <c r="E197" s="50"/>
      <c r="F197" s="50"/>
      <c r="G197" s="50"/>
      <c r="H197" s="50"/>
      <c r="I197" s="50"/>
      <c r="J197" s="50"/>
    </row>
    <row r="198" spans="2:10" x14ac:dyDescent="0.25">
      <c r="C198" s="50"/>
      <c r="D198" s="50"/>
      <c r="E198" s="50"/>
      <c r="F198" s="50"/>
      <c r="G198" s="50"/>
      <c r="H198" s="50"/>
      <c r="I198" s="50"/>
      <c r="J198" s="50"/>
    </row>
    <row r="199" spans="2:10" x14ac:dyDescent="0.25">
      <c r="B199" s="28" t="s">
        <v>275</v>
      </c>
    </row>
    <row r="200" spans="2:10" x14ac:dyDescent="0.25">
      <c r="B200" s="1" t="s">
        <v>117</v>
      </c>
    </row>
    <row r="201" spans="2:10" x14ac:dyDescent="0.25">
      <c r="B201" t="s">
        <v>28</v>
      </c>
    </row>
    <row r="202" spans="2:10" ht="15.75" thickBot="1" x14ac:dyDescent="0.3"/>
    <row r="203" spans="2:10" x14ac:dyDescent="0.25">
      <c r="B203" s="18" t="s">
        <v>29</v>
      </c>
      <c r="C203" s="18"/>
    </row>
    <row r="204" spans="2:10" x14ac:dyDescent="0.25">
      <c r="B204" t="s">
        <v>30</v>
      </c>
      <c r="C204">
        <v>0.99916500429443733</v>
      </c>
    </row>
    <row r="205" spans="2:10" x14ac:dyDescent="0.25">
      <c r="B205" t="s">
        <v>31</v>
      </c>
      <c r="C205">
        <v>0.99833070580670302</v>
      </c>
    </row>
    <row r="206" spans="2:10" x14ac:dyDescent="0.25">
      <c r="B206" t="s">
        <v>32</v>
      </c>
      <c r="C206">
        <v>0.99772368973641323</v>
      </c>
    </row>
    <row r="207" spans="2:10" x14ac:dyDescent="0.25">
      <c r="B207" t="s">
        <v>33</v>
      </c>
      <c r="C207">
        <v>0.36455140552839521</v>
      </c>
    </row>
    <row r="208" spans="2:10" ht="15.75" thickBot="1" x14ac:dyDescent="0.3">
      <c r="B208" s="35" t="s">
        <v>34</v>
      </c>
      <c r="C208" s="35">
        <v>16</v>
      </c>
    </row>
    <row r="210" spans="2:10" ht="15.75" thickBot="1" x14ac:dyDescent="0.3">
      <c r="B210" t="s">
        <v>35</v>
      </c>
    </row>
    <row r="211" spans="2:10" x14ac:dyDescent="0.25">
      <c r="B211" s="17"/>
      <c r="C211" s="17" t="s">
        <v>40</v>
      </c>
      <c r="D211" s="17" t="s">
        <v>41</v>
      </c>
      <c r="E211" s="17" t="s">
        <v>42</v>
      </c>
      <c r="F211" s="17" t="s">
        <v>43</v>
      </c>
      <c r="G211" s="17" t="s">
        <v>44</v>
      </c>
    </row>
    <row r="212" spans="2:10" x14ac:dyDescent="0.25">
      <c r="B212" t="s">
        <v>36</v>
      </c>
      <c r="C212">
        <v>4</v>
      </c>
      <c r="D212">
        <v>874.28250000000003</v>
      </c>
      <c r="E212">
        <v>218.57062500000001</v>
      </c>
      <c r="F212">
        <v>1644.6528430953251</v>
      </c>
      <c r="G212">
        <v>3.4374021603003764E-15</v>
      </c>
    </row>
    <row r="213" spans="2:10" x14ac:dyDescent="0.25">
      <c r="B213" t="s">
        <v>37</v>
      </c>
      <c r="C213">
        <v>11</v>
      </c>
      <c r="D213">
        <v>1.4618750000000131</v>
      </c>
      <c r="E213">
        <v>0.13289772727272847</v>
      </c>
    </row>
    <row r="214" spans="2:10" ht="15.75" thickBot="1" x14ac:dyDescent="0.3">
      <c r="B214" s="35" t="s">
        <v>38</v>
      </c>
      <c r="C214" s="35">
        <v>15</v>
      </c>
      <c r="D214" s="35">
        <v>875.74437499999999</v>
      </c>
      <c r="E214" s="35"/>
      <c r="F214" s="35"/>
      <c r="G214" s="35"/>
    </row>
    <row r="215" spans="2:10" ht="15.75" thickBot="1" x14ac:dyDescent="0.3"/>
    <row r="216" spans="2:10" x14ac:dyDescent="0.25">
      <c r="B216" s="17"/>
      <c r="C216" s="17" t="s">
        <v>45</v>
      </c>
      <c r="D216" s="17" t="s">
        <v>33</v>
      </c>
      <c r="E216" s="17" t="s">
        <v>46</v>
      </c>
      <c r="F216" s="17" t="s">
        <v>47</v>
      </c>
      <c r="G216" s="17" t="s">
        <v>48</v>
      </c>
      <c r="H216" s="17" t="s">
        <v>49</v>
      </c>
      <c r="I216" s="17" t="s">
        <v>50</v>
      </c>
      <c r="J216" s="17" t="s">
        <v>51</v>
      </c>
    </row>
    <row r="217" spans="2:10" x14ac:dyDescent="0.25">
      <c r="B217" t="s">
        <v>39</v>
      </c>
      <c r="C217">
        <v>50.918749999999996</v>
      </c>
      <c r="D217">
        <v>9.1137851382098803E-2</v>
      </c>
      <c r="E217">
        <v>558.70035586554764</v>
      </c>
      <c r="F217">
        <v>7.5857844103311266E-26</v>
      </c>
      <c r="G217">
        <v>50.718156941585356</v>
      </c>
      <c r="H217">
        <v>51.119343058414636</v>
      </c>
      <c r="I217">
        <v>50.718156941585356</v>
      </c>
      <c r="J217">
        <v>51.119343058414636</v>
      </c>
    </row>
    <row r="218" spans="2:10" x14ac:dyDescent="0.25">
      <c r="B218" t="s">
        <v>24</v>
      </c>
      <c r="C218">
        <v>2.7312499999999993</v>
      </c>
      <c r="D218">
        <v>9.1137851382098803E-2</v>
      </c>
      <c r="E218">
        <v>29.968338715262586</v>
      </c>
      <c r="F218">
        <v>6.74394673316355E-12</v>
      </c>
      <c r="G218">
        <v>2.5306569415853626</v>
      </c>
      <c r="H218">
        <v>2.931843058414636</v>
      </c>
      <c r="I218">
        <v>2.5306569415853626</v>
      </c>
      <c r="J218">
        <v>2.931843058414636</v>
      </c>
    </row>
    <row r="219" spans="2:10" x14ac:dyDescent="0.25">
      <c r="B219" t="s">
        <v>25</v>
      </c>
      <c r="C219">
        <v>-6.7312500000000002</v>
      </c>
      <c r="D219">
        <v>9.1137851382098803E-2</v>
      </c>
      <c r="E219">
        <v>-73.857896559125436</v>
      </c>
      <c r="F219">
        <v>3.4852876096836782E-16</v>
      </c>
      <c r="G219">
        <v>-6.9318430584146364</v>
      </c>
      <c r="H219">
        <v>-6.5306569415853639</v>
      </c>
      <c r="I219">
        <v>-6.9318430584146364</v>
      </c>
      <c r="J219">
        <v>-6.5306569415853639</v>
      </c>
    </row>
    <row r="220" spans="2:10" x14ac:dyDescent="0.25">
      <c r="B220" t="s">
        <v>16</v>
      </c>
      <c r="C220">
        <v>-1.2812499999999998</v>
      </c>
      <c r="D220">
        <v>9.1137851382098803E-2</v>
      </c>
      <c r="E220">
        <v>-14.058373996862313</v>
      </c>
      <c r="F220">
        <v>2.2506234020556982E-8</v>
      </c>
      <c r="G220">
        <v>-1.4818430584146365</v>
      </c>
      <c r="H220">
        <v>-1.0806569415853631</v>
      </c>
      <c r="I220">
        <v>-1.4818430584146365</v>
      </c>
      <c r="J220">
        <v>-1.0806569415853631</v>
      </c>
    </row>
    <row r="221" spans="2:10" ht="15.75" thickBot="1" x14ac:dyDescent="0.3">
      <c r="B221" s="35" t="s">
        <v>21</v>
      </c>
      <c r="C221" s="35">
        <v>0.48125000000000001</v>
      </c>
      <c r="D221" s="35">
        <v>9.1137851382098803E-2</v>
      </c>
      <c r="E221" s="35">
        <v>5.2804624280897476</v>
      </c>
      <c r="F221" s="35">
        <v>2.6009923587961913E-4</v>
      </c>
      <c r="G221" s="35">
        <v>0.28065694158536336</v>
      </c>
      <c r="H221" s="35">
        <v>0.68184305841463666</v>
      </c>
      <c r="I221" s="35">
        <v>0.28065694158536336</v>
      </c>
      <c r="J221" s="35">
        <v>0.68184305841463666</v>
      </c>
    </row>
    <row r="225" spans="2:8" x14ac:dyDescent="0.25">
      <c r="B225" t="s">
        <v>118</v>
      </c>
      <c r="G225" t="s">
        <v>123</v>
      </c>
    </row>
    <row r="226" spans="2:8" ht="15.75" thickBot="1" x14ac:dyDescent="0.3"/>
    <row r="227" spans="2:8" x14ac:dyDescent="0.25">
      <c r="B227" s="17" t="s">
        <v>119</v>
      </c>
      <c r="C227" s="17" t="s">
        <v>120</v>
      </c>
      <c r="D227" s="17" t="s">
        <v>121</v>
      </c>
      <c r="E227" s="17" t="s">
        <v>122</v>
      </c>
      <c r="G227" s="17" t="s">
        <v>124</v>
      </c>
      <c r="H227" s="17" t="s">
        <v>26</v>
      </c>
    </row>
    <row r="228" spans="2:8" x14ac:dyDescent="0.25">
      <c r="B228">
        <v>1</v>
      </c>
      <c r="C228">
        <v>56.681250000000006</v>
      </c>
      <c r="D228">
        <v>-0.18125000000000568</v>
      </c>
      <c r="E228">
        <v>-0.58058862819947277</v>
      </c>
      <c r="G228">
        <v>3.125</v>
      </c>
      <c r="H228">
        <v>39.4</v>
      </c>
    </row>
    <row r="229" spans="2:8" x14ac:dyDescent="0.25">
      <c r="B229">
        <v>2</v>
      </c>
      <c r="C229">
        <v>61.181249999999991</v>
      </c>
      <c r="D229">
        <v>1.8750000000011369E-2</v>
      </c>
      <c r="E229">
        <v>6.0060892572393783E-2</v>
      </c>
      <c r="G229">
        <v>9.375</v>
      </c>
      <c r="H229">
        <v>40.1</v>
      </c>
    </row>
    <row r="230" spans="2:8" x14ac:dyDescent="0.25">
      <c r="B230">
        <v>3</v>
      </c>
      <c r="C230">
        <v>42.256249999999994</v>
      </c>
      <c r="D230">
        <v>0.24375000000000568</v>
      </c>
      <c r="E230">
        <v>0.78079160344066389</v>
      </c>
      <c r="G230">
        <v>15.625</v>
      </c>
      <c r="H230">
        <v>41.9</v>
      </c>
    </row>
    <row r="231" spans="2:8" x14ac:dyDescent="0.25">
      <c r="B231">
        <v>4</v>
      </c>
      <c r="C231">
        <v>48.681249999999991</v>
      </c>
      <c r="D231">
        <v>0.41875000000000995</v>
      </c>
      <c r="E231">
        <v>1.341359934116013</v>
      </c>
      <c r="G231">
        <v>21.875</v>
      </c>
      <c r="H231">
        <v>42.5</v>
      </c>
    </row>
    <row r="232" spans="2:8" x14ac:dyDescent="0.25">
      <c r="B232">
        <v>5</v>
      </c>
      <c r="C232">
        <v>54.118750000000006</v>
      </c>
      <c r="D232">
        <v>8.1249999999997158E-2</v>
      </c>
      <c r="E232">
        <v>0.2602638678135395</v>
      </c>
      <c r="G232">
        <v>28.125</v>
      </c>
      <c r="H232">
        <v>45.8</v>
      </c>
    </row>
    <row r="233" spans="2:8" x14ac:dyDescent="0.25">
      <c r="B233">
        <v>6</v>
      </c>
      <c r="C233">
        <v>58.618749999999991</v>
      </c>
      <c r="D233">
        <v>-0.11874999999999147</v>
      </c>
      <c r="E233">
        <v>-0.38038565295823601</v>
      </c>
      <c r="G233">
        <v>34.375</v>
      </c>
      <c r="H233">
        <v>46.2</v>
      </c>
    </row>
    <row r="234" spans="2:8" x14ac:dyDescent="0.25">
      <c r="B234">
        <v>7</v>
      </c>
      <c r="C234">
        <v>39.693749999999994</v>
      </c>
      <c r="D234">
        <v>-0.29374999999999574</v>
      </c>
      <c r="E234">
        <v>-0.94095398363358507</v>
      </c>
      <c r="G234">
        <v>40.625</v>
      </c>
      <c r="H234">
        <v>48.5</v>
      </c>
    </row>
    <row r="235" spans="2:8" x14ac:dyDescent="0.25">
      <c r="B235">
        <v>8</v>
      </c>
      <c r="C235">
        <v>46.118749999999991</v>
      </c>
      <c r="D235">
        <v>8.1250000000011369E-2</v>
      </c>
      <c r="E235">
        <v>0.26026386781358501</v>
      </c>
      <c r="G235">
        <v>46.875</v>
      </c>
      <c r="H235">
        <v>49.1</v>
      </c>
    </row>
    <row r="236" spans="2:8" x14ac:dyDescent="0.25">
      <c r="B236">
        <v>9</v>
      </c>
      <c r="C236">
        <v>56.681250000000006</v>
      </c>
      <c r="D236">
        <v>0.41874999999999574</v>
      </c>
      <c r="E236">
        <v>1.3413599341159674</v>
      </c>
      <c r="G236">
        <v>53.125</v>
      </c>
      <c r="H236">
        <v>53.8</v>
      </c>
    </row>
    <row r="237" spans="2:8" x14ac:dyDescent="0.25">
      <c r="B237">
        <v>10</v>
      </c>
      <c r="C237">
        <v>61.181249999999991</v>
      </c>
      <c r="D237">
        <v>-0.38124999999999432</v>
      </c>
      <c r="E237">
        <v>-1.2212381489712483</v>
      </c>
      <c r="G237">
        <v>59.375</v>
      </c>
      <c r="H237">
        <v>54.2</v>
      </c>
    </row>
    <row r="238" spans="2:8" x14ac:dyDescent="0.25">
      <c r="B238">
        <v>11</v>
      </c>
      <c r="C238">
        <v>42.256249999999994</v>
      </c>
      <c r="D238">
        <v>-0.35624999999999574</v>
      </c>
      <c r="E238">
        <v>-1.1411569588747763</v>
      </c>
      <c r="G238">
        <v>65.625</v>
      </c>
      <c r="H238">
        <v>56.5</v>
      </c>
    </row>
    <row r="239" spans="2:8" x14ac:dyDescent="0.25">
      <c r="B239">
        <v>12</v>
      </c>
      <c r="C239">
        <v>48.681249999999991</v>
      </c>
      <c r="D239">
        <v>-0.18124999999999147</v>
      </c>
      <c r="E239">
        <v>-0.58058862819942725</v>
      </c>
      <c r="G239">
        <v>71.875</v>
      </c>
      <c r="H239">
        <v>57.1</v>
      </c>
    </row>
    <row r="240" spans="2:8" x14ac:dyDescent="0.25">
      <c r="B240">
        <v>13</v>
      </c>
      <c r="C240">
        <v>54.118750000000006</v>
      </c>
      <c r="D240">
        <v>-0.31875000000000853</v>
      </c>
      <c r="E240">
        <v>-1.0210351737301024</v>
      </c>
      <c r="G240">
        <v>78.125</v>
      </c>
      <c r="H240">
        <v>58.5</v>
      </c>
    </row>
    <row r="241" spans="2:9" x14ac:dyDescent="0.25">
      <c r="B241">
        <v>14</v>
      </c>
      <c r="C241">
        <v>58.618749999999991</v>
      </c>
      <c r="D241">
        <v>0.48125000000000995</v>
      </c>
      <c r="E241">
        <v>1.5415629093572043</v>
      </c>
      <c r="G241">
        <v>84.375</v>
      </c>
      <c r="H241">
        <v>59.1</v>
      </c>
    </row>
    <row r="242" spans="2:9" x14ac:dyDescent="0.25">
      <c r="B242">
        <v>15</v>
      </c>
      <c r="C242">
        <v>39.693749999999994</v>
      </c>
      <c r="D242">
        <v>0.40625000000000711</v>
      </c>
      <c r="E242">
        <v>1.3013193390677655</v>
      </c>
      <c r="G242">
        <v>90.625</v>
      </c>
      <c r="H242">
        <v>60.8</v>
      </c>
    </row>
    <row r="243" spans="2:9" ht="15.75" thickBot="1" x14ac:dyDescent="0.3">
      <c r="B243" s="35">
        <v>16</v>
      </c>
      <c r="C243" s="35">
        <v>46.118749999999991</v>
      </c>
      <c r="D243" s="35">
        <v>-0.31874999999999432</v>
      </c>
      <c r="E243" s="35">
        <v>-1.0210351737300569</v>
      </c>
      <c r="G243" s="35">
        <v>96.875</v>
      </c>
      <c r="H243" s="35">
        <v>61.2</v>
      </c>
    </row>
    <row r="256" spans="2:9" x14ac:dyDescent="0.25">
      <c r="I256" t="s">
        <v>126</v>
      </c>
    </row>
    <row r="257" spans="2:9" x14ac:dyDescent="0.25">
      <c r="I257" t="s">
        <v>127</v>
      </c>
    </row>
    <row r="259" spans="2:9" x14ac:dyDescent="0.25">
      <c r="I259" t="s">
        <v>128</v>
      </c>
    </row>
    <row r="260" spans="2:9" x14ac:dyDescent="0.25">
      <c r="I260" t="s">
        <v>129</v>
      </c>
    </row>
    <row r="264" spans="2:9" x14ac:dyDescent="0.25">
      <c r="B264" s="28" t="s">
        <v>158</v>
      </c>
    </row>
    <row r="265" spans="2:9" x14ac:dyDescent="0.25">
      <c r="B265" s="51" t="s">
        <v>236</v>
      </c>
      <c r="C265" s="51"/>
      <c r="D265" s="51"/>
      <c r="E265" s="51"/>
      <c r="F265" s="51"/>
      <c r="G265" s="51"/>
      <c r="H265" s="51"/>
      <c r="I265" s="51"/>
    </row>
    <row r="266" spans="2:9" x14ac:dyDescent="0.25">
      <c r="B266" s="51"/>
      <c r="C266" s="51"/>
      <c r="D266" s="51"/>
      <c r="E266" s="51"/>
      <c r="F266" s="51"/>
      <c r="G266" s="51"/>
      <c r="H266" s="51"/>
      <c r="I266" s="51"/>
    </row>
    <row r="268" spans="2:9" x14ac:dyDescent="0.25">
      <c r="B268" t="s">
        <v>130</v>
      </c>
      <c r="D268" t="s">
        <v>131</v>
      </c>
    </row>
    <row r="269" spans="2:9" x14ac:dyDescent="0.25">
      <c r="B269" t="s">
        <v>132</v>
      </c>
      <c r="D269" t="s">
        <v>133</v>
      </c>
    </row>
    <row r="271" spans="2:9" x14ac:dyDescent="0.25">
      <c r="B271" t="s">
        <v>134</v>
      </c>
      <c r="E271" t="s">
        <v>135</v>
      </c>
      <c r="F271">
        <f>+I133</f>
        <v>2.7312499999999993</v>
      </c>
    </row>
    <row r="272" spans="2:9" x14ac:dyDescent="0.25">
      <c r="B272" t="s">
        <v>136</v>
      </c>
      <c r="F272">
        <f>+M187</f>
        <v>9.702609185162564E-2</v>
      </c>
    </row>
    <row r="273" spans="2:10" x14ac:dyDescent="0.25">
      <c r="B273" t="s">
        <v>137</v>
      </c>
      <c r="F273">
        <f>+C181</f>
        <v>8</v>
      </c>
    </row>
    <row r="274" spans="2:10" x14ac:dyDescent="0.25">
      <c r="B274" t="s">
        <v>138</v>
      </c>
      <c r="F274">
        <v>0.05</v>
      </c>
    </row>
    <row r="276" spans="2:10" x14ac:dyDescent="0.25">
      <c r="B276" t="s">
        <v>142</v>
      </c>
      <c r="E276">
        <f>+F271/F272</f>
        <v>28.149644573716159</v>
      </c>
    </row>
    <row r="277" spans="2:10" x14ac:dyDescent="0.25">
      <c r="B277" t="s">
        <v>143</v>
      </c>
      <c r="E277">
        <f>_xlfn.T.INV.2T(0.05, 8)</f>
        <v>2.3060041352041671</v>
      </c>
    </row>
    <row r="279" spans="2:10" x14ac:dyDescent="0.25">
      <c r="B279" t="s">
        <v>237</v>
      </c>
    </row>
    <row r="280" spans="2:10" x14ac:dyDescent="0.25">
      <c r="B280" s="52" t="s">
        <v>238</v>
      </c>
      <c r="C280" s="52"/>
      <c r="D280" s="52"/>
      <c r="E280" s="52"/>
      <c r="F280" s="52"/>
      <c r="G280" s="52"/>
      <c r="H280" s="52"/>
    </row>
    <row r="281" spans="2:10" x14ac:dyDescent="0.25">
      <c r="B281" s="52"/>
      <c r="C281" s="52"/>
      <c r="D281" s="52"/>
      <c r="E281" s="52"/>
      <c r="F281" s="52"/>
      <c r="G281" s="52"/>
      <c r="H281" s="52"/>
    </row>
    <row r="283" spans="2:10" x14ac:dyDescent="0.25">
      <c r="B283" s="28" t="s">
        <v>157</v>
      </c>
    </row>
    <row r="284" spans="2:10" x14ac:dyDescent="0.25">
      <c r="B284" s="50" t="s">
        <v>144</v>
      </c>
      <c r="C284" s="50"/>
      <c r="D284" s="50"/>
      <c r="E284" s="50"/>
      <c r="F284" s="50"/>
      <c r="G284" s="50"/>
      <c r="H284" s="50"/>
      <c r="I284" s="50"/>
      <c r="J284" s="50"/>
    </row>
    <row r="285" spans="2:10" x14ac:dyDescent="0.25">
      <c r="B285" s="50"/>
      <c r="C285" s="50"/>
      <c r="D285" s="50"/>
      <c r="E285" s="50"/>
      <c r="F285" s="50"/>
      <c r="G285" s="50"/>
      <c r="H285" s="50"/>
      <c r="I285" s="50"/>
      <c r="J285" s="50"/>
    </row>
    <row r="286" spans="2:10" x14ac:dyDescent="0.25">
      <c r="B286" s="50"/>
      <c r="C286" s="50"/>
      <c r="D286" s="50"/>
      <c r="E286" s="50"/>
      <c r="F286" s="50"/>
      <c r="G286" s="50"/>
      <c r="H286" s="50"/>
      <c r="I286" s="50"/>
      <c r="J286" s="50"/>
    </row>
    <row r="287" spans="2:10" x14ac:dyDescent="0.25">
      <c r="B287" t="s">
        <v>130</v>
      </c>
      <c r="D287" t="s">
        <v>145</v>
      </c>
    </row>
    <row r="288" spans="2:10" x14ac:dyDescent="0.25">
      <c r="B288" t="s">
        <v>132</v>
      </c>
      <c r="D288" t="s">
        <v>146</v>
      </c>
    </row>
    <row r="290" spans="2:8" x14ac:dyDescent="0.25">
      <c r="B290" t="s">
        <v>147</v>
      </c>
    </row>
    <row r="291" spans="2:8" x14ac:dyDescent="0.25">
      <c r="B291" t="s">
        <v>134</v>
      </c>
      <c r="E291" t="s">
        <v>135</v>
      </c>
      <c r="F291">
        <f>+F271</f>
        <v>2.7312499999999993</v>
      </c>
    </row>
    <row r="292" spans="2:8" x14ac:dyDescent="0.25">
      <c r="B292" t="s">
        <v>148</v>
      </c>
    </row>
    <row r="293" spans="2:8" x14ac:dyDescent="0.25">
      <c r="B293" t="s">
        <v>149</v>
      </c>
      <c r="C293">
        <f>16*(F291)^2</f>
        <v>119.35562499999993</v>
      </c>
      <c r="D293" t="s">
        <v>150</v>
      </c>
    </row>
    <row r="295" spans="2:8" x14ac:dyDescent="0.25">
      <c r="B295" t="s">
        <v>151</v>
      </c>
    </row>
    <row r="296" spans="2:8" x14ac:dyDescent="0.25">
      <c r="B296" t="s">
        <v>152</v>
      </c>
      <c r="E296">
        <v>1</v>
      </c>
    </row>
    <row r="297" spans="2:8" x14ac:dyDescent="0.25">
      <c r="B297" t="s">
        <v>153</v>
      </c>
      <c r="E297">
        <f>+C293</f>
        <v>119.35562499999993</v>
      </c>
    </row>
    <row r="298" spans="2:8" x14ac:dyDescent="0.25">
      <c r="B298" t="s">
        <v>154</v>
      </c>
      <c r="E298">
        <f>+E181</f>
        <v>0.15062500000000154</v>
      </c>
    </row>
    <row r="300" spans="2:8" x14ac:dyDescent="0.25">
      <c r="B300" t="s">
        <v>142</v>
      </c>
      <c r="E300" t="s">
        <v>155</v>
      </c>
      <c r="G300" s="22" t="s">
        <v>105</v>
      </c>
      <c r="H300">
        <f>+E297/E298</f>
        <v>792.40248962654744</v>
      </c>
    </row>
    <row r="301" spans="2:8" x14ac:dyDescent="0.25">
      <c r="B301" t="s">
        <v>143</v>
      </c>
      <c r="E301">
        <f>_xlfn.F.INV.RT(0.05, 1, 8)</f>
        <v>5.3176550715787174</v>
      </c>
    </row>
    <row r="303" spans="2:8" x14ac:dyDescent="0.25">
      <c r="B303" t="s">
        <v>156</v>
      </c>
    </row>
    <row r="305" spans="2:12" x14ac:dyDescent="0.25">
      <c r="B305" t="s">
        <v>239</v>
      </c>
    </row>
    <row r="307" spans="2:12" x14ac:dyDescent="0.25">
      <c r="B307" s="28" t="s">
        <v>164</v>
      </c>
    </row>
    <row r="309" spans="2:12" x14ac:dyDescent="0.25">
      <c r="B309" s="51" t="s">
        <v>159</v>
      </c>
      <c r="C309" s="51"/>
      <c r="D309" s="51"/>
      <c r="E309" s="51"/>
      <c r="F309" s="51"/>
      <c r="G309" s="51"/>
      <c r="H309" s="51"/>
      <c r="I309" s="51"/>
      <c r="J309" s="51"/>
      <c r="K309" s="51"/>
      <c r="L309" s="51"/>
    </row>
    <row r="310" spans="2:12" x14ac:dyDescent="0.25">
      <c r="B310" s="51"/>
      <c r="C310" s="51"/>
      <c r="D310" s="51"/>
      <c r="E310" s="51"/>
      <c r="F310" s="51"/>
      <c r="G310" s="51"/>
      <c r="H310" s="51"/>
      <c r="I310" s="51"/>
      <c r="J310" s="51"/>
      <c r="K310" s="51"/>
      <c r="L310" s="51"/>
    </row>
    <row r="311" spans="2:12" x14ac:dyDescent="0.25">
      <c r="B311" t="s">
        <v>130</v>
      </c>
      <c r="D311" t="s">
        <v>240</v>
      </c>
    </row>
    <row r="312" spans="2:12" x14ac:dyDescent="0.25">
      <c r="B312" t="s">
        <v>132</v>
      </c>
      <c r="D312" t="s">
        <v>241</v>
      </c>
    </row>
    <row r="314" spans="2:12" x14ac:dyDescent="0.25">
      <c r="B314" t="s">
        <v>160</v>
      </c>
      <c r="E314">
        <f>+C221</f>
        <v>0.48125000000000001</v>
      </c>
    </row>
    <row r="315" spans="2:12" x14ac:dyDescent="0.25">
      <c r="B315" t="s">
        <v>136</v>
      </c>
      <c r="E315">
        <f>+F272</f>
        <v>9.702609185162564E-2</v>
      </c>
    </row>
    <row r="316" spans="2:12" x14ac:dyDescent="0.25">
      <c r="B316" t="s">
        <v>137</v>
      </c>
      <c r="E316">
        <f>+F273</f>
        <v>8</v>
      </c>
    </row>
    <row r="317" spans="2:12" x14ac:dyDescent="0.25">
      <c r="B317" t="s">
        <v>161</v>
      </c>
      <c r="E317">
        <v>0.05</v>
      </c>
    </row>
    <row r="318" spans="2:12" x14ac:dyDescent="0.25">
      <c r="B318" t="s">
        <v>143</v>
      </c>
      <c r="E318">
        <f>_xlfn.T.INV.2T(0.05, 8)</f>
        <v>2.3060041352041671</v>
      </c>
    </row>
    <row r="320" spans="2:12" x14ac:dyDescent="0.25">
      <c r="B320" t="s">
        <v>142</v>
      </c>
      <c r="E320" t="s">
        <v>162</v>
      </c>
      <c r="H320">
        <f>E314/E315</f>
        <v>4.9600060232863727</v>
      </c>
    </row>
    <row r="321" spans="2:11" x14ac:dyDescent="0.25">
      <c r="B321" t="s">
        <v>163</v>
      </c>
    </row>
    <row r="323" spans="2:11" ht="14.25" customHeight="1" x14ac:dyDescent="0.25">
      <c r="B323" s="51" t="s">
        <v>242</v>
      </c>
      <c r="C323" s="51"/>
      <c r="D323" s="51"/>
      <c r="E323" s="51"/>
      <c r="F323" s="51"/>
      <c r="G323" s="51"/>
      <c r="H323" s="51"/>
      <c r="I323" s="51"/>
      <c r="J323" s="51"/>
      <c r="K323" s="51"/>
    </row>
    <row r="324" spans="2:11" x14ac:dyDescent="0.25">
      <c r="B324" s="51"/>
      <c r="C324" s="51"/>
      <c r="D324" s="51"/>
      <c r="E324" s="51"/>
      <c r="F324" s="51"/>
      <c r="G324" s="51"/>
      <c r="H324" s="51"/>
      <c r="I324" s="51"/>
      <c r="J324" s="51"/>
      <c r="K324" s="51"/>
    </row>
    <row r="325" spans="2:11" x14ac:dyDescent="0.25">
      <c r="B325" s="51"/>
      <c r="C325" s="51"/>
      <c r="D325" s="51"/>
      <c r="E325" s="51"/>
      <c r="F325" s="51"/>
      <c r="G325" s="51"/>
      <c r="H325" s="51"/>
      <c r="I325" s="51"/>
      <c r="J325" s="51"/>
      <c r="K325" s="51"/>
    </row>
    <row r="327" spans="2:11" x14ac:dyDescent="0.25">
      <c r="B327" s="28" t="s">
        <v>165</v>
      </c>
    </row>
    <row r="328" spans="2:11" ht="15.75" thickBot="1" x14ac:dyDescent="0.3"/>
    <row r="329" spans="2:11" x14ac:dyDescent="0.25">
      <c r="B329" t="s">
        <v>175</v>
      </c>
      <c r="H329" s="17"/>
      <c r="I329" s="17" t="s">
        <v>45</v>
      </c>
    </row>
    <row r="330" spans="2:11" x14ac:dyDescent="0.25">
      <c r="B330" s="22" t="s">
        <v>166</v>
      </c>
      <c r="C330" t="s">
        <v>174</v>
      </c>
      <c r="D330" t="s">
        <v>167</v>
      </c>
      <c r="H330" t="s">
        <v>39</v>
      </c>
      <c r="I330">
        <v>50.918749999999996</v>
      </c>
    </row>
    <row r="331" spans="2:11" x14ac:dyDescent="0.25">
      <c r="B331" s="22" t="s">
        <v>168</v>
      </c>
      <c r="C331" t="s">
        <v>171</v>
      </c>
      <c r="D331">
        <f>+C217+C218</f>
        <v>53.649999999999991</v>
      </c>
      <c r="H331" t="s">
        <v>24</v>
      </c>
      <c r="I331">
        <v>2.7312499999999993</v>
      </c>
    </row>
    <row r="332" spans="2:11" x14ac:dyDescent="0.25">
      <c r="B332" s="22" t="s">
        <v>169</v>
      </c>
      <c r="C332" t="s">
        <v>172</v>
      </c>
      <c r="D332">
        <f>+C217-C218</f>
        <v>48.1875</v>
      </c>
      <c r="H332" t="s">
        <v>25</v>
      </c>
      <c r="I332">
        <v>-6.7312500000000002</v>
      </c>
    </row>
    <row r="333" spans="2:11" x14ac:dyDescent="0.25">
      <c r="B333" s="22" t="s">
        <v>170</v>
      </c>
      <c r="C333" t="s">
        <v>173</v>
      </c>
      <c r="D333">
        <f>+D331-D332</f>
        <v>5.4624999999999915</v>
      </c>
      <c r="H333" t="s">
        <v>16</v>
      </c>
      <c r="I333">
        <v>-1.2812499999999998</v>
      </c>
    </row>
    <row r="334" spans="2:11" ht="15.75" thickBot="1" x14ac:dyDescent="0.3">
      <c r="H334" s="35" t="s">
        <v>21</v>
      </c>
      <c r="I334" s="35">
        <v>0.48125000000000001</v>
      </c>
    </row>
    <row r="336" spans="2:11" x14ac:dyDescent="0.25">
      <c r="B336" t="s">
        <v>176</v>
      </c>
    </row>
    <row r="337" spans="2:10" x14ac:dyDescent="0.25">
      <c r="B337" s="22" t="s">
        <v>166</v>
      </c>
      <c r="C337" t="s">
        <v>174</v>
      </c>
      <c r="D337" t="s">
        <v>167</v>
      </c>
    </row>
    <row r="338" spans="2:10" x14ac:dyDescent="0.25">
      <c r="B338" s="22" t="s">
        <v>168</v>
      </c>
      <c r="C338" t="s">
        <v>177</v>
      </c>
      <c r="D338">
        <f>+I330+I332</f>
        <v>44.187499999999993</v>
      </c>
    </row>
    <row r="339" spans="2:10" x14ac:dyDescent="0.25">
      <c r="B339" s="22" t="s">
        <v>169</v>
      </c>
      <c r="C339" t="s">
        <v>178</v>
      </c>
      <c r="D339">
        <f>+I330-I332</f>
        <v>57.65</v>
      </c>
    </row>
    <row r="340" spans="2:10" x14ac:dyDescent="0.25">
      <c r="B340" s="22" t="s">
        <v>170</v>
      </c>
      <c r="C340" t="s">
        <v>173</v>
      </c>
      <c r="D340">
        <f>+D338-D339</f>
        <v>-13.462500000000006</v>
      </c>
    </row>
    <row r="342" spans="2:10" ht="45" x14ac:dyDescent="0.25">
      <c r="B342" t="s">
        <v>179</v>
      </c>
      <c r="G342" s="4" t="s">
        <v>1</v>
      </c>
      <c r="H342" s="4" t="s">
        <v>182</v>
      </c>
      <c r="I342" s="4" t="s">
        <v>183</v>
      </c>
      <c r="J342" s="4" t="s">
        <v>184</v>
      </c>
    </row>
    <row r="343" spans="2:10" x14ac:dyDescent="0.25">
      <c r="B343" s="22" t="s">
        <v>166</v>
      </c>
      <c r="C343" t="s">
        <v>174</v>
      </c>
      <c r="D343" t="s">
        <v>167</v>
      </c>
      <c r="G343" s="4" t="s">
        <v>188</v>
      </c>
      <c r="H343">
        <v>-1</v>
      </c>
      <c r="I343">
        <v>1</v>
      </c>
    </row>
    <row r="344" spans="2:10" x14ac:dyDescent="0.25">
      <c r="B344" s="22" t="s">
        <v>168</v>
      </c>
      <c r="C344" t="s">
        <v>180</v>
      </c>
      <c r="D344">
        <f>+I330+I333</f>
        <v>49.637499999999996</v>
      </c>
      <c r="G344" s="4" t="s">
        <v>185</v>
      </c>
      <c r="H344" s="5">
        <v>48.19</v>
      </c>
      <c r="I344" s="5">
        <v>53.65</v>
      </c>
      <c r="J344" s="5">
        <v>5.46</v>
      </c>
    </row>
    <row r="345" spans="2:10" x14ac:dyDescent="0.25">
      <c r="B345" s="22" t="s">
        <v>169</v>
      </c>
      <c r="C345" t="s">
        <v>181</v>
      </c>
      <c r="D345">
        <f>+I330-I333</f>
        <v>52.199999999999996</v>
      </c>
      <c r="G345" s="4" t="s">
        <v>186</v>
      </c>
      <c r="H345" s="5">
        <v>57.65</v>
      </c>
      <c r="I345" s="5">
        <v>44.19</v>
      </c>
      <c r="J345" s="5">
        <v>-13.46</v>
      </c>
    </row>
    <row r="346" spans="2:10" ht="30" x14ac:dyDescent="0.25">
      <c r="B346" s="22" t="s">
        <v>170</v>
      </c>
      <c r="C346" t="s">
        <v>173</v>
      </c>
      <c r="D346">
        <f>+D344-D345</f>
        <v>-2.5625</v>
      </c>
      <c r="G346" s="4" t="s">
        <v>187</v>
      </c>
      <c r="H346" s="5">
        <v>52.2</v>
      </c>
      <c r="I346" s="5">
        <v>49.64</v>
      </c>
      <c r="J346" s="5">
        <v>-2.56</v>
      </c>
    </row>
    <row r="363" spans="2:18" x14ac:dyDescent="0.25">
      <c r="B363" s="53" t="s">
        <v>243</v>
      </c>
      <c r="C363" s="53"/>
      <c r="D363" s="53"/>
      <c r="E363" s="53"/>
      <c r="F363" s="53"/>
      <c r="H363" s="53" t="s">
        <v>244</v>
      </c>
      <c r="I363" s="53"/>
      <c r="J363" s="53"/>
      <c r="K363" s="53"/>
      <c r="L363" s="53"/>
      <c r="N363" s="53" t="s">
        <v>245</v>
      </c>
      <c r="O363" s="53"/>
      <c r="P363" s="53"/>
      <c r="Q363" s="53"/>
      <c r="R363" s="53"/>
    </row>
    <row r="364" spans="2:18" x14ac:dyDescent="0.25">
      <c r="B364" s="53"/>
      <c r="C364" s="53"/>
      <c r="D364" s="53"/>
      <c r="E364" s="53"/>
      <c r="F364" s="53"/>
      <c r="H364" s="53"/>
      <c r="I364" s="53"/>
      <c r="J364" s="53"/>
      <c r="K364" s="53"/>
      <c r="L364" s="53"/>
      <c r="N364" s="53"/>
      <c r="O364" s="53"/>
      <c r="P364" s="53"/>
      <c r="Q364" s="53"/>
      <c r="R364" s="53"/>
    </row>
    <row r="365" spans="2:18" x14ac:dyDescent="0.25">
      <c r="B365" s="53"/>
      <c r="C365" s="53"/>
      <c r="D365" s="53"/>
      <c r="E365" s="53"/>
      <c r="F365" s="53"/>
      <c r="H365" s="53"/>
      <c r="I365" s="53"/>
      <c r="J365" s="53"/>
      <c r="K365" s="53"/>
      <c r="L365" s="53"/>
      <c r="N365" s="53"/>
      <c r="O365" s="53"/>
      <c r="P365" s="53"/>
      <c r="Q365" s="53"/>
      <c r="R365" s="53"/>
    </row>
    <row r="366" spans="2:18" x14ac:dyDescent="0.25">
      <c r="B366" s="53"/>
      <c r="C366" s="53"/>
      <c r="D366" s="53"/>
      <c r="E366" s="53"/>
      <c r="F366" s="53"/>
      <c r="H366" s="53"/>
      <c r="I366" s="53"/>
      <c r="J366" s="53"/>
      <c r="K366" s="53"/>
      <c r="L366" s="53"/>
      <c r="N366" s="53"/>
      <c r="O366" s="53"/>
      <c r="P366" s="53"/>
      <c r="Q366" s="53"/>
      <c r="R366" s="53"/>
    </row>
    <row r="367" spans="2:18" x14ac:dyDescent="0.25">
      <c r="B367" s="53"/>
      <c r="C367" s="53"/>
      <c r="D367" s="53"/>
      <c r="E367" s="53"/>
      <c r="F367" s="53"/>
      <c r="H367" s="53"/>
      <c r="I367" s="53"/>
      <c r="J367" s="53"/>
      <c r="K367" s="53"/>
      <c r="L367" s="53"/>
      <c r="N367" s="53"/>
      <c r="O367" s="53"/>
      <c r="P367" s="53"/>
      <c r="Q367" s="53"/>
      <c r="R367" s="53"/>
    </row>
    <row r="369" spans="2:11" x14ac:dyDescent="0.25">
      <c r="B369" s="28" t="s">
        <v>189</v>
      </c>
    </row>
    <row r="370" spans="2:11" x14ac:dyDescent="0.25">
      <c r="D370" s="37" t="s">
        <v>252</v>
      </c>
      <c r="E370" t="s">
        <v>198</v>
      </c>
    </row>
    <row r="371" spans="2:11" ht="28.5" customHeight="1" x14ac:dyDescent="0.25">
      <c r="B371" s="27" t="s">
        <v>190</v>
      </c>
      <c r="C371" s="27" t="s">
        <v>191</v>
      </c>
      <c r="D371" s="55" t="s">
        <v>192</v>
      </c>
      <c r="E371" s="55"/>
      <c r="F371" s="55"/>
      <c r="G371" s="55"/>
      <c r="H371" s="55"/>
      <c r="I371" s="27" t="s">
        <v>190</v>
      </c>
      <c r="J371" s="27" t="s">
        <v>191</v>
      </c>
      <c r="K371" s="27" t="s">
        <v>193</v>
      </c>
    </row>
    <row r="372" spans="2:11" ht="14.25" customHeight="1" x14ac:dyDescent="0.25">
      <c r="B372" s="22" t="s">
        <v>194</v>
      </c>
      <c r="C372" s="22" t="s">
        <v>195</v>
      </c>
      <c r="D372" s="54" t="s">
        <v>199</v>
      </c>
      <c r="E372" s="54"/>
      <c r="F372" s="54"/>
      <c r="G372" s="54"/>
      <c r="H372" s="54"/>
      <c r="I372">
        <v>-1</v>
      </c>
      <c r="J372">
        <v>-1</v>
      </c>
      <c r="K372" s="22">
        <f>50.92 + 2.73*I372 - 6.73*J372 + 0.48*I372*J372</f>
        <v>55.4</v>
      </c>
    </row>
    <row r="373" spans="2:11" ht="14.25" customHeight="1" x14ac:dyDescent="0.25">
      <c r="B373" s="22" t="s">
        <v>196</v>
      </c>
      <c r="C373" s="22" t="s">
        <v>195</v>
      </c>
      <c r="D373" s="54" t="s">
        <v>200</v>
      </c>
      <c r="E373" s="54"/>
      <c r="F373" s="54"/>
      <c r="G373" s="54"/>
      <c r="H373" s="54"/>
      <c r="I373">
        <v>1</v>
      </c>
      <c r="J373">
        <v>-1</v>
      </c>
      <c r="K373" s="22">
        <f>50.92 + 2.73*I373 - 6.73*J373 + 0.48*I373*J373</f>
        <v>59.9</v>
      </c>
    </row>
    <row r="374" spans="2:11" ht="14.25" customHeight="1" x14ac:dyDescent="0.25">
      <c r="B374" s="22" t="s">
        <v>194</v>
      </c>
      <c r="C374" s="22" t="s">
        <v>197</v>
      </c>
      <c r="D374" s="54" t="s">
        <v>201</v>
      </c>
      <c r="E374" s="54"/>
      <c r="F374" s="54"/>
      <c r="G374" s="54"/>
      <c r="H374" s="54"/>
      <c r="I374">
        <v>-1</v>
      </c>
      <c r="J374">
        <v>1</v>
      </c>
      <c r="K374" s="22">
        <f>50.92 + 2.73*I374 - 6.73*J374 + 0.48*I374*J374</f>
        <v>40.980000000000011</v>
      </c>
    </row>
    <row r="375" spans="2:11" ht="14.25" customHeight="1" x14ac:dyDescent="0.25">
      <c r="B375" s="22" t="s">
        <v>196</v>
      </c>
      <c r="C375" s="22" t="s">
        <v>197</v>
      </c>
      <c r="D375" s="54" t="s">
        <v>202</v>
      </c>
      <c r="E375" s="54"/>
      <c r="F375" s="54"/>
      <c r="G375" s="54"/>
      <c r="H375" s="54"/>
      <c r="I375">
        <v>1</v>
      </c>
      <c r="J375">
        <v>1</v>
      </c>
      <c r="K375" s="22">
        <f>50.92 + 2.73*I375 - 6.73*J375 + 0.48*I375*J375</f>
        <v>47.4</v>
      </c>
    </row>
    <row r="376" spans="2:11" x14ac:dyDescent="0.25">
      <c r="D376" s="56"/>
      <c r="E376" s="56"/>
      <c r="F376" s="56"/>
      <c r="G376" s="56"/>
      <c r="H376" s="56"/>
    </row>
    <row r="377" spans="2:11" ht="27.75" customHeight="1" x14ac:dyDescent="0.25">
      <c r="E377" s="42" t="s">
        <v>203</v>
      </c>
      <c r="F377" s="42" t="s">
        <v>204</v>
      </c>
    </row>
    <row r="378" spans="2:11" x14ac:dyDescent="0.25">
      <c r="E378" s="29">
        <v>0.1</v>
      </c>
      <c r="F378" s="29">
        <v>0.3</v>
      </c>
    </row>
    <row r="379" spans="2:11" x14ac:dyDescent="0.25">
      <c r="D379" s="22"/>
      <c r="E379" s="29">
        <v>-1</v>
      </c>
      <c r="F379" s="29">
        <v>1</v>
      </c>
    </row>
    <row r="380" spans="2:11" x14ac:dyDescent="0.25">
      <c r="B380" s="43" t="s">
        <v>205</v>
      </c>
      <c r="C380" s="29">
        <v>200</v>
      </c>
      <c r="D380" s="44">
        <v>-1</v>
      </c>
      <c r="E380" s="43">
        <f>+K372</f>
        <v>55.4</v>
      </c>
      <c r="F380" s="43">
        <f>+K374</f>
        <v>40.980000000000011</v>
      </c>
    </row>
    <row r="381" spans="2:11" x14ac:dyDescent="0.25">
      <c r="B381" s="43" t="s">
        <v>206</v>
      </c>
      <c r="C381" s="29">
        <v>220</v>
      </c>
      <c r="D381" s="44">
        <v>1</v>
      </c>
      <c r="E381" s="43">
        <f>+K373</f>
        <v>59.9</v>
      </c>
      <c r="F381" s="43">
        <f>+K375</f>
        <v>47.4</v>
      </c>
    </row>
    <row r="399" spans="3:10" x14ac:dyDescent="0.25">
      <c r="C399" t="s">
        <v>207</v>
      </c>
    </row>
    <row r="400" spans="3:10" x14ac:dyDescent="0.25">
      <c r="J400" t="s">
        <v>208</v>
      </c>
    </row>
    <row r="403" spans="2:12" x14ac:dyDescent="0.25">
      <c r="F403" s="51" t="s">
        <v>246</v>
      </c>
      <c r="G403" s="51"/>
      <c r="H403" s="51"/>
      <c r="I403" s="51"/>
      <c r="J403" s="51"/>
    </row>
    <row r="404" spans="2:12" x14ac:dyDescent="0.25">
      <c r="F404" s="51"/>
      <c r="G404" s="51"/>
      <c r="H404" s="51"/>
      <c r="I404" s="51"/>
      <c r="J404" s="51"/>
    </row>
    <row r="405" spans="2:12" x14ac:dyDescent="0.25">
      <c r="F405" s="51"/>
      <c r="G405" s="51"/>
      <c r="H405" s="51"/>
      <c r="I405" s="51"/>
      <c r="J405" s="51"/>
    </row>
    <row r="408" spans="2:12" x14ac:dyDescent="0.25">
      <c r="B408" s="28" t="s">
        <v>211</v>
      </c>
    </row>
    <row r="410" spans="2:12" x14ac:dyDescent="0.25">
      <c r="B410" t="s">
        <v>209</v>
      </c>
    </row>
    <row r="412" spans="2:12" x14ac:dyDescent="0.25">
      <c r="B412" t="s">
        <v>57</v>
      </c>
      <c r="D412">
        <v>215</v>
      </c>
    </row>
    <row r="413" spans="2:12" x14ac:dyDescent="0.25">
      <c r="B413" t="s">
        <v>9</v>
      </c>
      <c r="D413">
        <v>0.15</v>
      </c>
    </row>
    <row r="414" spans="2:12" x14ac:dyDescent="0.25">
      <c r="B414" t="s">
        <v>210</v>
      </c>
      <c r="D414">
        <v>50</v>
      </c>
    </row>
    <row r="416" spans="2:12" ht="14.25" customHeight="1" x14ac:dyDescent="0.25">
      <c r="C416" s="22" t="s">
        <v>212</v>
      </c>
      <c r="D416" s="45">
        <f>C419 + C420*((D412-F420)/G420) + C421*((D413-F421)/G421) + C422*((D414-F422)/G422) + C423*((D412-F420)/G420)*((D413-F421)/G421)</f>
        <v>56.170312500000001</v>
      </c>
      <c r="F416" s="51" t="s">
        <v>247</v>
      </c>
      <c r="G416" s="51"/>
      <c r="H416" s="51"/>
      <c r="I416" s="51"/>
      <c r="J416" s="51"/>
      <c r="K416" s="51"/>
      <c r="L416" s="51"/>
    </row>
    <row r="417" spans="2:12" ht="15.75" thickBot="1" x14ac:dyDescent="0.3">
      <c r="F417" s="51"/>
      <c r="G417" s="51"/>
      <c r="H417" s="51"/>
      <c r="I417" s="51"/>
      <c r="J417" s="51"/>
      <c r="K417" s="51"/>
      <c r="L417" s="51"/>
    </row>
    <row r="418" spans="2:12" x14ac:dyDescent="0.25">
      <c r="B418" s="17"/>
      <c r="C418" s="17" t="s">
        <v>45</v>
      </c>
    </row>
    <row r="419" spans="2:12" x14ac:dyDescent="0.25">
      <c r="B419" t="s">
        <v>39</v>
      </c>
      <c r="C419">
        <v>50.918749999999996</v>
      </c>
      <c r="F419" t="s">
        <v>88</v>
      </c>
      <c r="G419" t="s">
        <v>89</v>
      </c>
    </row>
    <row r="420" spans="2:12" x14ac:dyDescent="0.25">
      <c r="B420" t="s">
        <v>24</v>
      </c>
      <c r="C420">
        <v>2.7312499999999993</v>
      </c>
      <c r="E420" t="s">
        <v>18</v>
      </c>
      <c r="F420">
        <v>210</v>
      </c>
      <c r="G420">
        <v>10</v>
      </c>
    </row>
    <row r="421" spans="2:12" x14ac:dyDescent="0.25">
      <c r="B421" t="s">
        <v>25</v>
      </c>
      <c r="C421">
        <v>-6.7312500000000002</v>
      </c>
      <c r="E421" t="s">
        <v>19</v>
      </c>
      <c r="F421">
        <v>0.2</v>
      </c>
      <c r="G421">
        <v>9.9999999999999992E-2</v>
      </c>
    </row>
    <row r="422" spans="2:12" x14ac:dyDescent="0.25">
      <c r="B422" t="s">
        <v>16</v>
      </c>
      <c r="C422">
        <v>-1.2812499999999998</v>
      </c>
      <c r="E422" t="s">
        <v>20</v>
      </c>
      <c r="F422">
        <v>60</v>
      </c>
      <c r="G422">
        <v>20</v>
      </c>
    </row>
    <row r="423" spans="2:12" ht="15.75" thickBot="1" x14ac:dyDescent="0.3">
      <c r="B423" s="35" t="s">
        <v>21</v>
      </c>
      <c r="C423" s="35">
        <v>0.48125000000000001</v>
      </c>
    </row>
    <row r="425" spans="2:12" x14ac:dyDescent="0.25">
      <c r="B425" t="s">
        <v>213</v>
      </c>
    </row>
    <row r="426" spans="2:12" x14ac:dyDescent="0.25">
      <c r="B426" s="37" t="s">
        <v>92</v>
      </c>
      <c r="C426" t="s">
        <v>90</v>
      </c>
    </row>
    <row r="428" spans="2:12" x14ac:dyDescent="0.25">
      <c r="B428" t="s">
        <v>5</v>
      </c>
      <c r="C428" t="s">
        <v>8</v>
      </c>
    </row>
    <row r="429" spans="2:12" x14ac:dyDescent="0.25">
      <c r="B429" s="22" t="s">
        <v>214</v>
      </c>
      <c r="C429">
        <f>(D412-F420)/G420</f>
        <v>0.5</v>
      </c>
      <c r="E429" s="51" t="s">
        <v>248</v>
      </c>
      <c r="F429" s="51"/>
      <c r="G429" s="51"/>
      <c r="H429" s="51"/>
      <c r="I429" s="51"/>
    </row>
    <row r="430" spans="2:12" x14ac:dyDescent="0.25">
      <c r="B430" s="22" t="s">
        <v>215</v>
      </c>
      <c r="C430">
        <f>(D413-F421)/G421</f>
        <v>-0.50000000000000022</v>
      </c>
      <c r="E430" s="51"/>
      <c r="F430" s="51"/>
      <c r="G430" s="51"/>
      <c r="H430" s="51"/>
      <c r="I430" s="51"/>
    </row>
    <row r="431" spans="2:12" x14ac:dyDescent="0.25">
      <c r="B431" s="22" t="s">
        <v>216</v>
      </c>
      <c r="C431">
        <f>(D414-F422)/G422</f>
        <v>-0.5</v>
      </c>
      <c r="E431" s="51"/>
      <c r="F431" s="51"/>
      <c r="G431" s="51"/>
      <c r="H431" s="51"/>
      <c r="I431" s="51"/>
    </row>
    <row r="432" spans="2:12" x14ac:dyDescent="0.25">
      <c r="B432" s="22" t="s">
        <v>217</v>
      </c>
      <c r="C432" s="45">
        <f>C419 + C420*C429 + C421*C430 + C422*C431 + C423*C429*C430</f>
        <v>56.170312500000001</v>
      </c>
    </row>
    <row r="433" spans="2:10" x14ac:dyDescent="0.25">
      <c r="E433" s="51" t="s">
        <v>218</v>
      </c>
      <c r="F433" s="51"/>
      <c r="G433" s="51"/>
      <c r="H433" s="51"/>
      <c r="I433" s="51"/>
      <c r="J433" s="51"/>
    </row>
    <row r="434" spans="2:10" x14ac:dyDescent="0.25">
      <c r="E434" s="51"/>
      <c r="F434" s="51"/>
      <c r="G434" s="51"/>
      <c r="H434" s="51"/>
      <c r="I434" s="51"/>
      <c r="J434" s="51"/>
    </row>
    <row r="436" spans="2:10" x14ac:dyDescent="0.25">
      <c r="B436" s="28" t="s">
        <v>219</v>
      </c>
    </row>
    <row r="438" spans="2:10" x14ac:dyDescent="0.25">
      <c r="B438" t="s">
        <v>220</v>
      </c>
      <c r="E438" s="30">
        <f>+C432</f>
        <v>56.170312500000001</v>
      </c>
    </row>
    <row r="439" spans="2:10" x14ac:dyDescent="0.25">
      <c r="B439" t="s">
        <v>221</v>
      </c>
      <c r="E439">
        <v>56.5</v>
      </c>
    </row>
    <row r="440" spans="2:10" x14ac:dyDescent="0.25">
      <c r="B440" t="s">
        <v>222</v>
      </c>
      <c r="E440">
        <f>+SQRT(M186)</f>
        <v>0.38810436740650256</v>
      </c>
    </row>
    <row r="441" spans="2:10" x14ac:dyDescent="0.25">
      <c r="B441" t="s">
        <v>143</v>
      </c>
      <c r="E441">
        <f>_xlfn.T.INV.2T(0.05, 8)</f>
        <v>2.3060041352041671</v>
      </c>
    </row>
    <row r="443" spans="2:10" x14ac:dyDescent="0.25">
      <c r="B443" t="s">
        <v>223</v>
      </c>
    </row>
    <row r="444" spans="2:10" x14ac:dyDescent="0.25">
      <c r="B444" t="s">
        <v>249</v>
      </c>
      <c r="E444">
        <f>+E441*E440*SQRT(1+1/16)</f>
        <v>0.92251424506824675</v>
      </c>
    </row>
    <row r="445" spans="2:10" x14ac:dyDescent="0.25">
      <c r="B445" t="s">
        <v>224</v>
      </c>
      <c r="E445" s="31">
        <f>+E438-E444</f>
        <v>55.247798254931752</v>
      </c>
    </row>
    <row r="446" spans="2:10" x14ac:dyDescent="0.25">
      <c r="B446" t="s">
        <v>225</v>
      </c>
      <c r="E446" s="31">
        <f>+E438+E444</f>
        <v>57.092826745068251</v>
      </c>
    </row>
    <row r="448" spans="2:10" x14ac:dyDescent="0.25">
      <c r="B448" s="46" t="s">
        <v>226</v>
      </c>
    </row>
    <row r="449" spans="2:11" x14ac:dyDescent="0.25">
      <c r="B449" s="53" t="s">
        <v>250</v>
      </c>
      <c r="C449" s="53"/>
      <c r="D449" s="53"/>
      <c r="E449" s="53"/>
      <c r="F449" s="53"/>
      <c r="G449" s="53"/>
      <c r="H449" s="53"/>
      <c r="I449" s="53"/>
      <c r="J449" s="53"/>
      <c r="K449" s="53"/>
    </row>
    <row r="450" spans="2:11" x14ac:dyDescent="0.25">
      <c r="B450" s="53"/>
      <c r="C450" s="53"/>
      <c r="D450" s="53"/>
      <c r="E450" s="53"/>
      <c r="F450" s="53"/>
      <c r="G450" s="53"/>
      <c r="H450" s="53"/>
      <c r="I450" s="53"/>
      <c r="J450" s="53"/>
      <c r="K450" s="53"/>
    </row>
    <row r="451" spans="2:11" x14ac:dyDescent="0.25">
      <c r="B451" s="53"/>
      <c r="C451" s="53"/>
      <c r="D451" s="53"/>
      <c r="E451" s="53"/>
      <c r="F451" s="53"/>
      <c r="G451" s="53"/>
      <c r="H451" s="53"/>
      <c r="I451" s="53"/>
      <c r="J451" s="53"/>
      <c r="K451" s="53"/>
    </row>
    <row r="453" spans="2:11" x14ac:dyDescent="0.25">
      <c r="B453" s="28" t="s">
        <v>267</v>
      </c>
    </row>
    <row r="455" spans="2:11" x14ac:dyDescent="0.25">
      <c r="B455" t="s">
        <v>276</v>
      </c>
    </row>
    <row r="457" spans="2:11" x14ac:dyDescent="0.25">
      <c r="B457" t="s">
        <v>251</v>
      </c>
    </row>
    <row r="459" spans="2:11" x14ac:dyDescent="0.25">
      <c r="B459" t="s">
        <v>253</v>
      </c>
    </row>
    <row r="460" spans="2:11" x14ac:dyDescent="0.25">
      <c r="B460" s="37" t="s">
        <v>252</v>
      </c>
      <c r="C460" t="s">
        <v>198</v>
      </c>
    </row>
    <row r="462" spans="2:11" x14ac:dyDescent="0.25">
      <c r="B462" s="8" t="s">
        <v>256</v>
      </c>
    </row>
    <row r="463" spans="2:11" x14ac:dyDescent="0.25">
      <c r="B463" s="47"/>
      <c r="D463" s="48" t="s">
        <v>257</v>
      </c>
    </row>
    <row r="464" spans="2:11" x14ac:dyDescent="0.25">
      <c r="B464" s="8" t="s">
        <v>258</v>
      </c>
    </row>
    <row r="465" spans="2:12" x14ac:dyDescent="0.25">
      <c r="B465" s="46"/>
      <c r="D465" s="48" t="s">
        <v>259</v>
      </c>
    </row>
    <row r="466" spans="2:12" x14ac:dyDescent="0.25">
      <c r="B466" s="8" t="s">
        <v>260</v>
      </c>
    </row>
    <row r="467" spans="2:12" x14ac:dyDescent="0.25">
      <c r="B467" s="47"/>
      <c r="D467" s="48" t="s">
        <v>261</v>
      </c>
    </row>
    <row r="468" spans="2:12" x14ac:dyDescent="0.25">
      <c r="B468" s="8" t="s">
        <v>254</v>
      </c>
      <c r="D468" s="46" t="s">
        <v>277</v>
      </c>
    </row>
    <row r="469" spans="2:12" x14ac:dyDescent="0.25">
      <c r="B469" s="46"/>
      <c r="D469" s="25" t="s">
        <v>255</v>
      </c>
    </row>
    <row r="471" spans="2:12" x14ac:dyDescent="0.25">
      <c r="B471" s="47"/>
      <c r="C471" s="46" t="s">
        <v>262</v>
      </c>
    </row>
    <row r="472" spans="2:12" x14ac:dyDescent="0.25">
      <c r="C472" s="37" t="s">
        <v>263</v>
      </c>
      <c r="D472" s="49">
        <f>50.92+2.73*1-6.73*-1-1.28*-1+0.48*1*-1</f>
        <v>61.18</v>
      </c>
      <c r="E472" s="1" t="s">
        <v>264</v>
      </c>
    </row>
    <row r="473" spans="2:12" x14ac:dyDescent="0.25">
      <c r="B473" s="46"/>
      <c r="C473" t="s">
        <v>265</v>
      </c>
    </row>
    <row r="474" spans="2:12" x14ac:dyDescent="0.25">
      <c r="C474" s="1" t="s">
        <v>278</v>
      </c>
      <c r="E474" s="1" t="s">
        <v>279</v>
      </c>
      <c r="G474" s="1" t="s">
        <v>280</v>
      </c>
    </row>
    <row r="475" spans="2:12" x14ac:dyDescent="0.25">
      <c r="B475" s="46"/>
    </row>
    <row r="476" spans="2:12" x14ac:dyDescent="0.25">
      <c r="G476" t="s">
        <v>57</v>
      </c>
      <c r="I476">
        <v>220</v>
      </c>
      <c r="K476" s="6">
        <v>200</v>
      </c>
      <c r="L476" s="6">
        <v>220</v>
      </c>
    </row>
    <row r="477" spans="2:12" x14ac:dyDescent="0.25">
      <c r="E477" s="33">
        <f>C419 + C420*((I476-F420)/G420) + C421*((I477-F421)/G421) + C422*((I478-F422)/G422) + C423*((I476-F420)/G420)*((I477-F421)/G421)</f>
        <v>61.181249999999991</v>
      </c>
      <c r="G477" t="s">
        <v>9</v>
      </c>
      <c r="I477">
        <v>0.1</v>
      </c>
      <c r="K477" s="6">
        <v>0.1</v>
      </c>
      <c r="L477" s="6">
        <v>0.3</v>
      </c>
    </row>
    <row r="478" spans="2:12" x14ac:dyDescent="0.25">
      <c r="G478" t="s">
        <v>210</v>
      </c>
      <c r="I478">
        <v>40</v>
      </c>
      <c r="K478" s="6">
        <v>40</v>
      </c>
      <c r="L478" s="6">
        <v>80</v>
      </c>
    </row>
    <row r="480" spans="2:12" x14ac:dyDescent="0.25">
      <c r="C480" s="1" t="s">
        <v>266</v>
      </c>
    </row>
  </sheetData>
  <autoFilter ref="I167:L183">
    <sortState ref="I168:L184">
      <sortCondition ref="I168:I184"/>
      <sortCondition ref="J168:J184"/>
      <sortCondition ref="K168:K184"/>
    </sortState>
  </autoFilter>
  <sortState ref="H228:H243">
    <sortCondition ref="H228"/>
  </sortState>
  <mergeCells count="27">
    <mergeCell ref="E433:J434"/>
    <mergeCell ref="B449:K451"/>
    <mergeCell ref="D376:H376"/>
    <mergeCell ref="F403:J405"/>
    <mergeCell ref="E429:I431"/>
    <mergeCell ref="F416:L417"/>
    <mergeCell ref="N363:R367"/>
    <mergeCell ref="D371:H371"/>
    <mergeCell ref="D372:H372"/>
    <mergeCell ref="D373:H373"/>
    <mergeCell ref="D374:H374"/>
    <mergeCell ref="D375:H375"/>
    <mergeCell ref="B284:J286"/>
    <mergeCell ref="B309:L310"/>
    <mergeCell ref="B323:K325"/>
    <mergeCell ref="B363:F367"/>
    <mergeCell ref="H363:L367"/>
    <mergeCell ref="C191:J194"/>
    <mergeCell ref="C195:J198"/>
    <mergeCell ref="B265:I266"/>
    <mergeCell ref="B280:H281"/>
    <mergeCell ref="B2:G5"/>
    <mergeCell ref="B33:G35"/>
    <mergeCell ref="B37:G39"/>
    <mergeCell ref="H150:N153"/>
    <mergeCell ref="B148:G150"/>
    <mergeCell ref="B152:G153"/>
  </mergeCells>
  <phoneticPr fontId="6" type="noConversion"/>
  <pageMargins left="0.7" right="0.7" top="0.75" bottom="0.75" header="0.3" footer="0.3"/>
  <ignoredErrors>
    <ignoredError sqref="Q44" formulaRange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DOE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Janette Kotianová</dc:creator>
  <cp:lastModifiedBy>Janette Kotianová</cp:lastModifiedBy>
  <dcterms:created xsi:type="dcterms:W3CDTF">2015-06-05T18:17:20Z</dcterms:created>
  <dcterms:modified xsi:type="dcterms:W3CDTF">2026-02-02T15:06:05Z</dcterms:modified>
</cp:coreProperties>
</file>