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otianova\Desktop\stranka mmpve\"/>
    </mc:Choice>
  </mc:AlternateContent>
  <bookViews>
    <workbookView xWindow="0" yWindow="0" windowWidth="28800" windowHeight="12330"/>
  </bookViews>
  <sheets>
    <sheet name="Zadanie" sheetId="13" r:id="rId1"/>
    <sheet name="Vypracovanie" sheetId="1" r:id="rId2"/>
  </sheets>
  <externalReferences>
    <externalReference r:id="rId3"/>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2" i="1" l="1"/>
  <c r="J341" i="1"/>
  <c r="M332" i="1"/>
  <c r="J340" i="1"/>
  <c r="J332" i="1"/>
  <c r="B361" i="1"/>
  <c r="B360" i="1"/>
  <c r="B359" i="1"/>
  <c r="B358" i="1"/>
  <c r="B357" i="1"/>
  <c r="B356" i="1"/>
  <c r="B355" i="1"/>
  <c r="B354" i="1"/>
  <c r="B353" i="1"/>
  <c r="B362" i="1" l="1"/>
  <c r="J333" i="1"/>
  <c r="I332" i="1"/>
  <c r="C781" i="1" l="1"/>
  <c r="L753" i="1"/>
  <c r="B781" i="1" s="1"/>
  <c r="J753" i="1"/>
  <c r="B780" i="1" s="1"/>
  <c r="H753" i="1"/>
  <c r="B779" i="1" s="1"/>
  <c r="F753" i="1"/>
  <c r="B778" i="1" s="1"/>
  <c r="E724" i="1"/>
  <c r="D720" i="1"/>
  <c r="D753" i="1" s="1"/>
  <c r="B777" i="1" s="1"/>
  <c r="G632" i="1"/>
  <c r="G631" i="1"/>
  <c r="F632" i="1"/>
  <c r="F631" i="1"/>
  <c r="AA632" i="1"/>
  <c r="AA631" i="1"/>
  <c r="Z632" i="1"/>
  <c r="Z631" i="1"/>
  <c r="P631" i="1"/>
  <c r="Q632" i="1"/>
  <c r="P632" i="1"/>
  <c r="Q631" i="1"/>
  <c r="I624" i="1"/>
  <c r="H624" i="1"/>
  <c r="I623" i="1"/>
  <c r="H623" i="1"/>
  <c r="I622" i="1"/>
  <c r="H622" i="1"/>
  <c r="C782" i="1" l="1"/>
  <c r="D755" i="1"/>
  <c r="E725" i="1"/>
  <c r="H533" i="1" l="1"/>
  <c r="G533" i="1"/>
  <c r="H532" i="1"/>
  <c r="G532" i="1"/>
  <c r="H531" i="1"/>
  <c r="G531" i="1"/>
  <c r="F592" i="1"/>
  <c r="F566" i="1"/>
  <c r="F540" i="1"/>
  <c r="F591" i="1"/>
  <c r="F565" i="1"/>
  <c r="F539" i="1"/>
  <c r="S518" i="1"/>
  <c r="R518" i="1"/>
  <c r="P517" i="1"/>
  <c r="P516" i="1"/>
  <c r="P515" i="1"/>
  <c r="S510" i="1"/>
  <c r="R510" i="1"/>
  <c r="P509" i="1"/>
  <c r="P508" i="1"/>
  <c r="P507" i="1"/>
  <c r="S502" i="1"/>
  <c r="R502" i="1"/>
  <c r="P501" i="1"/>
  <c r="P500" i="1"/>
  <c r="P499" i="1"/>
  <c r="S494" i="1"/>
  <c r="R494" i="1"/>
  <c r="P493" i="1"/>
  <c r="P492" i="1"/>
  <c r="P491" i="1"/>
  <c r="D478" i="1"/>
  <c r="G441" i="1"/>
  <c r="I441" i="1" s="1"/>
  <c r="G442" i="1"/>
  <c r="I442" i="1" s="1"/>
  <c r="G443" i="1"/>
  <c r="I443" i="1" s="1"/>
  <c r="G444" i="1"/>
  <c r="I444" i="1" s="1"/>
  <c r="G445" i="1"/>
  <c r="I445" i="1" s="1"/>
  <c r="G446" i="1"/>
  <c r="I446" i="1" s="1"/>
  <c r="G447" i="1"/>
  <c r="I447" i="1" s="1"/>
  <c r="G448" i="1"/>
  <c r="I448" i="1" s="1"/>
  <c r="G449" i="1"/>
  <c r="I449" i="1" s="1"/>
  <c r="G450" i="1"/>
  <c r="I450" i="1" s="1"/>
  <c r="G451" i="1"/>
  <c r="I451" i="1" s="1"/>
  <c r="G452" i="1"/>
  <c r="I452" i="1" s="1"/>
  <c r="G453" i="1"/>
  <c r="I453" i="1" s="1"/>
  <c r="G454" i="1"/>
  <c r="I454" i="1" s="1"/>
  <c r="G455" i="1"/>
  <c r="I455" i="1" s="1"/>
  <c r="G440" i="1"/>
  <c r="I440" i="1" s="1"/>
  <c r="F441" i="1"/>
  <c r="H441" i="1" s="1"/>
  <c r="F442" i="1"/>
  <c r="H442" i="1" s="1"/>
  <c r="F443" i="1"/>
  <c r="H443" i="1" s="1"/>
  <c r="F444" i="1"/>
  <c r="H444" i="1" s="1"/>
  <c r="F445" i="1"/>
  <c r="H445" i="1" s="1"/>
  <c r="F446" i="1"/>
  <c r="H446" i="1" s="1"/>
  <c r="F447" i="1"/>
  <c r="H447" i="1" s="1"/>
  <c r="F448" i="1"/>
  <c r="H448" i="1" s="1"/>
  <c r="F449" i="1"/>
  <c r="H449" i="1" s="1"/>
  <c r="F450" i="1"/>
  <c r="H450" i="1" s="1"/>
  <c r="F451" i="1"/>
  <c r="H451" i="1" s="1"/>
  <c r="F452" i="1"/>
  <c r="H452" i="1" s="1"/>
  <c r="F453" i="1"/>
  <c r="H453" i="1" s="1"/>
  <c r="F454" i="1"/>
  <c r="H454" i="1" s="1"/>
  <c r="F455" i="1"/>
  <c r="H455" i="1" s="1"/>
  <c r="F440" i="1"/>
  <c r="H440" i="1" s="1"/>
  <c r="C471" i="1"/>
  <c r="C472" i="1" s="1"/>
  <c r="L372" i="1"/>
  <c r="G390" i="1"/>
  <c r="G385" i="1"/>
  <c r="H392" i="1" s="1"/>
  <c r="D398" i="1"/>
  <c r="C397" i="1"/>
  <c r="C396" i="1"/>
  <c r="C395" i="1"/>
  <c r="C394" i="1"/>
  <c r="C393" i="1"/>
  <c r="M330" i="1"/>
  <c r="C362" i="1"/>
  <c r="I333" i="1" s="1"/>
  <c r="N318" i="1"/>
  <c r="N317" i="1"/>
  <c r="N316" i="1"/>
  <c r="L280" i="1"/>
  <c r="J280" i="1"/>
  <c r="E280" i="1"/>
  <c r="C280" i="1"/>
  <c r="H112" i="1"/>
  <c r="G112" i="1"/>
  <c r="F112" i="1"/>
  <c r="E112" i="1"/>
  <c r="H111" i="1"/>
  <c r="G111" i="1"/>
  <c r="F111" i="1"/>
  <c r="E111" i="1"/>
  <c r="H110" i="1"/>
  <c r="G110" i="1"/>
  <c r="F110" i="1"/>
  <c r="E110" i="1"/>
  <c r="H109" i="1"/>
  <c r="G109" i="1"/>
  <c r="F109" i="1"/>
  <c r="E109" i="1"/>
  <c r="H108" i="1"/>
  <c r="G108" i="1"/>
  <c r="F108" i="1"/>
  <c r="E108" i="1"/>
  <c r="H107" i="1"/>
  <c r="G107" i="1"/>
  <c r="F107" i="1"/>
  <c r="E107" i="1"/>
  <c r="H106" i="1"/>
  <c r="G106" i="1"/>
  <c r="F106" i="1"/>
  <c r="E106" i="1"/>
  <c r="H105" i="1"/>
  <c r="G105" i="1"/>
  <c r="F105" i="1"/>
  <c r="E105" i="1"/>
  <c r="H104" i="1"/>
  <c r="G104" i="1"/>
  <c r="F104" i="1"/>
  <c r="E104" i="1"/>
  <c r="H103" i="1"/>
  <c r="G103" i="1"/>
  <c r="F103" i="1"/>
  <c r="E103" i="1"/>
  <c r="H102" i="1"/>
  <c r="G102" i="1"/>
  <c r="F102" i="1"/>
  <c r="E102" i="1"/>
  <c r="H101" i="1"/>
  <c r="G101" i="1"/>
  <c r="F101" i="1"/>
  <c r="E101" i="1"/>
  <c r="H100" i="1"/>
  <c r="G100" i="1"/>
  <c r="F100" i="1"/>
  <c r="E100" i="1"/>
  <c r="H99" i="1"/>
  <c r="G99" i="1"/>
  <c r="F99" i="1"/>
  <c r="E99" i="1"/>
  <c r="H98" i="1"/>
  <c r="G98" i="1"/>
  <c r="F98" i="1"/>
  <c r="E98" i="1"/>
  <c r="H97" i="1"/>
  <c r="G97" i="1"/>
  <c r="F97" i="1"/>
  <c r="E97" i="1"/>
  <c r="R82" i="1"/>
  <c r="Q82" i="1"/>
  <c r="P82" i="1"/>
  <c r="O82" i="1"/>
  <c r="N82" i="1"/>
  <c r="M82" i="1"/>
  <c r="L82" i="1"/>
  <c r="K82" i="1"/>
  <c r="J82" i="1"/>
  <c r="I82" i="1"/>
  <c r="H82" i="1"/>
  <c r="G82" i="1"/>
  <c r="F82" i="1"/>
  <c r="E82" i="1"/>
  <c r="D82" i="1"/>
  <c r="C82" i="1"/>
  <c r="R81" i="1"/>
  <c r="Q81" i="1"/>
  <c r="P81" i="1"/>
  <c r="O81" i="1"/>
  <c r="N81" i="1"/>
  <c r="M81" i="1"/>
  <c r="L81" i="1"/>
  <c r="K81" i="1"/>
  <c r="J81" i="1"/>
  <c r="I81" i="1"/>
  <c r="H81" i="1"/>
  <c r="G81" i="1"/>
  <c r="F81" i="1"/>
  <c r="E81" i="1"/>
  <c r="D81" i="1"/>
  <c r="C81" i="1"/>
  <c r="R80" i="1"/>
  <c r="Q80" i="1"/>
  <c r="P80" i="1"/>
  <c r="O80" i="1"/>
  <c r="N80" i="1"/>
  <c r="M80" i="1"/>
  <c r="L80" i="1"/>
  <c r="K80" i="1"/>
  <c r="J80" i="1"/>
  <c r="I80" i="1"/>
  <c r="H80" i="1"/>
  <c r="G80" i="1"/>
  <c r="F80" i="1"/>
  <c r="E80" i="1"/>
  <c r="D80" i="1"/>
  <c r="C80" i="1"/>
  <c r="R79" i="1"/>
  <c r="Q79" i="1"/>
  <c r="P79" i="1"/>
  <c r="O79" i="1"/>
  <c r="N79" i="1"/>
  <c r="M79" i="1"/>
  <c r="L79" i="1"/>
  <c r="K79" i="1"/>
  <c r="J79" i="1"/>
  <c r="I79" i="1"/>
  <c r="H79" i="1"/>
  <c r="G79" i="1"/>
  <c r="F79" i="1"/>
  <c r="E79" i="1"/>
  <c r="D79" i="1"/>
  <c r="C79" i="1"/>
  <c r="J73" i="1"/>
  <c r="I73" i="1"/>
  <c r="H73" i="1"/>
  <c r="G73" i="1"/>
  <c r="J72" i="1"/>
  <c r="I72" i="1"/>
  <c r="H72" i="1"/>
  <c r="G72" i="1"/>
  <c r="J71" i="1"/>
  <c r="I71" i="1"/>
  <c r="H71" i="1"/>
  <c r="G71" i="1"/>
  <c r="J70" i="1"/>
  <c r="I70" i="1"/>
  <c r="H70" i="1"/>
  <c r="G70" i="1"/>
  <c r="J69" i="1"/>
  <c r="I69" i="1"/>
  <c r="H69" i="1"/>
  <c r="G69" i="1"/>
  <c r="J68" i="1"/>
  <c r="I68" i="1"/>
  <c r="H68" i="1"/>
  <c r="G68" i="1"/>
  <c r="J67" i="1"/>
  <c r="I67" i="1"/>
  <c r="H67" i="1"/>
  <c r="G67" i="1"/>
  <c r="J66" i="1"/>
  <c r="I66" i="1"/>
  <c r="H66" i="1"/>
  <c r="G66" i="1"/>
  <c r="J65" i="1"/>
  <c r="I65" i="1"/>
  <c r="H65" i="1"/>
  <c r="G65" i="1"/>
  <c r="J64" i="1"/>
  <c r="I64" i="1"/>
  <c r="H64" i="1"/>
  <c r="G64" i="1"/>
  <c r="J63" i="1"/>
  <c r="I63" i="1"/>
  <c r="H63" i="1"/>
  <c r="G63" i="1"/>
  <c r="J62" i="1"/>
  <c r="I62" i="1"/>
  <c r="H62" i="1"/>
  <c r="G62" i="1"/>
  <c r="J61" i="1"/>
  <c r="I61" i="1"/>
  <c r="H61" i="1"/>
  <c r="G61" i="1"/>
  <c r="J60" i="1"/>
  <c r="I60" i="1"/>
  <c r="H60" i="1"/>
  <c r="G60" i="1"/>
  <c r="J59" i="1"/>
  <c r="I59" i="1"/>
  <c r="H59" i="1"/>
  <c r="G59" i="1"/>
  <c r="J58" i="1"/>
  <c r="I58" i="1"/>
  <c r="H58" i="1"/>
  <c r="G58" i="1"/>
  <c r="E33" i="1"/>
  <c r="E32" i="1"/>
  <c r="E31" i="1"/>
  <c r="E30" i="1"/>
  <c r="E29" i="1"/>
  <c r="E28" i="1"/>
  <c r="E27" i="1"/>
  <c r="E26" i="1"/>
  <c r="P9" i="1"/>
  <c r="O9" i="1"/>
  <c r="C712" i="1" s="1"/>
  <c r="F712" i="1" s="1"/>
  <c r="P8" i="1"/>
  <c r="O8" i="1"/>
  <c r="C711" i="1" s="1"/>
  <c r="P7" i="1"/>
  <c r="O7" i="1"/>
  <c r="C710" i="1" l="1"/>
  <c r="F713" i="1"/>
  <c r="F711" i="1"/>
  <c r="I16" i="1"/>
  <c r="K16" i="1"/>
  <c r="K11" i="1"/>
  <c r="K10" i="1"/>
  <c r="F541" i="1"/>
  <c r="F567" i="1"/>
  <c r="F593" i="1"/>
  <c r="H456" i="1"/>
  <c r="C398" i="1"/>
  <c r="H393" i="1" s="1"/>
  <c r="L373" i="1" s="1"/>
  <c r="K13" i="1"/>
  <c r="K14" i="1"/>
  <c r="K12" i="1"/>
  <c r="I456" i="1"/>
  <c r="J16" i="1"/>
  <c r="C84" i="1" a="1"/>
  <c r="C90" i="1" s="1"/>
  <c r="F90" i="1" s="1"/>
  <c r="J90" i="1" s="1"/>
  <c r="J14" i="1"/>
  <c r="J13" i="1"/>
  <c r="K15" i="1"/>
  <c r="I15" i="1"/>
  <c r="I14" i="1"/>
  <c r="J15" i="1"/>
  <c r="J12" i="1"/>
  <c r="K9" i="1"/>
  <c r="K8" i="1"/>
  <c r="J10" i="1"/>
  <c r="K7" i="1"/>
  <c r="I13" i="1"/>
  <c r="I12" i="1"/>
  <c r="J9" i="1"/>
  <c r="J7" i="1"/>
  <c r="I21" i="1"/>
  <c r="J21" i="1"/>
  <c r="K21" i="1"/>
  <c r="I9" i="1"/>
  <c r="J11" i="1"/>
  <c r="I7" i="1"/>
  <c r="J22" i="1"/>
  <c r="J20" i="1"/>
  <c r="I19" i="1"/>
  <c r="I18" i="1"/>
  <c r="J18" i="1"/>
  <c r="K18" i="1"/>
  <c r="I11" i="1"/>
  <c r="I10" i="1"/>
  <c r="I8" i="1"/>
  <c r="I20" i="1"/>
  <c r="K20" i="1"/>
  <c r="J19" i="1"/>
  <c r="I17" i="1"/>
  <c r="J17" i="1"/>
  <c r="K17" i="1"/>
  <c r="J8" i="1"/>
  <c r="I22" i="1"/>
  <c r="K22" i="1"/>
  <c r="K19" i="1"/>
  <c r="K333" i="1" l="1"/>
  <c r="C713" i="1"/>
  <c r="F710" i="1"/>
  <c r="F714" i="1" s="1"/>
  <c r="F717" i="1" s="1"/>
  <c r="I458" i="1"/>
  <c r="C470" i="1" s="1"/>
  <c r="C473" i="1" s="1"/>
  <c r="D479" i="1" s="1"/>
  <c r="K332" i="1"/>
  <c r="C88" i="1"/>
  <c r="F88" i="1" s="1"/>
  <c r="J88" i="1" s="1"/>
  <c r="C89" i="1"/>
  <c r="F89" i="1" s="1"/>
  <c r="J89" i="1" s="1"/>
  <c r="C85" i="1"/>
  <c r="F85" i="1" s="1"/>
  <c r="J85" i="1" s="1"/>
  <c r="C84" i="1"/>
  <c r="F84" i="1" s="1"/>
  <c r="J84" i="1" s="1"/>
  <c r="C87" i="1"/>
  <c r="F87" i="1" s="1"/>
  <c r="J87" i="1" s="1"/>
  <c r="C91" i="1"/>
  <c r="F91" i="1" s="1"/>
  <c r="J91" i="1" s="1"/>
  <c r="C86" i="1"/>
  <c r="F86" i="1" s="1"/>
  <c r="J86" i="1" s="1"/>
  <c r="L332" i="1" l="1"/>
  <c r="J339" i="1" s="1"/>
</calcChain>
</file>

<file path=xl/sharedStrings.xml><?xml version="1.0" encoding="utf-8"?>
<sst xmlns="http://schemas.openxmlformats.org/spreadsheetml/2006/main" count="513" uniqueCount="236">
  <si>
    <t>Semestrálna práca z predmetu Matematické metódy plánovania a vyhodnocovania experimentu</t>
  </si>
  <si>
    <t>Zimný semester 2025 / 2026</t>
  </si>
  <si>
    <t>Bc. Kristijan Čapanda</t>
  </si>
  <si>
    <t>1. Pomocou CPLOT-u zobrazte, aké priemerné odozvy boli namerané v jednotlivých bodoch plánovaného experimentu.</t>
  </si>
  <si>
    <t>Zadanie</t>
  </si>
  <si>
    <t>uhlopriečka [ " ]</t>
  </si>
  <si>
    <t>frekvencia [ Hz ]</t>
  </si>
  <si>
    <t>Rozlíšenie [ p ]</t>
  </si>
  <si>
    <t>cena [ Eur ]</t>
  </si>
  <si>
    <t>x1</t>
  </si>
  <si>
    <t>x2</t>
  </si>
  <si>
    <t>x3</t>
  </si>
  <si>
    <t>y</t>
  </si>
  <si>
    <t>t1</t>
  </si>
  <si>
    <t>t2</t>
  </si>
  <si>
    <t>t3</t>
  </si>
  <si>
    <t>s</t>
  </si>
  <si>
    <t>lambda</t>
  </si>
  <si>
    <t>Transofrmácia:</t>
  </si>
  <si>
    <t>Cena monitora     [ Eur ]</t>
  </si>
  <si>
    <t>y1</t>
  </si>
  <si>
    <t>y2</t>
  </si>
  <si>
    <t>2. Metódou najmenších štvorcov odhadnite koeficienty transformovanej regresnej funkcie lineárneho typu.</t>
  </si>
  <si>
    <t>t1*t2</t>
  </si>
  <si>
    <t>t1*t3</t>
  </si>
  <si>
    <t>t2*t3</t>
  </si>
  <si>
    <t>t1*t2*t3</t>
  </si>
  <si>
    <t>b0</t>
  </si>
  <si>
    <t>b1</t>
  </si>
  <si>
    <t>b2</t>
  </si>
  <si>
    <t>b3</t>
  </si>
  <si>
    <t>b12</t>
  </si>
  <si>
    <t>b13</t>
  </si>
  <si>
    <t>b23</t>
  </si>
  <si>
    <t>b123</t>
  </si>
  <si>
    <t xml:space="preserve">X = </t>
  </si>
  <si>
    <t>Y =</t>
  </si>
  <si>
    <t xml:space="preserve">XT = </t>
  </si>
  <si>
    <t>XT * Y =</t>
  </si>
  <si>
    <t xml:space="preserve">b = </t>
  </si>
  <si>
    <r>
      <t>b</t>
    </r>
    <r>
      <rPr>
        <b/>
        <vertAlign val="subscript"/>
        <sz val="11"/>
        <color theme="1"/>
        <rFont val="Aptos Narrow"/>
        <family val="2"/>
        <scheme val="minor"/>
      </rPr>
      <t>0</t>
    </r>
    <r>
      <rPr>
        <b/>
        <sz val="11"/>
        <color theme="1"/>
        <rFont val="Aptos Narrow"/>
        <family val="2"/>
        <scheme val="minor"/>
      </rPr>
      <t xml:space="preserve"> =</t>
    </r>
  </si>
  <si>
    <r>
      <t>b</t>
    </r>
    <r>
      <rPr>
        <b/>
        <vertAlign val="subscript"/>
        <sz val="11"/>
        <color theme="1"/>
        <rFont val="Aptos Narrow"/>
        <family val="2"/>
        <scheme val="minor"/>
      </rPr>
      <t>1</t>
    </r>
    <r>
      <rPr>
        <b/>
        <sz val="11"/>
        <color theme="1"/>
        <rFont val="Aptos Narrow"/>
        <family val="2"/>
        <scheme val="minor"/>
      </rPr>
      <t xml:space="preserve"> =</t>
    </r>
  </si>
  <si>
    <r>
      <t>b</t>
    </r>
    <r>
      <rPr>
        <b/>
        <vertAlign val="subscript"/>
        <sz val="11"/>
        <color theme="1"/>
        <rFont val="Aptos Narrow"/>
        <family val="2"/>
        <scheme val="minor"/>
      </rPr>
      <t>2</t>
    </r>
    <r>
      <rPr>
        <b/>
        <sz val="11"/>
        <color theme="1"/>
        <rFont val="Aptos Narrow"/>
        <family val="2"/>
        <scheme val="minor"/>
      </rPr>
      <t xml:space="preserve"> =</t>
    </r>
  </si>
  <si>
    <r>
      <t>b</t>
    </r>
    <r>
      <rPr>
        <b/>
        <vertAlign val="subscript"/>
        <sz val="11"/>
        <color theme="1"/>
        <rFont val="Aptos Narrow"/>
        <family val="2"/>
        <scheme val="minor"/>
      </rPr>
      <t>3</t>
    </r>
    <r>
      <rPr>
        <b/>
        <sz val="11"/>
        <color theme="1"/>
        <rFont val="Aptos Narrow"/>
        <family val="2"/>
        <scheme val="minor"/>
      </rPr>
      <t xml:space="preserve"> =</t>
    </r>
  </si>
  <si>
    <r>
      <t>b</t>
    </r>
    <r>
      <rPr>
        <b/>
        <vertAlign val="subscript"/>
        <sz val="11"/>
        <color theme="1"/>
        <rFont val="Aptos Narrow"/>
        <family val="2"/>
        <scheme val="minor"/>
      </rPr>
      <t>12</t>
    </r>
    <r>
      <rPr>
        <b/>
        <sz val="11"/>
        <color theme="1"/>
        <rFont val="Aptos Narrow"/>
        <family val="2"/>
        <scheme val="minor"/>
      </rPr>
      <t xml:space="preserve"> =</t>
    </r>
  </si>
  <si>
    <r>
      <t>b</t>
    </r>
    <r>
      <rPr>
        <b/>
        <vertAlign val="subscript"/>
        <sz val="11"/>
        <color theme="1"/>
        <rFont val="Aptos Narrow"/>
        <family val="2"/>
        <scheme val="minor"/>
      </rPr>
      <t>13</t>
    </r>
    <r>
      <rPr>
        <b/>
        <sz val="11"/>
        <color theme="1"/>
        <rFont val="Aptos Narrow"/>
        <family val="2"/>
        <scheme val="minor"/>
      </rPr>
      <t xml:space="preserve"> =</t>
    </r>
  </si>
  <si>
    <r>
      <t>b</t>
    </r>
    <r>
      <rPr>
        <b/>
        <vertAlign val="subscript"/>
        <sz val="11"/>
        <color theme="1"/>
        <rFont val="Aptos Narrow"/>
        <family val="2"/>
        <scheme val="minor"/>
      </rPr>
      <t>23</t>
    </r>
    <r>
      <rPr>
        <b/>
        <sz val="11"/>
        <color theme="1"/>
        <rFont val="Aptos Narrow"/>
        <family val="2"/>
        <scheme val="minor"/>
      </rPr>
      <t xml:space="preserve"> =</t>
    </r>
  </si>
  <si>
    <r>
      <t>b</t>
    </r>
    <r>
      <rPr>
        <b/>
        <vertAlign val="subscript"/>
        <sz val="11"/>
        <color theme="1"/>
        <rFont val="Aptos Narrow"/>
        <family val="2"/>
        <scheme val="minor"/>
      </rPr>
      <t>123</t>
    </r>
    <r>
      <rPr>
        <b/>
        <sz val="11"/>
        <color theme="1"/>
        <rFont val="Aptos Narrow"/>
        <family val="2"/>
        <scheme val="minor"/>
      </rPr>
      <t xml:space="preserve"> =</t>
    </r>
  </si>
  <si>
    <t xml:space="preserve">3. Na hladine významnosti 0,05 rozhodnite, ktoré z faktorov a interakcií nie sú štatisticky významné a možno ich vylúčiť, ak má zostať regresný model hierarchický. </t>
  </si>
  <si>
    <t>yi</t>
  </si>
  <si>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</si>
  <si>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</si>
  <si>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</si>
  <si>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</si>
  <si>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</si>
  <si>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</si>
  <si>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</si>
  <si>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</si>
  <si>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</si>
  <si>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</si>
  <si>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</si>
  <si>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</si>
  <si>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</si>
  <si>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</si>
  <si>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</si>
  <si>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</si>
  <si>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</si>
  <si>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</si>
  <si>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</si>
  <si>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</si>
  <si>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</si>
  <si>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</si>
  <si>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</si>
  <si>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Intercept</t>
  </si>
  <si>
    <r>
      <t xml:space="preserve">Na základe P-hodnoty môžeme vylúčiť faktory {t1*t2} ; {t1*t3} ; {t1*t2*t3}, pretože P-hodnota je väščia než nami zadaná </t>
    </r>
    <r>
      <rPr>
        <b/>
        <sz val="12"/>
        <color theme="1"/>
        <rFont val="Times New Roman"/>
        <family val="1"/>
        <charset val="238"/>
      </rPr>
      <t>α =</t>
    </r>
    <r>
      <rPr>
        <b/>
        <sz val="12"/>
        <color theme="1"/>
        <rFont val="Aptos Narrow"/>
        <family val="2"/>
        <scheme val="minor"/>
      </rPr>
      <t xml:space="preserve"> 0,05.</t>
    </r>
  </si>
  <si>
    <t>Výstup z Minitabu:</t>
  </si>
  <si>
    <t>Po výlučení nevýznamných faktorov</t>
  </si>
  <si>
    <t xml:space="preserve">4. Napíšte bodový odhad transformovanej regresnej funkcie lineárneho typu, ktorý vznikne po vylúčení štatisticky nevýznamných členov. Ďalej pracujte s týmto modelom. </t>
  </si>
  <si>
    <t>Výstup z Minitabu v kódovaných jednotkách:</t>
  </si>
  <si>
    <t>Po vylúčení nevyznámných faktorov:</t>
  </si>
  <si>
    <t>5.  Napíšte rovnicu pôvodnej regresnej funkcie lineárneho typu, t.j. rovnicu regresného modelu v nekódovaných hodnotách s upravenými koeficientami.</t>
  </si>
  <si>
    <t>fL ( t1, t2, t3 ) =</t>
  </si>
  <si>
    <t>fL ( x1, x2, x3 ) =</t>
  </si>
  <si>
    <t>+</t>
  </si>
  <si>
    <t>* x1 +</t>
  </si>
  <si>
    <t>* x2 +</t>
  </si>
  <si>
    <t>*x3 +</t>
  </si>
  <si>
    <t>*x2*x3</t>
  </si>
  <si>
    <t>508.375  +  60.125  *  (x1-29.5)/2.5  +  118.75*(x2-210)/30  +  293.12*(x3-1620)/540  +  114.25*(x2-210)/30*(x3-1620)/540</t>
  </si>
  <si>
    <t>6. Charakterizujte kvalitu získaného modelu pomocou indexu determinácie. Číselnú hodnotu interpretujte slovne.</t>
  </si>
  <si>
    <t>7. Porovnajte upravený index determinácie pri modeli so všetkými pôvodnými premennými a pri modeli, ktorý dostanete po ich vylúčení. Výsledok interpretujte.</t>
  </si>
  <si>
    <t>Údaje pred výlučením faktorov :</t>
  </si>
  <si>
    <t>Údaje po vylúčení faktorov:</t>
  </si>
  <si>
    <t>R^2</t>
  </si>
  <si>
    <t>=</t>
  </si>
  <si>
    <t>Toto číslo predstavuje 97% variability nameraných hodnôt ceny monitorov, vieme to vysvelitliť regresným modelom , resp. regresnou funkciou lineárneho typu. 3% variability nameraných hodnôt je daným modelom nevysvetlené.</t>
  </si>
  <si>
    <t xml:space="preserve">8. Charakterizujte kvalitu modelu z hľadiska jeho predikcie. </t>
  </si>
  <si>
    <t>Reziduá pred vylúčením faktorov:</t>
  </si>
  <si>
    <t>Po vylúčení nevýznamných faktorov:</t>
  </si>
  <si>
    <r>
      <t>Prediktívne R</t>
    </r>
    <r>
      <rPr>
        <vertAlign val="superscript"/>
        <sz val="11"/>
        <color theme="1"/>
        <rFont val="Aptos Narrow"/>
        <family val="2"/>
        <scheme val="minor"/>
      </rPr>
      <t>2</t>
    </r>
    <r>
      <rPr>
        <sz val="11"/>
        <color theme="1"/>
        <rFont val="Aptos Narrow"/>
        <family val="2"/>
        <scheme val="minor"/>
      </rPr>
      <t xml:space="preserve"> určuje ako presne vie model prediktovať správnu hodnotu po odstránení nevýznamných údajov zo súboru dát. V našom prípade je to 90,72%.</t>
    </r>
  </si>
  <si>
    <t xml:space="preserve">9. Otestujte celkovú štatistickú významnosť regresného modelu pomocou F testu. </t>
  </si>
  <si>
    <t>Testujeme štatistickú významnosť regresného modelu</t>
  </si>
  <si>
    <t>α=0,03</t>
  </si>
  <si>
    <t>H0:b1=b2=b3=b23=0&gt;&lt;H1: aspoň jeden z uvedených koeficientov je nenulový</t>
  </si>
  <si>
    <t>F=</t>
  </si>
  <si>
    <r>
      <rPr>
        <sz val="11"/>
        <color rgb="FFFF0000"/>
        <rFont val="Aptos Narrow"/>
        <family val="2"/>
        <charset val="238"/>
        <scheme val="minor"/>
      </rPr>
      <t>patri</t>
    </r>
    <r>
      <rPr>
        <sz val="11"/>
        <color theme="1"/>
        <rFont val="Aptos Narrow"/>
        <family val="2"/>
        <scheme val="minor"/>
      </rPr>
      <t xml:space="preserve"> do W</t>
    </r>
  </si>
  <si>
    <t>F kv4,11(0,97)=</t>
  </si>
  <si>
    <t>p =</t>
  </si>
  <si>
    <t>patri do W</t>
  </si>
  <si>
    <t>&lt;0,03</t>
  </si>
  <si>
    <t>10. Otestujte kvalitu modelu testom Lack of Fit.</t>
  </si>
  <si>
    <t>α = 0,05</t>
  </si>
  <si>
    <t>PE</t>
  </si>
  <si>
    <t>df pre PE</t>
  </si>
  <si>
    <t>F krit</t>
  </si>
  <si>
    <t>Lack of fit</t>
  </si>
  <si>
    <t>Pure error</t>
  </si>
  <si>
    <t>Testujeme kvalitu modelu pomocou Lack of fit</t>
  </si>
  <si>
    <t>α=0,05</t>
  </si>
  <si>
    <t>F kv 0,16(0,95)=</t>
  </si>
  <si>
    <t>&lt; 0,05</t>
  </si>
  <si>
    <t>11. Testom krivosti overte, či nie je potrebné do modelu zaradiť kvadratické členy.</t>
  </si>
  <si>
    <t>Na testovanie použijem tabuľku po vylúčení štatisticky nevýznamných faktorov:</t>
  </si>
  <si>
    <t>SSCPQ</t>
  </si>
  <si>
    <t>F0</t>
  </si>
  <si>
    <t>Test krivosti</t>
  </si>
  <si>
    <t>Prijímame nulovú hypotézu</t>
  </si>
  <si>
    <t>&gt; 0,05</t>
  </si>
  <si>
    <t>Zamietame alternatívnu hypotézu.</t>
  </si>
  <si>
    <r>
      <t>F</t>
    </r>
    <r>
      <rPr>
        <b/>
        <vertAlign val="subscript"/>
        <sz val="11"/>
        <color theme="1"/>
        <rFont val="Aptos Narrow"/>
        <family val="2"/>
        <scheme val="minor"/>
      </rPr>
      <t>0</t>
    </r>
  </si>
  <si>
    <r>
      <t xml:space="preserve">Na hladine významnosti </t>
    </r>
    <r>
      <rPr>
        <sz val="11"/>
        <color theme="1"/>
        <rFont val="Times New Roman"/>
        <family val="1"/>
        <charset val="238"/>
      </rPr>
      <t>α</t>
    </r>
    <r>
      <rPr>
        <sz val="7.7"/>
        <color theme="1"/>
        <rFont val="Aptos Narrow"/>
        <family val="2"/>
        <charset val="238"/>
      </rPr>
      <t xml:space="preserve"> = </t>
    </r>
    <r>
      <rPr>
        <sz val="11"/>
        <color theme="1"/>
        <rFont val="Aptos Narrow"/>
        <family val="2"/>
        <scheme val="minor"/>
      </rPr>
      <t>0,05 prijímame hypotézu, že do regresného modelu ešte nie je potrebné zaraďovať kvadratické členy, t.j. nie je potrebný úplný kvadratický regresný model.</t>
    </r>
  </si>
  <si>
    <t>14. Určte, či je samostatný vplyv vybraného faktoru na hodnotu regresnej funkcie lineárneho typu štatisticky významný. Použite F test dodatočného príspevku vybraného faktora na vysvetlenie variability závislej premennej.</t>
  </si>
  <si>
    <t>12. Analyzujte reziduá graficky a overte, či spĺňajú požadované podmienky aj pomocou testov.</t>
  </si>
  <si>
    <t>13. Určte, či je samostatný vplyv vybraného faktoru na hodnotu regresnej funkcie lineárneho typu štatisticky významný. Použite t test nulovosti regresného koeficientu.</t>
  </si>
  <si>
    <t>Príspevok t1</t>
  </si>
  <si>
    <t>SSR pre t1</t>
  </si>
  <si>
    <t>SSE(t1)</t>
  </si>
  <si>
    <t>Príspevok t1:</t>
  </si>
  <si>
    <r>
      <t>y predik s t</t>
    </r>
    <r>
      <rPr>
        <b/>
        <vertAlign val="subscript"/>
        <sz val="11"/>
        <rFont val="Aptos Narrow"/>
        <family val="2"/>
        <scheme val="minor"/>
      </rPr>
      <t>1</t>
    </r>
  </si>
  <si>
    <r>
      <t>y predik bez t</t>
    </r>
    <r>
      <rPr>
        <b/>
        <vertAlign val="subscript"/>
        <sz val="11"/>
        <rFont val="Aptos Narrow"/>
        <family val="2"/>
        <scheme val="minor"/>
      </rPr>
      <t>1</t>
    </r>
  </si>
  <si>
    <r>
      <t>( delta a t</t>
    </r>
    <r>
      <rPr>
        <b/>
        <vertAlign val="subscript"/>
        <sz val="11"/>
        <rFont val="Aptos Narrow"/>
        <family val="2"/>
        <scheme val="minor"/>
      </rPr>
      <t>1</t>
    </r>
    <r>
      <rPr>
        <b/>
        <sz val="11"/>
        <rFont val="Aptos Narrow"/>
        <family val="2"/>
        <scheme val="minor"/>
      </rPr>
      <t xml:space="preserve"> ) ^ 2</t>
    </r>
  </si>
  <si>
    <r>
      <t>( delta bez t</t>
    </r>
    <r>
      <rPr>
        <b/>
        <vertAlign val="subscript"/>
        <sz val="11"/>
        <rFont val="Aptos Narrow"/>
        <family val="2"/>
        <scheme val="minor"/>
      </rPr>
      <t>1</t>
    </r>
    <r>
      <rPr>
        <b/>
        <sz val="11"/>
        <rFont val="Aptos Narrow"/>
        <family val="2"/>
        <scheme val="minor"/>
      </rPr>
      <t xml:space="preserve"> ) ^2</t>
    </r>
  </si>
  <si>
    <t>F test štatistickej významnosti prínosu k-tej vysvetľujúcej premennej</t>
  </si>
  <si>
    <t>α=0,1</t>
  </si>
  <si>
    <t>F kv 1,12(0,9)=</t>
  </si>
  <si>
    <t>&lt; 0,1</t>
  </si>
  <si>
    <t>Zamietame hypotézu H0</t>
  </si>
  <si>
    <t>Prijímame hypotézu H1.</t>
  </si>
  <si>
    <r>
      <t xml:space="preserve">Na hladine významnosti </t>
    </r>
    <r>
      <rPr>
        <sz val="11"/>
        <color theme="1"/>
        <rFont val="Times New Roman"/>
        <family val="1"/>
        <charset val="238"/>
      </rPr>
      <t>α</t>
    </r>
    <r>
      <rPr>
        <sz val="7.7"/>
        <color theme="1"/>
        <rFont val="Aptos Narrow"/>
        <family val="2"/>
        <charset val="238"/>
      </rPr>
      <t xml:space="preserve"> = </t>
    </r>
    <r>
      <rPr>
        <sz val="11"/>
        <color theme="1"/>
        <rFont val="Aptos Narrow"/>
        <family val="2"/>
        <scheme val="minor"/>
      </rPr>
      <t xml:space="preserve">0,1 za predpokladu, že sa už uvažovalo s premennými t2; t3; a t2*t3; možno považovať dodatočný prínos premennej t1 za </t>
    </r>
    <r>
      <rPr>
        <b/>
        <u/>
        <sz val="11"/>
        <color theme="1"/>
        <rFont val="Aptos Narrow"/>
        <family val="2"/>
        <scheme val="minor"/>
      </rPr>
      <t>štatisticky významný</t>
    </r>
    <r>
      <rPr>
        <sz val="11"/>
        <color theme="1"/>
        <rFont val="Aptos Narrow"/>
        <family val="2"/>
        <scheme val="minor"/>
      </rPr>
      <t>.</t>
    </r>
  </si>
  <si>
    <t>15. Určte, či je vybraná interakcia faktorov na hodnotu regresnej funkcie lineárneho typu štatisticky významná. Použite t test nulovosti regresného koeficientu.</t>
  </si>
  <si>
    <r>
      <t>Testujeme samostatny vplyv parametra t1 na hodnotu f</t>
    </r>
    <r>
      <rPr>
        <b/>
        <vertAlign val="subscript"/>
        <sz val="11"/>
        <rFont val="Aptos Narrow"/>
        <family val="2"/>
        <charset val="238"/>
        <scheme val="minor"/>
      </rPr>
      <t>t</t>
    </r>
  </si>
  <si>
    <t>H0:b1=0&gt;&lt;H1:b1≠0</t>
  </si>
  <si>
    <t>test. stat.b1=</t>
  </si>
  <si>
    <t xml:space="preserve">H0:b1=0 </t>
  </si>
  <si>
    <t>zamietame</t>
  </si>
  <si>
    <t>t kv12(0,975)=</t>
  </si>
  <si>
    <t>H1:b1≠0</t>
  </si>
  <si>
    <t>prijimame</t>
  </si>
  <si>
    <t>p (b1)=</t>
  </si>
  <si>
    <r>
      <rPr>
        <sz val="11"/>
        <color rgb="FFFF0000"/>
        <rFont val="Aptos Narrow"/>
        <family val="2"/>
        <charset val="238"/>
        <scheme val="minor"/>
      </rPr>
      <t>&lt;</t>
    </r>
    <r>
      <rPr>
        <sz val="11"/>
        <color theme="1"/>
        <rFont val="Aptos Narrow"/>
        <family val="2"/>
        <scheme val="minor"/>
      </rPr>
      <t>0,05</t>
    </r>
  </si>
  <si>
    <r>
      <rPr>
        <sz val="11"/>
        <color rgb="FFFF0000"/>
        <rFont val="Aptos Narrow"/>
        <family val="2"/>
        <charset val="238"/>
        <scheme val="minor"/>
      </rPr>
      <t>nepatri</t>
    </r>
    <r>
      <rPr>
        <sz val="11"/>
        <color theme="1"/>
        <rFont val="Aptos Narrow"/>
        <family val="2"/>
        <scheme val="minor"/>
      </rPr>
      <t xml:space="preserve"> do 95% IS</t>
    </r>
  </si>
  <si>
    <r>
      <t>Testujeme samostatny vplyv parametra t2 na hodnotu f</t>
    </r>
    <r>
      <rPr>
        <b/>
        <vertAlign val="subscript"/>
        <sz val="11"/>
        <rFont val="Aptos Narrow"/>
        <family val="2"/>
        <charset val="238"/>
        <scheme val="minor"/>
      </rPr>
      <t>t</t>
    </r>
  </si>
  <si>
    <t>H0:b2=0&gt;&lt;H2:b2≠0</t>
  </si>
  <si>
    <t>test. stat.b2=</t>
  </si>
  <si>
    <t xml:space="preserve">H0:b2=0 </t>
  </si>
  <si>
    <t>H1:b2≠0</t>
  </si>
  <si>
    <t>p (b2)=</t>
  </si>
  <si>
    <r>
      <t>Testujeme samostatný vplyv parametra t3 na hodnotu f</t>
    </r>
    <r>
      <rPr>
        <b/>
        <vertAlign val="subscript"/>
        <sz val="11"/>
        <rFont val="Aptos Narrow"/>
        <family val="2"/>
        <charset val="238"/>
        <scheme val="minor"/>
      </rPr>
      <t>t</t>
    </r>
  </si>
  <si>
    <t>H0:b3=0&gt;&lt;H1:b3≠0</t>
  </si>
  <si>
    <t>test. stat.b3=</t>
  </si>
  <si>
    <t xml:space="preserve">H0:b3=0 </t>
  </si>
  <si>
    <t>H1:b3≠0</t>
  </si>
  <si>
    <t>p (b3)=</t>
  </si>
  <si>
    <r>
      <t>Testujeme spoločný vplyv (vzájomné pôsobenie) parametrov t2 a t3 na hodnotu f</t>
    </r>
    <r>
      <rPr>
        <b/>
        <vertAlign val="subscript"/>
        <sz val="11"/>
        <rFont val="Aptos Narrow"/>
        <family val="2"/>
        <charset val="238"/>
        <scheme val="minor"/>
      </rPr>
      <t>t</t>
    </r>
  </si>
  <si>
    <t>H0:b23=0&gt;&lt;H1:b23≠0</t>
  </si>
  <si>
    <t>test. stat.b23=</t>
  </si>
  <si>
    <t xml:space="preserve">H0:b23=0 </t>
  </si>
  <si>
    <t>H1:b23≠0</t>
  </si>
  <si>
    <t>p (b23)=</t>
  </si>
  <si>
    <r>
      <t xml:space="preserve">Na hladine významnosti </t>
    </r>
    <r>
      <rPr>
        <sz val="11"/>
        <color theme="1"/>
        <rFont val="Times New Roman"/>
        <family val="1"/>
        <charset val="238"/>
      </rPr>
      <t>α</t>
    </r>
    <r>
      <rPr>
        <sz val="7.9"/>
        <color theme="1"/>
        <rFont val="Aptos Narrow"/>
        <family val="2"/>
        <charset val="238"/>
      </rPr>
      <t xml:space="preserve"> = </t>
    </r>
    <r>
      <rPr>
        <sz val="11"/>
        <color theme="1"/>
        <rFont val="Aptos Narrow"/>
        <family val="2"/>
        <scheme val="minor"/>
      </rPr>
      <t>0,05 možno konštatovať, že regresný koeficient b23 je</t>
    </r>
    <r>
      <rPr>
        <b/>
        <sz val="11"/>
        <color theme="1"/>
        <rFont val="Aptos Narrow"/>
        <family val="2"/>
        <scheme val="minor"/>
      </rPr>
      <t xml:space="preserve"> </t>
    </r>
    <r>
      <rPr>
        <b/>
        <u/>
        <sz val="11"/>
        <color theme="1"/>
        <rFont val="Aptos Narrow"/>
        <family val="2"/>
        <scheme val="minor"/>
      </rPr>
      <t>štatisticky významný.</t>
    </r>
    <r>
      <rPr>
        <b/>
        <sz val="11"/>
        <color theme="1"/>
        <rFont val="Aptos Narrow"/>
        <family val="2"/>
        <scheme val="minor"/>
      </rPr>
      <t xml:space="preserve"> </t>
    </r>
    <r>
      <rPr>
        <sz val="11"/>
        <color theme="1"/>
        <rFont val="Aptos Narrow"/>
        <family val="2"/>
        <scheme val="minor"/>
      </rPr>
      <t>Vo všeobecnosti môžeme povedať, že t2 a t3 má vzájomný</t>
    </r>
    <r>
      <rPr>
        <sz val="11"/>
        <color theme="1"/>
        <rFont val="Aptos Narrow"/>
        <family val="2"/>
        <scheme val="minor"/>
      </rPr>
      <t xml:space="preserve"> vplyv faktora na hodnotu transformovanej regresnej funkcie a je teda štatisticky významný. To znamená, že ho nemôžeme zanedbať. Z tohto vyplýva, že </t>
    </r>
    <r>
      <rPr>
        <b/>
        <u/>
        <sz val="11"/>
        <color theme="1"/>
        <rFont val="Aptos Narrow"/>
        <family val="2"/>
        <scheme val="minor"/>
      </rPr>
      <t>vzajomné pôsobenie parametrov t2 a t3 je dôležitým faktorom pre cenu.</t>
    </r>
  </si>
  <si>
    <r>
      <t xml:space="preserve">Na hladine významnosti </t>
    </r>
    <r>
      <rPr>
        <sz val="11"/>
        <color theme="1"/>
        <rFont val="Times New Roman"/>
        <family val="1"/>
        <charset val="238"/>
      </rPr>
      <t>α</t>
    </r>
    <r>
      <rPr>
        <sz val="7.9"/>
        <color theme="1"/>
        <rFont val="Aptos Narrow"/>
        <family val="2"/>
        <charset val="238"/>
      </rPr>
      <t xml:space="preserve"> = </t>
    </r>
    <r>
      <rPr>
        <sz val="11"/>
        <color theme="1"/>
        <rFont val="Aptos Narrow"/>
        <family val="2"/>
        <scheme val="minor"/>
      </rPr>
      <t>0,05 možno konštatovať, že regresný koeficient b3 je</t>
    </r>
    <r>
      <rPr>
        <b/>
        <sz val="11"/>
        <color theme="1"/>
        <rFont val="Aptos Narrow"/>
        <family val="2"/>
        <scheme val="minor"/>
      </rPr>
      <t xml:space="preserve"> </t>
    </r>
    <r>
      <rPr>
        <b/>
        <u/>
        <sz val="11"/>
        <color theme="1"/>
        <rFont val="Aptos Narrow"/>
        <family val="2"/>
        <scheme val="minor"/>
      </rPr>
      <t>štatisticky významný.</t>
    </r>
    <r>
      <rPr>
        <b/>
        <sz val="11"/>
        <color theme="1"/>
        <rFont val="Aptos Narrow"/>
        <family val="2"/>
        <scheme val="minor"/>
      </rPr>
      <t xml:space="preserve"> </t>
    </r>
    <r>
      <rPr>
        <sz val="11"/>
        <color theme="1"/>
        <rFont val="Aptos Narrow"/>
        <family val="2"/>
        <scheme val="minor"/>
      </rPr>
      <t xml:space="preserve">Vo všeobecnosti môžeme povedať, že t3 má </t>
    </r>
    <r>
      <rPr>
        <sz val="11"/>
        <color theme="1"/>
        <rFont val="Aptos Narrow"/>
        <family val="2"/>
        <scheme val="minor"/>
      </rPr>
      <t xml:space="preserve">samostatný vplyv faktora na hodnotu transformovanej regresnej funkcie a je teda štatisticky významný. To znamená, že ho nemôžeme zanedbať. Z tohto vyplýva, že </t>
    </r>
    <r>
      <rPr>
        <b/>
        <u/>
        <sz val="11"/>
        <color theme="1"/>
        <rFont val="Aptos Narrow"/>
        <family val="2"/>
        <scheme val="minor"/>
      </rPr>
      <t>rozlíšenie monitora je dôležitým faktorom pre cenu monitora.</t>
    </r>
  </si>
  <si>
    <r>
      <t xml:space="preserve">Na hladine významnosti </t>
    </r>
    <r>
      <rPr>
        <sz val="11"/>
        <color theme="1"/>
        <rFont val="Times New Roman"/>
        <family val="1"/>
        <charset val="238"/>
      </rPr>
      <t>α</t>
    </r>
    <r>
      <rPr>
        <sz val="7.9"/>
        <color theme="1"/>
        <rFont val="Aptos Narrow"/>
        <family val="2"/>
        <charset val="238"/>
      </rPr>
      <t xml:space="preserve"> = </t>
    </r>
    <r>
      <rPr>
        <sz val="11"/>
        <color theme="1"/>
        <rFont val="Aptos Narrow"/>
        <family val="2"/>
        <scheme val="minor"/>
      </rPr>
      <t>0,05 možno konštatovať, že regresný koeficient b2 je</t>
    </r>
    <r>
      <rPr>
        <b/>
        <sz val="11"/>
        <color theme="1"/>
        <rFont val="Aptos Narrow"/>
        <family val="2"/>
        <scheme val="minor"/>
      </rPr>
      <t xml:space="preserve"> </t>
    </r>
    <r>
      <rPr>
        <b/>
        <u/>
        <sz val="11"/>
        <color theme="1"/>
        <rFont val="Aptos Narrow"/>
        <family val="2"/>
        <scheme val="minor"/>
      </rPr>
      <t>štatisticky významný.</t>
    </r>
    <r>
      <rPr>
        <b/>
        <sz val="11"/>
        <color theme="1"/>
        <rFont val="Aptos Narrow"/>
        <family val="2"/>
        <scheme val="minor"/>
      </rPr>
      <t xml:space="preserve"> </t>
    </r>
    <r>
      <rPr>
        <sz val="11"/>
        <color theme="1"/>
        <rFont val="Aptos Narrow"/>
        <family val="2"/>
        <scheme val="minor"/>
      </rPr>
      <t xml:space="preserve">Vo všeobecnosti môžeme povedať, že t2 má </t>
    </r>
    <r>
      <rPr>
        <sz val="11"/>
        <color theme="1"/>
        <rFont val="Aptos Narrow"/>
        <family val="2"/>
        <scheme val="minor"/>
      </rPr>
      <t xml:space="preserve">samostatný vplyv faktora na hodnotu transformovanej regresnej funkcie a je teda štatisticky významný. To znamená, že ho nemôžeme zanedbať. Z tohto vyplýva, že </t>
    </r>
    <r>
      <rPr>
        <b/>
        <u/>
        <sz val="11"/>
        <color theme="1"/>
        <rFont val="Aptos Narrow"/>
        <family val="2"/>
        <scheme val="minor"/>
      </rPr>
      <t>obnovovacia frekvencia je dôležitým faktorom pre cenu monitora.</t>
    </r>
  </si>
  <si>
    <r>
      <t xml:space="preserve">Na hladine významnosti </t>
    </r>
    <r>
      <rPr>
        <sz val="11"/>
        <color theme="1"/>
        <rFont val="Times New Roman"/>
        <family val="1"/>
        <charset val="238"/>
      </rPr>
      <t>α</t>
    </r>
    <r>
      <rPr>
        <sz val="7.9"/>
        <color theme="1"/>
        <rFont val="Aptos Narrow"/>
        <family val="2"/>
        <charset val="238"/>
      </rPr>
      <t xml:space="preserve"> = </t>
    </r>
    <r>
      <rPr>
        <sz val="11"/>
        <color theme="1"/>
        <rFont val="Aptos Narrow"/>
        <family val="2"/>
        <scheme val="minor"/>
      </rPr>
      <t>0,05 možno konštatovať, že regresný koeficient b1 je</t>
    </r>
    <r>
      <rPr>
        <b/>
        <sz val="11"/>
        <color theme="1"/>
        <rFont val="Aptos Narrow"/>
        <family val="2"/>
        <scheme val="minor"/>
      </rPr>
      <t xml:space="preserve"> </t>
    </r>
    <r>
      <rPr>
        <b/>
        <u/>
        <sz val="11"/>
        <color theme="1"/>
        <rFont val="Aptos Narrow"/>
        <family val="2"/>
        <scheme val="minor"/>
      </rPr>
      <t>štatisticky významný.</t>
    </r>
    <r>
      <rPr>
        <b/>
        <sz val="11"/>
        <color theme="1"/>
        <rFont val="Aptos Narrow"/>
        <family val="2"/>
        <scheme val="minor"/>
      </rPr>
      <t xml:space="preserve"> </t>
    </r>
    <r>
      <rPr>
        <sz val="11"/>
        <color theme="1"/>
        <rFont val="Aptos Narrow"/>
        <family val="2"/>
        <scheme val="minor"/>
      </rPr>
      <t xml:space="preserve">Vo všeobecnosti môžeme povedať, že t1 má </t>
    </r>
    <r>
      <rPr>
        <sz val="11"/>
        <color theme="1"/>
        <rFont val="Aptos Narrow"/>
        <family val="2"/>
        <scheme val="minor"/>
      </rPr>
      <t xml:space="preserve">samostatný vplyv faktora na hodnotu transformovanej regresnej funkcie a je teda štatisticky významný. To znamená, že ho nemôžeme zanedbať. Z tohto vyplýva, že </t>
    </r>
    <r>
      <rPr>
        <b/>
        <u/>
        <sz val="11"/>
        <color theme="1"/>
        <rFont val="Aptos Narrow"/>
        <family val="2"/>
        <scheme val="minor"/>
      </rPr>
      <t>veľkosť uhlopriečky je dôležitým faktorom pre cenu monitora.</t>
    </r>
  </si>
  <si>
    <t>16. Vypočítajte a zobrazte grafy hlavných efektov sledovaných faktorov (main effect plots). Grafy porovnajte a interpretujte.</t>
  </si>
  <si>
    <t>A patrí</t>
  </si>
  <si>
    <t>&lt; 27 ; 32 &gt;</t>
  </si>
  <si>
    <t>Uhlopriecka [ " ]</t>
  </si>
  <si>
    <t>B patrí</t>
  </si>
  <si>
    <t>&lt; 180 ; 240 &gt;</t>
  </si>
  <si>
    <t>Frekvencia [ Hz ]</t>
  </si>
  <si>
    <t xml:space="preserve">C patrí </t>
  </si>
  <si>
    <t>&lt; 1080 ; 2160 &gt;</t>
  </si>
  <si>
    <t>Rozlisenie [ pixel ]</t>
  </si>
  <si>
    <t>Hlavný efekt faktora A - uhlopriečka</t>
  </si>
  <si>
    <t>Hlavný efekt faktora B - frekvencia</t>
  </si>
  <si>
    <t>Hlavný efekt faktora C - rozlíšenie</t>
  </si>
  <si>
    <t>A</t>
  </si>
  <si>
    <t>B</t>
  </si>
  <si>
    <t>C</t>
  </si>
  <si>
    <t>ef(A)=</t>
  </si>
  <si>
    <t>Hlavné efekty všetkých troch faktorov majú kladné číslo, takže čím sú dané parametre kladnejšie, resp. väčšie, tým narastá predajná cena monitora.</t>
  </si>
  <si>
    <t xml:space="preserve">17. Zobrazte efekt interakcií sledovaných faktorov (interaction plots) a interpretujte ich. </t>
  </si>
  <si>
    <t xml:space="preserve"> Grafy interakcie efektov A - B</t>
  </si>
  <si>
    <t xml:space="preserve"> Grafy interakcie efektov A - C</t>
  </si>
  <si>
    <t xml:space="preserve"> Grafy interakcie efektov B - C</t>
  </si>
  <si>
    <t>Interakcia medzi uhlopriečkou a rozlíšením monitora je najmenej signifikantná; medzi frekvenciou a rozlišením je pozorovaná najväčšia interakcia – uhol medzi úsečkami ja najväčší.</t>
  </si>
  <si>
    <t>18. Pomocou nájdeného regresného modelu predikujte hodnotu odozvy pre zvolené úrovne faktorov. Správnosť výsledku overte výpočtom cez model v pôvodných aj kódovaných jednotkách.</t>
  </si>
  <si>
    <t>yLt(t1,t2,t3)=</t>
  </si>
  <si>
    <t>*t1</t>
  </si>
  <si>
    <t>*t2</t>
  </si>
  <si>
    <t>*t3</t>
  </si>
  <si>
    <t>*t2*t3</t>
  </si>
  <si>
    <t>x1=27 --&gt; t1=</t>
  </si>
  <si>
    <t>x2=200 --&gt; t2=</t>
  </si>
  <si>
    <t>x3=1440 --&gt; t3=</t>
  </si>
  <si>
    <t>yLt(-1;-0,33;-0,33)=</t>
  </si>
  <si>
    <t>yL(x1,x2,x3)=</t>
  </si>
  <si>
    <t>483.71  +  24.05x1  ​−  7.4517x2  ​−  0.9372x3  ​+  0.00705x2​x3​</t>
  </si>
  <si>
    <t>yL(27,200,1440)=</t>
  </si>
  <si>
    <t>x2*x3</t>
  </si>
  <si>
    <t>Predikcia v programe Minitab:</t>
  </si>
  <si>
    <t>19. Overte správnosť nájdeného regresného modelu pomocou kontrolného merania.</t>
  </si>
  <si>
    <t>fL ( 27,200,1440 ) =</t>
  </si>
  <si>
    <t>x1 -uhlopriecka</t>
  </si>
  <si>
    <t>x2 - frekvencia</t>
  </si>
  <si>
    <t>x3 - rozlisenie</t>
  </si>
  <si>
    <t>Nami určené hodnoty:</t>
  </si>
  <si>
    <t>Keď sme zadali naše špecifikácie pre monitor ktoré sme si určili, tak sa nám zobrazili monitory v cenovom rozmedzí 163 až 283 eur, čo naznačuje že náš regresný model nie je vhodný na určovanie cien monitorov, keďže je tam veľká variabilita ceny, ktorá je pravdepodobne určovaná výrazne určovaná ďalšími špecifikáciamy okrem ulopriečky, obnovovacej frekvencie.</t>
  </si>
  <si>
    <t xml:space="preserve">20. Analyzujte pri akom nastavení faktorov možno dostať požadovanú odozvu. </t>
  </si>
  <si>
    <t xml:space="preserve">Riešiteľ : </t>
  </si>
  <si>
    <t xml:space="preserve">Pomocou nástroja Riešiteľ (alebo Solver) sme dostali také parametre, aké by sme potrebovali, aby sme dostali požadovanú cenu monitora, čo v našom prípade sme si zadali 500 eur, avšak treba poznamenať že treba dodržiavať parametre, ktoré sú dané výrobcom. </t>
  </si>
  <si>
    <t>Zdroje jednotlivych cien monitorov</t>
  </si>
  <si>
    <t>F kv 4,12(0,95)=</t>
  </si>
  <si>
    <r>
      <t>Na hladine významnosti 0,03 môžeme konštatovať, že regresný model</t>
    </r>
    <r>
      <rPr>
        <b/>
        <u/>
        <sz val="11"/>
        <color theme="1"/>
        <rFont val="Aptos Narrow"/>
        <family val="2"/>
        <scheme val="minor"/>
      </rPr>
      <t xml:space="preserve"> je štatisticky významný (prijímame nulovú hypotézu).</t>
    </r>
  </si>
  <si>
    <r>
      <t xml:space="preserve">Na hladine významnosti </t>
    </r>
    <r>
      <rPr>
        <sz val="11"/>
        <color theme="1"/>
        <rFont val="Times New Roman"/>
        <family val="1"/>
        <charset val="238"/>
      </rPr>
      <t>α</t>
    </r>
    <r>
      <rPr>
        <sz val="7.7"/>
        <color theme="1"/>
        <rFont val="Aptos Narrow"/>
        <family val="2"/>
        <charset val="238"/>
      </rPr>
      <t xml:space="preserve"> = </t>
    </r>
    <r>
      <rPr>
        <sz val="11"/>
        <color theme="1"/>
        <rFont val="Aptos Narrow"/>
        <family val="2"/>
        <scheme val="minor"/>
      </rPr>
      <t>0,05 môžme konštatovať, že lineárny model je nedostatočný.  Hodnota testovacej štatistiky F</t>
    </r>
    <r>
      <rPr>
        <vertAlign val="subscript"/>
        <sz val="11"/>
        <color theme="1"/>
        <rFont val="Aptos Narrow"/>
        <family val="2"/>
        <scheme val="minor"/>
      </rPr>
      <t>0</t>
    </r>
    <r>
      <rPr>
        <sz val="11"/>
        <color theme="1"/>
        <rFont val="Aptos Narrow"/>
        <family val="2"/>
        <scheme val="minor"/>
      </rPr>
      <t xml:space="preserve"> leží v kritickéj oblasti W, takže zamietame nulovú hypotézu H0.</t>
    </r>
  </si>
  <si>
    <t>H0: No LOF &gt;&lt;H1:LOF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</si>
</sst>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0"/>
    <numFmt numFmtId="167" formatCode="0.00000"/>
  </numFmts>
  <fonts count="35">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b/>
      <sz val="14"/>
      <color theme="0"/>
      <name val="Aptos Narrow"/>
      <family val="2"/>
      <scheme val="minor"/>
    </font>
    <font>
      <sz val="11"/>
      <color theme="0"/>
      <name val="Aptos Narrow"/>
      <family val="2"/>
      <charset val="238"/>
      <scheme val="minor"/>
    </font>
    <font>
      <b/>
      <i/>
      <sz val="11"/>
      <color theme="1"/>
      <name val="Aptos Narrow"/>
      <family val="2"/>
      <scheme val="minor"/>
    </font>
    <font>
      <b/>
      <i/>
      <sz val="12"/>
      <color theme="1"/>
      <name val="Aptos Narrow"/>
      <family val="2"/>
      <scheme val="minor"/>
    </font>
    <font>
      <b/>
      <i/>
      <sz val="14"/>
      <color theme="1"/>
      <name val="Aptos Narrow"/>
      <family val="2"/>
      <scheme val="minor"/>
    </font>
    <font>
      <b/>
      <sz val="12"/>
      <color theme="1"/>
      <name val="Aptos Narrow"/>
      <family val="2"/>
      <scheme val="minor"/>
    </font>
    <font>
      <sz val="11"/>
      <color theme="0" tint="-0.499984740745262"/>
      <name val="Aptos Narrow"/>
      <family val="2"/>
      <charset val="238"/>
      <scheme val="minor"/>
    </font>
    <font>
      <b/>
      <vertAlign val="subscript"/>
      <sz val="11"/>
      <color theme="1"/>
      <name val="Aptos Narrow"/>
      <family val="2"/>
      <scheme val="minor"/>
    </font>
    <font>
      <b/>
      <sz val="11"/>
      <name val="Aptos Narrow"/>
      <family val="2"/>
      <scheme val="minor"/>
    </font>
    <font>
      <i/>
      <sz val="11"/>
      <color theme="1"/>
      <name val="Aptos Narrow"/>
      <family val="2"/>
      <charset val="238"/>
      <scheme val="minor"/>
    </font>
    <font>
      <b/>
      <sz val="12"/>
      <color theme="1"/>
      <name val="Aptos Narrow"/>
      <family val="2"/>
      <charset val="238"/>
      <scheme val="minor"/>
    </font>
    <font>
      <b/>
      <sz val="12"/>
      <color theme="1"/>
      <name val="Times New Roman"/>
      <family val="1"/>
      <charset val="238"/>
    </font>
    <font>
      <sz val="12"/>
      <color theme="1"/>
      <name val="Aptos Narrow"/>
      <family val="2"/>
      <scheme val="minor"/>
    </font>
    <font>
      <sz val="11"/>
      <color theme="4" tint="-0.249977111117893"/>
      <name val="Aptos Narrow"/>
      <family val="2"/>
      <scheme val="minor"/>
    </font>
    <font>
      <b/>
      <sz val="11"/>
      <color theme="4" tint="-0.249977111117893"/>
      <name val="Aptos Narrow"/>
      <family val="2"/>
      <scheme val="minor"/>
    </font>
    <font>
      <i/>
      <sz val="11"/>
      <color theme="1"/>
      <name val="Aptos Narrow"/>
      <family val="2"/>
      <scheme val="minor"/>
    </font>
    <font>
      <vertAlign val="superscript"/>
      <sz val="11"/>
      <color theme="1"/>
      <name val="Aptos Narrow"/>
      <family val="2"/>
      <scheme val="minor"/>
    </font>
    <font>
      <b/>
      <sz val="11"/>
      <name val="Aptos Narrow"/>
      <family val="2"/>
      <charset val="238"/>
      <scheme val="minor"/>
    </font>
    <font>
      <sz val="11"/>
      <color theme="1"/>
      <name val="Calibri"/>
      <family val="2"/>
      <charset val="238"/>
    </font>
    <font>
      <sz val="11"/>
      <color rgb="FFFF0000"/>
      <name val="Aptos Narrow"/>
      <family val="2"/>
      <charset val="238"/>
      <scheme val="minor"/>
    </font>
    <font>
      <b/>
      <u/>
      <sz val="11"/>
      <color theme="1"/>
      <name val="Aptos Narrow"/>
      <family val="2"/>
      <scheme val="minor"/>
    </font>
    <font>
      <sz val="11"/>
      <color theme="1"/>
      <name val="Times New Roman"/>
      <family val="1"/>
      <charset val="238"/>
    </font>
    <font>
      <sz val="7.7"/>
      <color theme="1"/>
      <name val="Aptos Narrow"/>
      <family val="2"/>
      <charset val="238"/>
    </font>
    <font>
      <vertAlign val="subscript"/>
      <sz val="11"/>
      <color theme="1"/>
      <name val="Aptos Narrow"/>
      <family val="2"/>
      <scheme val="minor"/>
    </font>
    <font>
      <b/>
      <vertAlign val="subscript"/>
      <sz val="11"/>
      <name val="Aptos Narrow"/>
      <family val="2"/>
      <scheme val="minor"/>
    </font>
    <font>
      <b/>
      <vertAlign val="subscript"/>
      <sz val="11"/>
      <name val="Aptos Narrow"/>
      <family val="2"/>
      <charset val="238"/>
      <scheme val="minor"/>
    </font>
    <font>
      <b/>
      <sz val="11"/>
      <color theme="0"/>
      <name val="Aptos Narrow"/>
      <family val="2"/>
      <charset val="238"/>
      <scheme val="minor"/>
    </font>
    <font>
      <b/>
      <sz val="11"/>
      <color theme="0"/>
      <name val="Calibri"/>
      <family val="2"/>
      <charset val="238"/>
    </font>
    <font>
      <sz val="7.9"/>
      <color theme="1"/>
      <name val="Aptos Narrow"/>
      <family val="2"/>
      <charset val="238"/>
    </font>
    <font>
      <sz val="10"/>
      <color theme="1"/>
      <name val="Aptos Narrow"/>
      <family val="2"/>
      <scheme val="minor"/>
    </font>
    <font>
      <sz val="12"/>
      <color theme="1"/>
      <name val="Aptos"/>
      <family val="2"/>
    </font>
  </fonts>
  <fills count="11">
    <fill>
      <patternFill patternType="none"/>
    </fill>
    <fill>
      <patternFill patternType="gray125"/>
    </fill>
    <fill>
      <patternFill patternType="solid">
        <fgColor theme="4" tint="-0.249977111117893"/>
        <bgColor indexed="64"/>
      </patternFill>
    </fill>
    <fill>
      <patternFill patternType="solid">
        <fgColor theme="4"/>
        <bgColor indexed="64"/>
      </patternFill>
    </fill>
    <fill>
      <patternFill patternType="solid">
        <fgColor theme="0"/>
        <bgColor indexed="64"/>
      </patternFill>
    </fill>
    <fill>
      <patternFill patternType="solid">
        <fgColor rgb="FFFF0000"/>
        <bgColor indexed="64"/>
      </patternFill>
    </fill>
    <fill>
      <patternFill patternType="solid">
        <fgColor theme="3" tint="0.89999084444715716"/>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2" tint="-9.9978637043366805E-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style="double">
        <color indexed="64"/>
      </bottom>
      <diagonal/>
    </border>
  </borders>
  <cellStyleXfs count="1">
    <xf numFmtId="0" fontId="0" fillId="0" borderId="0"/>
  </cellStyleXfs>
  <cellXfs count="384">
    <xf numFmtId="0" fontId="0" fillId="0" borderId="0" xfId="0"/>
    <xf numFmtId="0" fontId="0" fillId="4" borderId="0" xfId="0" applyFill="1" applyAlignment="1">
      <alignment horizontal="center" vertical="center"/>
    </xf>
    <xf numFmtId="0" fontId="3" fillId="4" borderId="7"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wrapText="1"/>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3" fillId="4" borderId="13" xfId="0" applyFont="1" applyFill="1" applyBorder="1" applyAlignment="1">
      <alignment horizontal="center"/>
    </xf>
    <xf numFmtId="0" fontId="0" fillId="4" borderId="7" xfId="0" applyFill="1" applyBorder="1" applyAlignment="1">
      <alignment horizontal="center"/>
    </xf>
    <xf numFmtId="0" fontId="0" fillId="4" borderId="8" xfId="0" applyFill="1" applyBorder="1" applyAlignment="1">
      <alignment horizontal="center"/>
    </xf>
    <xf numFmtId="164" fontId="0" fillId="4" borderId="8" xfId="0" applyNumberFormat="1" applyFill="1" applyBorder="1" applyAlignment="1">
      <alignment horizontal="center"/>
    </xf>
    <xf numFmtId="0" fontId="0" fillId="4" borderId="9" xfId="0" applyFill="1" applyBorder="1" applyAlignment="1">
      <alignment horizontal="center"/>
    </xf>
    <xf numFmtId="0" fontId="3" fillId="4" borderId="14" xfId="0" applyFont="1" applyFill="1" applyBorder="1" applyAlignment="1">
      <alignment horizontal="center"/>
    </xf>
    <xf numFmtId="0" fontId="0" fillId="4" borderId="15" xfId="0" applyFill="1" applyBorder="1" applyAlignment="1">
      <alignment horizontal="center"/>
    </xf>
    <xf numFmtId="0" fontId="0" fillId="4" borderId="1" xfId="0" applyFill="1" applyBorder="1" applyAlignment="1">
      <alignment horizontal="center"/>
    </xf>
    <xf numFmtId="164" fontId="0" fillId="4" borderId="1" xfId="0" applyNumberFormat="1" applyFill="1" applyBorder="1" applyAlignment="1">
      <alignment horizontal="center"/>
    </xf>
    <xf numFmtId="0" fontId="0" fillId="4" borderId="16" xfId="0" applyFill="1" applyBorder="1" applyAlignment="1">
      <alignment horizontal="center"/>
    </xf>
    <xf numFmtId="164" fontId="0" fillId="4" borderId="16" xfId="0" applyNumberFormat="1" applyFill="1" applyBorder="1" applyAlignment="1">
      <alignment horizontal="center"/>
    </xf>
    <xf numFmtId="0" fontId="3" fillId="4" borderId="17" xfId="0" applyFont="1"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164" fontId="0" fillId="4" borderId="19" xfId="0" applyNumberFormat="1" applyFill="1" applyBorder="1" applyAlignment="1">
      <alignment horizontal="center"/>
    </xf>
    <xf numFmtId="0" fontId="0" fillId="4" borderId="20" xfId="0" applyFill="1" applyBorder="1" applyAlignment="1">
      <alignment horizontal="center"/>
    </xf>
    <xf numFmtId="0" fontId="0" fillId="4" borderId="21" xfId="0" applyFill="1" applyBorder="1" applyAlignment="1">
      <alignment horizontal="center"/>
    </xf>
    <xf numFmtId="0" fontId="0" fillId="4" borderId="22" xfId="0" applyFill="1" applyBorder="1" applyAlignment="1">
      <alignment horizontal="center"/>
    </xf>
    <xf numFmtId="164" fontId="0" fillId="4" borderId="22" xfId="0" applyNumberFormat="1" applyFill="1" applyBorder="1" applyAlignment="1">
      <alignment horizontal="center"/>
    </xf>
    <xf numFmtId="0" fontId="0" fillId="4" borderId="23" xfId="0" applyFill="1" applyBorder="1" applyAlignment="1">
      <alignment horizontal="center"/>
    </xf>
    <xf numFmtId="164" fontId="0" fillId="4" borderId="25" xfId="0" applyNumberFormat="1" applyFill="1" applyBorder="1" applyAlignment="1">
      <alignment horizontal="center"/>
    </xf>
    <xf numFmtId="164" fontId="0" fillId="4" borderId="2" xfId="0" applyNumberFormat="1" applyFill="1" applyBorder="1" applyAlignment="1">
      <alignment horizontal="center"/>
    </xf>
    <xf numFmtId="164" fontId="0" fillId="4" borderId="26" xfId="0" applyNumberFormat="1" applyFill="1" applyBorder="1" applyAlignment="1">
      <alignment horizontal="center"/>
    </xf>
    <xf numFmtId="164" fontId="0" fillId="4" borderId="27" xfId="0" applyNumberFormat="1" applyFill="1" applyBorder="1" applyAlignment="1">
      <alignment horizontal="center"/>
    </xf>
    <xf numFmtId="0" fontId="0" fillId="4" borderId="28" xfId="0" applyFill="1" applyBorder="1" applyAlignment="1">
      <alignment horizontal="center"/>
    </xf>
    <xf numFmtId="0" fontId="0" fillId="4" borderId="29" xfId="0" applyFill="1" applyBorder="1" applyAlignment="1">
      <alignment horizontal="center"/>
    </xf>
    <xf numFmtId="164" fontId="0" fillId="4" borderId="29" xfId="0" applyNumberFormat="1" applyFill="1" applyBorder="1" applyAlignment="1">
      <alignment horizontal="center"/>
    </xf>
    <xf numFmtId="0" fontId="0" fillId="4" borderId="30" xfId="0" applyFill="1" applyBorder="1" applyAlignment="1">
      <alignment horizontal="center"/>
    </xf>
    <xf numFmtId="0" fontId="0" fillId="4" borderId="31" xfId="0" applyFill="1" applyBorder="1" applyAlignment="1">
      <alignment horizont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wrapText="1"/>
    </xf>
    <xf numFmtId="0" fontId="3" fillId="4" borderId="28" xfId="0" applyFont="1" applyFill="1" applyBorder="1" applyAlignment="1">
      <alignment horizontal="center"/>
    </xf>
    <xf numFmtId="0" fontId="3" fillId="4" borderId="29" xfId="0" applyFont="1" applyFill="1" applyBorder="1" applyAlignment="1">
      <alignment horizontal="center"/>
    </xf>
    <xf numFmtId="0" fontId="3" fillId="4" borderId="30" xfId="0" applyFont="1" applyFill="1" applyBorder="1" applyAlignment="1">
      <alignment horizontal="center"/>
    </xf>
    <xf numFmtId="0" fontId="0" fillId="4" borderId="0" xfId="0" applyFill="1"/>
    <xf numFmtId="0" fontId="3" fillId="4" borderId="32" xfId="0" applyFont="1" applyFill="1" applyBorder="1" applyAlignment="1">
      <alignment horizontal="center"/>
    </xf>
    <xf numFmtId="0" fontId="3" fillId="4" borderId="33"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3" fillId="0" borderId="34" xfId="0" applyFont="1" applyBorder="1" applyAlignment="1">
      <alignment horizontal="center"/>
    </xf>
    <xf numFmtId="0" fontId="3" fillId="0" borderId="35" xfId="0" applyFont="1" applyBorder="1" applyAlignment="1">
      <alignment horizontal="center"/>
    </xf>
    <xf numFmtId="0" fontId="3" fillId="4" borderId="28" xfId="0" applyFont="1" applyFill="1" applyBorder="1" applyAlignment="1">
      <alignment horizontal="center" vertical="center"/>
    </xf>
    <xf numFmtId="0" fontId="0" fillId="0" borderId="7" xfId="0" applyBorder="1" applyAlignment="1">
      <alignment horizontal="center"/>
    </xf>
    <xf numFmtId="0" fontId="0" fillId="0" borderId="9" xfId="0" applyBorder="1" applyAlignment="1">
      <alignment horizontal="center"/>
    </xf>
    <xf numFmtId="0" fontId="3" fillId="4" borderId="29" xfId="0" applyFont="1" applyFill="1" applyBorder="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0" fontId="3" fillId="4" borderId="30" xfId="0" applyFont="1" applyFill="1" applyBorder="1" applyAlignment="1">
      <alignment horizontal="center" vertical="center"/>
    </xf>
    <xf numFmtId="0" fontId="0" fillId="0" borderId="18" xfId="0" applyBorder="1" applyAlignment="1">
      <alignment horizontal="center"/>
    </xf>
    <xf numFmtId="0" fontId="0" fillId="0" borderId="20" xfId="0" applyBorder="1" applyAlignment="1">
      <alignment horizontal="center"/>
    </xf>
    <xf numFmtId="0" fontId="3" fillId="4" borderId="34" xfId="0" applyFont="1" applyFill="1" applyBorder="1" applyAlignment="1">
      <alignment horizontal="center"/>
    </xf>
    <xf numFmtId="0" fontId="3" fillId="4" borderId="39" xfId="0" applyFont="1" applyFill="1" applyBorder="1" applyAlignment="1">
      <alignment horizontal="center"/>
    </xf>
    <xf numFmtId="0" fontId="3" fillId="4" borderId="35" xfId="0" applyFont="1" applyFill="1" applyBorder="1" applyAlignment="1">
      <alignment horizontal="center"/>
    </xf>
    <xf numFmtId="2" fontId="0" fillId="0" borderId="9" xfId="0" applyNumberFormat="1" applyBorder="1" applyAlignment="1">
      <alignment horizontal="center"/>
    </xf>
    <xf numFmtId="2" fontId="0" fillId="0" borderId="16" xfId="0" applyNumberFormat="1" applyBorder="1" applyAlignment="1">
      <alignment horizontal="center"/>
    </xf>
    <xf numFmtId="164" fontId="0" fillId="4" borderId="15" xfId="0" applyNumberFormat="1" applyFill="1" applyBorder="1" applyAlignment="1">
      <alignment horizontal="center"/>
    </xf>
    <xf numFmtId="2" fontId="0" fillId="0" borderId="20" xfId="0" applyNumberFormat="1" applyBorder="1" applyAlignment="1">
      <alignment horizontal="center"/>
    </xf>
    <xf numFmtId="0" fontId="10" fillId="4" borderId="0" xfId="0" applyFont="1" applyFill="1" applyAlignment="1">
      <alignment horizontal="center" vertical="center"/>
    </xf>
    <xf numFmtId="0" fontId="3" fillId="0" borderId="7" xfId="0" applyFont="1" applyBorder="1" applyAlignment="1">
      <alignment horizontal="center" vertical="center"/>
    </xf>
    <xf numFmtId="166" fontId="0" fillId="0" borderId="9" xfId="0" applyNumberFormat="1" applyBorder="1" applyAlignment="1">
      <alignment horizontal="center" vertical="center"/>
    </xf>
    <xf numFmtId="0" fontId="3" fillId="0" borderId="15" xfId="0" applyFont="1" applyBorder="1" applyAlignment="1">
      <alignment horizontal="center" vertical="center"/>
    </xf>
    <xf numFmtId="166" fontId="0" fillId="0" borderId="16" xfId="0" applyNumberFormat="1" applyBorder="1" applyAlignment="1">
      <alignment horizontal="center" vertical="center"/>
    </xf>
    <xf numFmtId="0" fontId="3" fillId="0" borderId="18" xfId="0" applyFont="1" applyBorder="1" applyAlignment="1">
      <alignment horizontal="center" vertical="center"/>
    </xf>
    <xf numFmtId="166" fontId="0" fillId="0" borderId="20" xfId="0" applyNumberFormat="1" applyBorder="1" applyAlignment="1">
      <alignment horizontal="center" vertical="center"/>
    </xf>
    <xf numFmtId="0" fontId="0" fillId="4" borderId="1" xfId="0" applyFill="1" applyBorder="1"/>
    <xf numFmtId="0" fontId="0" fillId="0" borderId="16" xfId="0" applyBorder="1" applyAlignment="1">
      <alignment horizontal="center" vertical="center"/>
    </xf>
    <xf numFmtId="0" fontId="0" fillId="0" borderId="20" xfId="0" applyBorder="1" applyAlignment="1">
      <alignment horizontal="center" vertical="center"/>
    </xf>
    <xf numFmtId="0" fontId="0" fillId="4" borderId="21" xfId="0" applyFill="1" applyBorder="1" applyAlignment="1">
      <alignment horizontal="center" vertical="center"/>
    </xf>
    <xf numFmtId="0" fontId="12" fillId="4" borderId="34" xfId="0" applyFont="1" applyFill="1" applyBorder="1" applyAlignment="1">
      <alignment horizontal="center" vertical="center"/>
    </xf>
    <xf numFmtId="0" fontId="12" fillId="4" borderId="39" xfId="0" applyFont="1" applyFill="1" applyBorder="1" applyAlignment="1">
      <alignment horizontal="center" vertical="center"/>
    </xf>
    <xf numFmtId="0" fontId="12" fillId="4" borderId="35" xfId="0" applyFont="1" applyFill="1" applyBorder="1" applyAlignment="1">
      <alignment horizontal="center" vertical="center"/>
    </xf>
    <xf numFmtId="0" fontId="12" fillId="4" borderId="32"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 xfId="0" applyBorder="1" applyAlignment="1">
      <alignment horizontal="center" vertical="center"/>
    </xf>
    <xf numFmtId="0" fontId="0" fillId="0" borderId="26" xfId="0" applyBorder="1" applyAlignment="1">
      <alignment horizontal="center" vertical="center"/>
    </xf>
    <xf numFmtId="0" fontId="13" fillId="0" borderId="54" xfId="0" applyFont="1" applyBorder="1" applyAlignment="1">
      <alignment horizontal="centerContinuous"/>
    </xf>
    <xf numFmtId="0" fontId="0" fillId="0" borderId="5" xfId="0" applyBorder="1"/>
    <xf numFmtId="0" fontId="13" fillId="0" borderId="54" xfId="0" applyFont="1" applyBorder="1" applyAlignment="1">
      <alignment horizontal="center"/>
    </xf>
    <xf numFmtId="0" fontId="0" fillId="5" borderId="0" xfId="0" applyFill="1"/>
    <xf numFmtId="0" fontId="0" fillId="5" borderId="5" xfId="0" applyFill="1" applyBorder="1"/>
    <xf numFmtId="0" fontId="12" fillId="4" borderId="55" xfId="0" applyFont="1" applyFill="1" applyBorder="1" applyAlignment="1">
      <alignment horizontal="center" vertical="center"/>
    </xf>
    <xf numFmtId="0" fontId="18" fillId="4" borderId="0" xfId="0" applyFont="1" applyFill="1" applyAlignment="1">
      <alignment horizontal="center" vertical="center"/>
    </xf>
    <xf numFmtId="0" fontId="9" fillId="4" borderId="0" xfId="0" applyFont="1" applyFill="1"/>
    <xf numFmtId="0" fontId="0" fillId="0" borderId="34" xfId="0" applyBorder="1" applyAlignment="1">
      <alignment horizontal="center" vertical="center"/>
    </xf>
    <xf numFmtId="0" fontId="0" fillId="0" borderId="39" xfId="0" applyBorder="1" applyAlignment="1">
      <alignment horizontal="center" vertical="center"/>
    </xf>
    <xf numFmtId="0" fontId="0" fillId="4" borderId="56" xfId="0" applyFill="1" applyBorder="1" applyAlignment="1">
      <alignment horizontal="center"/>
    </xf>
    <xf numFmtId="0" fontId="0" fillId="4" borderId="44" xfId="0" applyFill="1" applyBorder="1" applyAlignment="1">
      <alignment horizontal="center"/>
    </xf>
    <xf numFmtId="164" fontId="0" fillId="4" borderId="44" xfId="0" applyNumberFormat="1" applyFill="1" applyBorder="1" applyAlignment="1">
      <alignment horizontal="center"/>
    </xf>
    <xf numFmtId="0" fontId="0" fillId="4" borderId="57" xfId="0" applyFill="1" applyBorder="1" applyAlignment="1">
      <alignment horizontal="center"/>
    </xf>
    <xf numFmtId="0" fontId="0" fillId="4" borderId="46" xfId="0" applyFill="1" applyBorder="1" applyAlignment="1">
      <alignment horizontal="center"/>
    </xf>
    <xf numFmtId="0" fontId="0" fillId="0" borderId="9" xfId="0" applyBorder="1" applyAlignment="1">
      <alignment horizontal="center" vertical="center"/>
    </xf>
    <xf numFmtId="0" fontId="0" fillId="0" borderId="23" xfId="0" applyBorder="1" applyAlignment="1">
      <alignment horizontal="center" vertical="center"/>
    </xf>
    <xf numFmtId="165" fontId="0" fillId="0" borderId="1" xfId="0" applyNumberFormat="1" applyBorder="1" applyAlignment="1">
      <alignment horizontal="center" vertical="center"/>
    </xf>
    <xf numFmtId="0" fontId="0" fillId="4" borderId="0" xfId="0" applyFill="1" applyAlignment="1">
      <alignment vertical="center"/>
    </xf>
    <xf numFmtId="0" fontId="0" fillId="4" borderId="5" xfId="0" applyFill="1" applyBorder="1"/>
    <xf numFmtId="166" fontId="3" fillId="4" borderId="3" xfId="0" applyNumberFormat="1" applyFont="1" applyFill="1" applyBorder="1" applyAlignment="1">
      <alignment horizontal="center" vertical="center"/>
    </xf>
    <xf numFmtId="0" fontId="0" fillId="4" borderId="3" xfId="0" applyFill="1" applyBorder="1" applyAlignment="1">
      <alignment horizontal="center" vertical="center"/>
    </xf>
    <xf numFmtId="0" fontId="3" fillId="4" borderId="3" xfId="0" applyFont="1" applyFill="1" applyBorder="1" applyAlignment="1">
      <alignment vertical="center"/>
    </xf>
    <xf numFmtId="0" fontId="0" fillId="4" borderId="4" xfId="0" applyFill="1" applyBorder="1" applyAlignment="1">
      <alignment vertical="center"/>
    </xf>
    <xf numFmtId="0" fontId="0" fillId="4" borderId="3" xfId="0" applyFill="1" applyBorder="1" applyAlignment="1">
      <alignment vertical="center"/>
    </xf>
    <xf numFmtId="0" fontId="0" fillId="0" borderId="3" xfId="0" applyBorder="1"/>
    <xf numFmtId="0" fontId="0" fillId="0" borderId="4" xfId="0" applyBorder="1"/>
    <xf numFmtId="0" fontId="0" fillId="0" borderId="39" xfId="0" applyBorder="1"/>
    <xf numFmtId="0" fontId="0" fillId="0" borderId="35" xfId="0" applyBorder="1"/>
    <xf numFmtId="0" fontId="0" fillId="0" borderId="49" xfId="0" applyBorder="1"/>
    <xf numFmtId="0" fontId="0" fillId="7" borderId="1" xfId="0" applyFill="1" applyBorder="1"/>
    <xf numFmtId="0" fontId="22" fillId="0" borderId="0" xfId="0" applyFont="1"/>
    <xf numFmtId="0" fontId="22" fillId="0" borderId="49" xfId="0" applyFont="1" applyBorder="1"/>
    <xf numFmtId="0" fontId="22" fillId="0" borderId="5" xfId="0" applyFont="1" applyBorder="1"/>
    <xf numFmtId="0" fontId="0" fillId="0" borderId="59" xfId="0" applyBorder="1"/>
    <xf numFmtId="0" fontId="22" fillId="0" borderId="5" xfId="0" applyFont="1" applyBorder="1" applyAlignment="1">
      <alignment horizontal="right"/>
    </xf>
    <xf numFmtId="0" fontId="0" fillId="7" borderId="1" xfId="0" applyFill="1" applyBorder="1" applyAlignment="1">
      <alignment horizontal="left"/>
    </xf>
    <xf numFmtId="0" fontId="0" fillId="0" borderId="5" xfId="0" applyBorder="1" applyAlignment="1">
      <alignment horizontal="left"/>
    </xf>
    <xf numFmtId="0" fontId="17" fillId="0" borderId="0" xfId="0" applyFont="1"/>
    <xf numFmtId="0" fontId="17" fillId="0" borderId="5" xfId="0" applyFont="1" applyBorder="1"/>
    <xf numFmtId="0" fontId="0" fillId="0" borderId="60" xfId="0" applyBorder="1" applyAlignment="1">
      <alignment horizontal="center" vertical="center"/>
    </xf>
    <xf numFmtId="164" fontId="0" fillId="0" borderId="28" xfId="0" applyNumberFormat="1" applyBorder="1" applyAlignment="1">
      <alignment horizontal="center" vertical="center"/>
    </xf>
    <xf numFmtId="0" fontId="0" fillId="0" borderId="4" xfId="0" applyBorder="1" applyAlignment="1">
      <alignment horizontal="center" vertical="center"/>
    </xf>
    <xf numFmtId="164" fontId="0" fillId="0" borderId="29" xfId="0" applyNumberFormat="1" applyBorder="1" applyAlignment="1">
      <alignment horizontal="center" vertical="center"/>
    </xf>
    <xf numFmtId="0" fontId="0" fillId="0" borderId="61" xfId="0" applyBorder="1" applyAlignment="1">
      <alignment horizontal="center" vertical="center"/>
    </xf>
    <xf numFmtId="164" fontId="0" fillId="0" borderId="30" xfId="0" applyNumberFormat="1" applyBorder="1" applyAlignment="1">
      <alignment horizontal="center" vertical="center"/>
    </xf>
    <xf numFmtId="0" fontId="22" fillId="0" borderId="24" xfId="0" applyFont="1" applyBorder="1" applyAlignment="1">
      <alignment horizont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38" xfId="0" applyBorder="1" applyAlignment="1">
      <alignment horizontal="center" vertical="center"/>
    </xf>
    <xf numFmtId="0" fontId="13" fillId="6" borderId="54" xfId="0" applyFont="1" applyFill="1" applyBorder="1" applyAlignment="1">
      <alignment horizontal="center"/>
    </xf>
    <xf numFmtId="0" fontId="0" fillId="6" borderId="0" xfId="0" applyFill="1"/>
    <xf numFmtId="0" fontId="7" fillId="4" borderId="0" xfId="0" applyFont="1" applyFill="1" applyAlignment="1">
      <alignment horizontal="left" vertical="center"/>
    </xf>
    <xf numFmtId="164" fontId="0" fillId="4" borderId="24" xfId="0" applyNumberFormat="1" applyFill="1" applyBorder="1" applyAlignment="1">
      <alignment horizontal="center" vertical="center"/>
    </xf>
    <xf numFmtId="0" fontId="0" fillId="4" borderId="24" xfId="0" applyFill="1" applyBorder="1" applyAlignment="1">
      <alignment horizontal="center" vertical="center"/>
    </xf>
    <xf numFmtId="0" fontId="0" fillId="4" borderId="9" xfId="0" applyFill="1" applyBorder="1"/>
    <xf numFmtId="0" fontId="3" fillId="4" borderId="18" xfId="0" applyFont="1" applyFill="1" applyBorder="1" applyAlignment="1">
      <alignment horizontal="center" vertical="center"/>
    </xf>
    <xf numFmtId="0" fontId="0" fillId="4" borderId="20" xfId="0" applyFill="1" applyBorder="1"/>
    <xf numFmtId="0" fontId="7" fillId="4" borderId="0" xfId="0" applyFont="1" applyFill="1" applyAlignment="1">
      <alignment horizontal="center"/>
    </xf>
    <xf numFmtId="0" fontId="0" fillId="4" borderId="21" xfId="0" applyFill="1" applyBorder="1"/>
    <xf numFmtId="0" fontId="0" fillId="4" borderId="22" xfId="0" applyFill="1" applyBorder="1"/>
    <xf numFmtId="0" fontId="0" fillId="4" borderId="23" xfId="0" applyFill="1" applyBorder="1"/>
    <xf numFmtId="0" fontId="0" fillId="4" borderId="16" xfId="0" applyFill="1" applyBorder="1"/>
    <xf numFmtId="0" fontId="0" fillId="4" borderId="62" xfId="0" applyFill="1" applyBorder="1"/>
    <xf numFmtId="0" fontId="0" fillId="4" borderId="64" xfId="0" applyFill="1" applyBorder="1"/>
    <xf numFmtId="0" fontId="0" fillId="4" borderId="34" xfId="0" applyFill="1" applyBorder="1"/>
    <xf numFmtId="0" fontId="0" fillId="4" borderId="59" xfId="0" applyFill="1" applyBorder="1"/>
    <xf numFmtId="0" fontId="0" fillId="4" borderId="63" xfId="0" applyFill="1" applyBorder="1"/>
    <xf numFmtId="0" fontId="0" fillId="4" borderId="35" xfId="0" applyFill="1" applyBorder="1"/>
    <xf numFmtId="0" fontId="0" fillId="4" borderId="7" xfId="0" applyFill="1" applyBorder="1"/>
    <xf numFmtId="0" fontId="0" fillId="4" borderId="15" xfId="0" applyFill="1" applyBorder="1"/>
    <xf numFmtId="0" fontId="0" fillId="4" borderId="18" xfId="0" applyFill="1" applyBorder="1"/>
    <xf numFmtId="0" fontId="0" fillId="0" borderId="58" xfId="0" applyBorder="1"/>
    <xf numFmtId="167" fontId="30" fillId="3" borderId="36" xfId="0" applyNumberFormat="1" applyFont="1" applyFill="1" applyBorder="1" applyAlignment="1">
      <alignment horizontal="center" vertical="center"/>
    </xf>
    <xf numFmtId="167" fontId="31" fillId="3" borderId="38" xfId="0" applyNumberFormat="1" applyFont="1" applyFill="1" applyBorder="1" applyAlignment="1">
      <alignment horizontal="center" vertical="center"/>
    </xf>
    <xf numFmtId="167" fontId="30" fillId="8" borderId="36" xfId="0" applyNumberFormat="1" applyFont="1" applyFill="1" applyBorder="1" applyAlignment="1">
      <alignment horizontal="center" vertical="center"/>
    </xf>
    <xf numFmtId="167" fontId="31" fillId="8" borderId="38" xfId="0" applyNumberFormat="1" applyFont="1" applyFill="1" applyBorder="1"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49" xfId="0" applyBorder="1" applyAlignment="1">
      <alignment vertical="center"/>
    </xf>
    <xf numFmtId="167" fontId="30" fillId="9" borderId="36" xfId="0" applyNumberFormat="1" applyFont="1" applyFill="1" applyBorder="1" applyAlignment="1">
      <alignment horizontal="center" vertical="center"/>
    </xf>
    <xf numFmtId="167" fontId="31" fillId="9" borderId="38"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8" xfId="0" applyFont="1" applyFill="1" applyBorder="1" applyAlignment="1">
      <alignment horizontal="center" vertical="center"/>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0" fillId="4" borderId="50" xfId="0" applyFill="1" applyBorder="1"/>
    <xf numFmtId="0" fontId="0" fillId="4" borderId="51" xfId="0" applyFill="1" applyBorder="1"/>
    <xf numFmtId="0" fontId="0" fillId="4" borderId="52" xfId="0" applyFill="1" applyBorder="1"/>
    <xf numFmtId="0" fontId="0" fillId="4" borderId="41" xfId="0" applyFill="1" applyBorder="1"/>
    <xf numFmtId="0" fontId="3" fillId="4" borderId="0" xfId="0" applyFont="1" applyFill="1" applyAlignment="1">
      <alignment horizontal="left" vertical="center"/>
    </xf>
    <xf numFmtId="0" fontId="0" fillId="4" borderId="40" xfId="0" applyFill="1" applyBorder="1"/>
    <xf numFmtId="0" fontId="0" fillId="4" borderId="25" xfId="0" applyFill="1" applyBorder="1" applyAlignment="1">
      <alignment horizontal="center"/>
    </xf>
    <xf numFmtId="164" fontId="0" fillId="4" borderId="9" xfId="0" applyNumberFormat="1" applyFill="1" applyBorder="1" applyAlignment="1">
      <alignment horizontal="center" vertical="center"/>
    </xf>
    <xf numFmtId="0" fontId="0" fillId="4" borderId="10" xfId="0" applyFill="1" applyBorder="1" applyAlignment="1">
      <alignment horizontal="center"/>
    </xf>
    <xf numFmtId="0" fontId="0" fillId="4" borderId="50" xfId="0" applyFill="1" applyBorder="1" applyAlignment="1">
      <alignment horizontal="center"/>
    </xf>
    <xf numFmtId="164" fontId="0" fillId="4" borderId="12" xfId="0" applyNumberFormat="1" applyFill="1" applyBorder="1" applyAlignment="1">
      <alignment horizontal="center" vertical="center"/>
    </xf>
    <xf numFmtId="164" fontId="0" fillId="4" borderId="20" xfId="0" applyNumberFormat="1" applyFill="1" applyBorder="1" applyAlignment="1">
      <alignment horizontal="center" vertical="center"/>
    </xf>
    <xf numFmtId="0" fontId="0" fillId="4" borderId="61" xfId="0" applyFill="1" applyBorder="1" applyAlignment="1">
      <alignment horizontal="center"/>
    </xf>
    <xf numFmtId="0" fontId="0" fillId="4" borderId="27" xfId="0" applyFill="1" applyBorder="1"/>
    <xf numFmtId="0" fontId="0" fillId="4" borderId="45" xfId="0" applyFill="1" applyBorder="1"/>
    <xf numFmtId="0" fontId="0" fillId="4" borderId="53" xfId="0" applyFill="1" applyBorder="1"/>
    <xf numFmtId="0" fontId="3" fillId="4" borderId="51" xfId="0" applyFont="1" applyFill="1" applyBorder="1" applyAlignment="1">
      <alignment horizontal="center" vertical="center"/>
    </xf>
    <xf numFmtId="0" fontId="0" fillId="0" borderId="51" xfId="0" applyBorder="1" applyAlignment="1">
      <alignment horizontal="center"/>
    </xf>
    <xf numFmtId="0" fontId="3" fillId="4" borderId="45" xfId="0" applyFont="1" applyFill="1" applyBorder="1" applyAlignment="1">
      <alignment horizontal="center" vertical="center"/>
    </xf>
    <xf numFmtId="0" fontId="0" fillId="0" borderId="45" xfId="0" applyBorder="1" applyAlignment="1">
      <alignment horizontal="center"/>
    </xf>
    <xf numFmtId="0" fontId="0" fillId="4" borderId="23" xfId="0" applyFill="1" applyBorder="1" applyAlignment="1">
      <alignment horizontal="center" vertical="center"/>
    </xf>
    <xf numFmtId="0" fontId="0" fillId="4" borderId="41" xfId="0" applyFill="1" applyBorder="1" applyAlignment="1">
      <alignment horizontal="center"/>
    </xf>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0" fillId="4" borderId="60" xfId="0" applyFill="1" applyBorder="1" applyAlignment="1">
      <alignment horizontal="center"/>
    </xf>
    <xf numFmtId="164" fontId="0" fillId="4" borderId="1" xfId="0" applyNumberFormat="1" applyFill="1" applyBorder="1" applyAlignment="1">
      <alignment horizontal="center" vertical="center"/>
    </xf>
    <xf numFmtId="164" fontId="0" fillId="4" borderId="16" xfId="0" applyNumberFormat="1" applyFill="1" applyBorder="1" applyAlignment="1">
      <alignment horizontal="center" vertical="center"/>
    </xf>
    <xf numFmtId="0" fontId="0" fillId="4" borderId="26" xfId="0" applyFill="1" applyBorder="1" applyAlignment="1">
      <alignment horizontal="center"/>
    </xf>
    <xf numFmtId="164" fontId="0" fillId="4" borderId="19" xfId="0" applyNumberFormat="1" applyFill="1" applyBorder="1" applyAlignment="1">
      <alignment horizontal="center" vertical="center"/>
    </xf>
    <xf numFmtId="164" fontId="0" fillId="4" borderId="60" xfId="0" applyNumberFormat="1" applyFill="1" applyBorder="1" applyAlignment="1">
      <alignment horizontal="center"/>
    </xf>
    <xf numFmtId="164" fontId="0" fillId="4" borderId="0" xfId="0" applyNumberFormat="1" applyFill="1" applyAlignment="1">
      <alignment horizontal="center" vertical="center"/>
    </xf>
    <xf numFmtId="164" fontId="0" fillId="4" borderId="2" xfId="0" applyNumberFormat="1" applyFill="1" applyBorder="1" applyAlignment="1">
      <alignment horizontal="center" vertical="center"/>
    </xf>
    <xf numFmtId="0" fontId="0" fillId="4" borderId="43" xfId="0" applyFill="1" applyBorder="1"/>
    <xf numFmtId="0" fontId="7" fillId="4" borderId="0" xfId="0" applyFont="1" applyFill="1"/>
    <xf numFmtId="0" fontId="0" fillId="4" borderId="0" xfId="0" applyFill="1" applyAlignment="1">
      <alignment horizontal="right" vertical="center"/>
    </xf>
    <xf numFmtId="0" fontId="1" fillId="4" borderId="7" xfId="0" applyFont="1" applyFill="1" applyBorder="1" applyAlignment="1">
      <alignment horizontal="right" vertical="center"/>
    </xf>
    <xf numFmtId="0" fontId="0" fillId="4" borderId="15" xfId="0" applyFill="1" applyBorder="1" applyAlignment="1">
      <alignment horizontal="right" vertical="center"/>
    </xf>
    <xf numFmtId="0" fontId="0" fillId="4" borderId="18" xfId="0" applyFill="1" applyBorder="1" applyAlignment="1">
      <alignment horizontal="right" vertical="center"/>
    </xf>
    <xf numFmtId="0" fontId="0" fillId="4" borderId="20" xfId="0" applyFill="1" applyBorder="1" applyAlignment="1">
      <alignment vertical="center"/>
    </xf>
    <xf numFmtId="0" fontId="0" fillId="4" borderId="9" xfId="0" applyFill="1" applyBorder="1" applyAlignment="1">
      <alignment horizontal="left"/>
    </xf>
    <xf numFmtId="0" fontId="0" fillId="4" borderId="16" xfId="0" applyFill="1" applyBorder="1" applyAlignment="1">
      <alignment horizontal="left"/>
    </xf>
    <xf numFmtId="0" fontId="0" fillId="4" borderId="20" xfId="0" applyFill="1" applyBorder="1" applyAlignment="1">
      <alignment horizontal="left" vertical="center"/>
    </xf>
    <xf numFmtId="0" fontId="3" fillId="4" borderId="2" xfId="0" applyFont="1" applyFill="1" applyBorder="1"/>
    <xf numFmtId="0" fontId="3" fillId="0" borderId="3" xfId="0" applyFont="1" applyBorder="1"/>
    <xf numFmtId="0" fontId="3" fillId="4" borderId="3" xfId="0" quotePrefix="1" applyFont="1" applyFill="1" applyBorder="1" applyAlignment="1">
      <alignment horizontal="center"/>
    </xf>
    <xf numFmtId="0" fontId="3" fillId="4" borderId="3" xfId="0" applyFont="1" applyFill="1" applyBorder="1"/>
    <xf numFmtId="0" fontId="3" fillId="4" borderId="4" xfId="0" applyFont="1" applyFill="1" applyBorder="1"/>
    <xf numFmtId="0" fontId="0" fillId="0" borderId="7" xfId="0" applyBorder="1"/>
    <xf numFmtId="0" fontId="0" fillId="0" borderId="15" xfId="0" applyBorder="1"/>
    <xf numFmtId="0" fontId="0" fillId="4" borderId="16" xfId="0" applyFill="1" applyBorder="1" applyAlignment="1">
      <alignment vertical="center"/>
    </xf>
    <xf numFmtId="0" fontId="0" fillId="0" borderId="18" xfId="0" applyBorder="1"/>
    <xf numFmtId="0" fontId="0" fillId="4" borderId="24" xfId="0" applyFill="1" applyBorder="1" applyAlignment="1">
      <alignment vertical="center"/>
    </xf>
    <xf numFmtId="0" fontId="3" fillId="4" borderId="0" xfId="0" applyFont="1" applyFill="1"/>
    <xf numFmtId="0" fontId="3" fillId="0" borderId="0" xfId="0" applyFont="1"/>
    <xf numFmtId="0" fontId="3" fillId="4" borderId="0" xfId="0" quotePrefix="1" applyFont="1" applyFill="1" applyAlignment="1">
      <alignment horizontal="center"/>
    </xf>
    <xf numFmtId="0" fontId="0" fillId="4" borderId="27" xfId="0" applyFill="1" applyBorder="1" applyAlignment="1">
      <alignment vertical="center"/>
    </xf>
    <xf numFmtId="0" fontId="0" fillId="4" borderId="28" xfId="0" applyFill="1" applyBorder="1" applyAlignment="1">
      <alignment vertical="center"/>
    </xf>
    <xf numFmtId="0" fontId="0" fillId="4" borderId="29" xfId="0" applyFill="1" applyBorder="1" applyAlignment="1">
      <alignment vertical="center"/>
    </xf>
    <xf numFmtId="0" fontId="0" fillId="4" borderId="30" xfId="0" applyFill="1" applyBorder="1" applyAlignment="1">
      <alignment vertical="center"/>
    </xf>
    <xf numFmtId="0" fontId="0" fillId="4" borderId="54" xfId="0" applyFill="1" applyBorder="1" applyAlignment="1">
      <alignment vertical="center"/>
    </xf>
    <xf numFmtId="0" fontId="0" fillId="4" borderId="67" xfId="0" applyFill="1" applyBorder="1" applyAlignment="1">
      <alignment vertical="center"/>
    </xf>
    <xf numFmtId="0" fontId="0" fillId="0" borderId="28" xfId="0" applyBorder="1"/>
    <xf numFmtId="0" fontId="0" fillId="0" borderId="29" xfId="0" applyBorder="1"/>
    <xf numFmtId="0" fontId="0" fillId="0" borderId="30" xfId="0" applyBorder="1"/>
    <xf numFmtId="0" fontId="0" fillId="0" borderId="9" xfId="0" applyBorder="1"/>
    <xf numFmtId="0" fontId="0" fillId="0" borderId="16" xfId="0" applyBorder="1"/>
    <xf numFmtId="0" fontId="0" fillId="0" borderId="20" xfId="0" applyBorder="1"/>
    <xf numFmtId="167" fontId="3" fillId="4" borderId="4" xfId="0" applyNumberFormat="1" applyFont="1" applyFill="1" applyBorder="1" applyAlignment="1">
      <alignment horizontal="center" vertical="center"/>
    </xf>
    <xf numFmtId="166" fontId="0" fillId="4" borderId="1" xfId="0" applyNumberFormat="1" applyFill="1" applyBorder="1"/>
    <xf numFmtId="0" fontId="0" fillId="10" borderId="1" xfId="0" applyFill="1" applyBorder="1"/>
    <xf numFmtId="0" fontId="0" fillId="4" borderId="68" xfId="0" applyFill="1" applyBorder="1"/>
    <xf numFmtId="2" fontId="0" fillId="4" borderId="68" xfId="0" applyNumberFormat="1" applyFill="1" applyBorder="1"/>
    <xf numFmtId="0" fontId="0" fillId="4" borderId="69" xfId="0" applyFill="1" applyBorder="1"/>
    <xf numFmtId="0" fontId="34" fillId="0" borderId="0" xfId="0" applyFont="1" applyAlignment="1">
      <alignment vertical="center"/>
    </xf>
    <xf numFmtId="0" fontId="9" fillId="0" borderId="0" xfId="0" applyFont="1" applyAlignment="1">
      <alignment horizontal="left"/>
    </xf>
    <xf numFmtId="0" fontId="4" fillId="2" borderId="1" xfId="0" applyFont="1" applyFill="1" applyBorder="1" applyAlignment="1">
      <alignment horizontal="center"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2" fillId="3" borderId="1" xfId="0" applyFont="1" applyFill="1" applyBorder="1" applyAlignment="1">
      <alignment horizontal="center" vertical="center"/>
    </xf>
    <xf numFmtId="0" fontId="8" fillId="4" borderId="6" xfId="0" applyFont="1" applyFill="1" applyBorder="1" applyAlignment="1">
      <alignment horizontal="left" vertical="center"/>
    </xf>
    <xf numFmtId="0" fontId="0" fillId="4" borderId="0" xfId="0" applyFill="1" applyAlignment="1">
      <alignment horizontal="center" vertical="center"/>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0" borderId="40" xfId="0" applyFont="1" applyBorder="1" applyAlignment="1">
      <alignment horizontal="center" vertical="center"/>
    </xf>
    <xf numFmtId="0" fontId="8" fillId="4" borderId="6" xfId="0" applyFont="1" applyFill="1" applyBorder="1" applyAlignment="1">
      <alignment horizontal="left" vertical="center" wrapText="1"/>
    </xf>
    <xf numFmtId="0" fontId="14" fillId="4" borderId="50" xfId="0"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40"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6" fillId="4" borderId="2" xfId="0" applyFont="1" applyFill="1" applyBorder="1" applyAlignment="1">
      <alignment horizontal="right" vertical="center"/>
    </xf>
    <xf numFmtId="0" fontId="16" fillId="4" borderId="3" xfId="0" applyFont="1" applyFill="1" applyBorder="1" applyAlignment="1">
      <alignment horizontal="right" vertical="center"/>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7" fillId="0" borderId="0" xfId="0" applyFont="1" applyAlignment="1">
      <alignment horizontal="center"/>
    </xf>
    <xf numFmtId="0" fontId="9" fillId="0" borderId="6" xfId="0" applyFont="1" applyBorder="1" applyAlignment="1">
      <alignment horizontal="left"/>
    </xf>
    <xf numFmtId="0" fontId="0" fillId="0" borderId="0" xfId="0" applyAlignment="1">
      <alignment horizontal="center"/>
    </xf>
    <xf numFmtId="0" fontId="9" fillId="4" borderId="0" xfId="0" applyFont="1" applyFill="1" applyAlignment="1">
      <alignment horizontal="left"/>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0" fillId="0" borderId="40" xfId="0" applyBorder="1" applyAlignment="1">
      <alignment horizontal="center" vertical="center" wrapText="1"/>
    </xf>
    <xf numFmtId="0" fontId="0" fillId="0" borderId="27" xfId="0" applyBorder="1" applyAlignment="1">
      <alignment horizontal="center" vertical="center" wrapText="1"/>
    </xf>
    <xf numFmtId="0" fontId="0" fillId="0" borderId="45" xfId="0" applyBorder="1" applyAlignment="1">
      <alignment horizontal="center" vertical="center" wrapText="1"/>
    </xf>
    <xf numFmtId="0" fontId="0" fillId="0" borderId="53" xfId="0" applyBorder="1" applyAlignment="1">
      <alignment horizontal="center" vertical="center" wrapText="1"/>
    </xf>
    <xf numFmtId="0" fontId="7" fillId="4" borderId="0" xfId="0" applyFont="1" applyFill="1" applyAlignment="1">
      <alignment horizontal="left"/>
    </xf>
    <xf numFmtId="0" fontId="6" fillId="4" borderId="0" xfId="0" applyFont="1" applyFill="1" applyAlignment="1">
      <alignment horizontal="left" vertical="center"/>
    </xf>
    <xf numFmtId="0" fontId="21" fillId="4" borderId="42" xfId="0" applyFont="1" applyFill="1" applyBorder="1" applyAlignment="1">
      <alignment horizontal="center" vertical="center"/>
    </xf>
    <xf numFmtId="0" fontId="21" fillId="4" borderId="47" xfId="0" applyFont="1" applyFill="1" applyBorder="1" applyAlignment="1">
      <alignment horizontal="center" vertical="center"/>
    </xf>
    <xf numFmtId="0" fontId="21" fillId="4" borderId="48" xfId="0" applyFont="1" applyFill="1" applyBorder="1" applyAlignment="1">
      <alignment horizontal="center" vertical="center"/>
    </xf>
    <xf numFmtId="0" fontId="22" fillId="0" borderId="43" xfId="0" applyFont="1" applyBorder="1" applyAlignment="1">
      <alignment horizontal="center"/>
    </xf>
    <xf numFmtId="0" fontId="22" fillId="0" borderId="0" xfId="0" applyFont="1" applyAlignment="1">
      <alignment horizontal="center"/>
    </xf>
    <xf numFmtId="0" fontId="22" fillId="0" borderId="43" xfId="0" applyFont="1" applyBorder="1" applyAlignment="1">
      <alignment horizontal="right"/>
    </xf>
    <xf numFmtId="0" fontId="22" fillId="0" borderId="40" xfId="0" applyFont="1" applyBorder="1" applyAlignment="1">
      <alignment horizontal="right"/>
    </xf>
    <xf numFmtId="0" fontId="22" fillId="0" borderId="58" xfId="0" applyFont="1" applyBorder="1" applyAlignment="1">
      <alignment horizontal="right"/>
    </xf>
    <xf numFmtId="0" fontId="22" fillId="0" borderId="5" xfId="0" applyFont="1" applyBorder="1" applyAlignment="1">
      <alignment horizontal="right"/>
    </xf>
    <xf numFmtId="0" fontId="19" fillId="4" borderId="6" xfId="0" applyFont="1" applyFill="1" applyBorder="1" applyAlignment="1">
      <alignment horizontal="left"/>
    </xf>
    <xf numFmtId="0" fontId="22" fillId="0" borderId="40" xfId="0" applyFont="1" applyBorder="1" applyAlignment="1">
      <alignment horizontal="center"/>
    </xf>
    <xf numFmtId="0" fontId="21" fillId="4" borderId="42" xfId="0" applyFont="1" applyFill="1" applyBorder="1" applyAlignment="1">
      <alignment horizontal="center"/>
    </xf>
    <xf numFmtId="0" fontId="21" fillId="4" borderId="47" xfId="0" applyFont="1" applyFill="1" applyBorder="1" applyAlignment="1">
      <alignment horizontal="center"/>
    </xf>
    <xf numFmtId="0" fontId="21" fillId="4" borderId="48" xfId="0" applyFont="1" applyFill="1" applyBorder="1" applyAlignment="1">
      <alignment horizontal="center"/>
    </xf>
    <xf numFmtId="0" fontId="3" fillId="4" borderId="32"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66" xfId="0" applyFont="1" applyFill="1" applyBorder="1" applyAlignment="1">
      <alignment horizontal="center" vertical="center"/>
    </xf>
    <xf numFmtId="0" fontId="0" fillId="4" borderId="18" xfId="0" applyFill="1" applyBorder="1" applyAlignment="1">
      <alignment horizontal="center"/>
    </xf>
    <xf numFmtId="0" fontId="0" fillId="4" borderId="19" xfId="0" applyFill="1" applyBorder="1" applyAlignment="1">
      <alignment horizontal="center"/>
    </xf>
    <xf numFmtId="0" fontId="0" fillId="4" borderId="17" xfId="0" applyFill="1" applyBorder="1" applyAlignment="1">
      <alignment horizontal="center"/>
    </xf>
    <xf numFmtId="0" fontId="0" fillId="4" borderId="61" xfId="0" applyFill="1" applyBorder="1" applyAlignment="1">
      <alignment horizontal="center"/>
    </xf>
    <xf numFmtId="0" fontId="22" fillId="0" borderId="43" xfId="0" applyFont="1" applyBorder="1" applyAlignment="1">
      <alignment horizontal="center" vertical="center"/>
    </xf>
    <xf numFmtId="0" fontId="22" fillId="0" borderId="0" xfId="0" applyFont="1" applyAlignment="1">
      <alignment horizontal="center" vertical="center"/>
    </xf>
    <xf numFmtId="0" fontId="3" fillId="4" borderId="50" xfId="0" applyFont="1" applyFill="1" applyBorder="1" applyAlignment="1">
      <alignment horizontal="left"/>
    </xf>
    <xf numFmtId="0" fontId="3" fillId="4" borderId="51" xfId="0" applyFont="1" applyFill="1" applyBorder="1" applyAlignment="1">
      <alignment horizontal="left"/>
    </xf>
    <xf numFmtId="0" fontId="3" fillId="4" borderId="42" xfId="0" applyFont="1" applyFill="1" applyBorder="1" applyAlignment="1">
      <alignment horizontal="center" vertical="center"/>
    </xf>
    <xf numFmtId="0" fontId="3" fillId="4" borderId="48" xfId="0" applyFont="1" applyFill="1" applyBorder="1" applyAlignment="1">
      <alignment horizontal="center" vertical="center"/>
    </xf>
    <xf numFmtId="0" fontId="3" fillId="4" borderId="58" xfId="0" applyFont="1" applyFill="1" applyBorder="1" applyAlignment="1">
      <alignment horizontal="center" vertical="center"/>
    </xf>
    <xf numFmtId="0" fontId="3" fillId="4" borderId="59" xfId="0" applyFont="1" applyFill="1" applyBorder="1" applyAlignment="1">
      <alignment horizontal="center" vertical="center"/>
    </xf>
    <xf numFmtId="0" fontId="3" fillId="4" borderId="28" xfId="0" applyFont="1" applyFill="1" applyBorder="1" applyAlignment="1">
      <alignment horizontal="center" vertical="center"/>
    </xf>
    <xf numFmtId="0" fontId="3" fillId="4" borderId="30" xfId="0" applyFont="1" applyFill="1" applyBorder="1" applyAlignment="1">
      <alignment horizontal="center" vertical="center"/>
    </xf>
    <xf numFmtId="166" fontId="3" fillId="4" borderId="0" xfId="0" applyNumberFormat="1" applyFont="1" applyFill="1" applyAlignment="1">
      <alignment horizontal="left" vertical="center"/>
    </xf>
    <xf numFmtId="0" fontId="16" fillId="0" borderId="50"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0" xfId="0" applyFont="1" applyAlignment="1">
      <alignment horizontal="center" vertical="center" wrapText="1"/>
    </xf>
    <xf numFmtId="0" fontId="16" fillId="0" borderId="40"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53" xfId="0" applyFont="1" applyBorder="1" applyAlignment="1">
      <alignment horizontal="center" vertical="center" wrapText="1"/>
    </xf>
    <xf numFmtId="0" fontId="0" fillId="4" borderId="50" xfId="0" applyFill="1" applyBorder="1" applyAlignment="1">
      <alignment horizontal="center" vertical="center" wrapText="1"/>
    </xf>
    <xf numFmtId="0" fontId="0" fillId="4" borderId="51"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41" xfId="0" applyFill="1" applyBorder="1" applyAlignment="1">
      <alignment horizontal="center" vertical="center" wrapText="1"/>
    </xf>
    <xf numFmtId="0" fontId="0" fillId="4" borderId="0" xfId="0" applyFill="1" applyAlignment="1">
      <alignment horizontal="center" vertical="center" wrapText="1"/>
    </xf>
    <xf numFmtId="0" fontId="0" fillId="4" borderId="40"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45" xfId="0" applyFill="1" applyBorder="1" applyAlignment="1">
      <alignment horizontal="center" vertical="center" wrapText="1"/>
    </xf>
    <xf numFmtId="0" fontId="0" fillId="4" borderId="53" xfId="0" applyFill="1" applyBorder="1" applyAlignment="1">
      <alignment horizontal="center" vertical="center" wrapText="1"/>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9" fillId="0" borderId="42" xfId="0" applyFont="1" applyBorder="1" applyAlignment="1">
      <alignment horizontal="left"/>
    </xf>
    <xf numFmtId="0" fontId="9" fillId="0" borderId="48" xfId="0" applyFont="1" applyBorder="1" applyAlignment="1">
      <alignment horizontal="left"/>
    </xf>
    <xf numFmtId="0" fontId="33" fillId="4" borderId="51" xfId="0" applyFont="1" applyFill="1" applyBorder="1" applyAlignment="1">
      <alignment horizontal="center" vertical="center" wrapText="1"/>
    </xf>
    <xf numFmtId="0" fontId="33" fillId="4" borderId="52" xfId="0" applyFont="1" applyFill="1" applyBorder="1" applyAlignment="1">
      <alignment horizontal="center" vertical="center" wrapText="1"/>
    </xf>
    <xf numFmtId="0" fontId="33" fillId="4" borderId="41" xfId="0" applyFont="1" applyFill="1" applyBorder="1" applyAlignment="1">
      <alignment horizontal="center" vertical="center" wrapText="1"/>
    </xf>
    <xf numFmtId="0" fontId="33" fillId="4" borderId="0" xfId="0" applyFont="1" applyFill="1" applyAlignment="1">
      <alignment horizontal="center" vertical="center" wrapText="1"/>
    </xf>
    <xf numFmtId="0" fontId="33" fillId="4" borderId="40" xfId="0" applyFont="1" applyFill="1" applyBorder="1" applyAlignment="1">
      <alignment horizontal="center" vertical="center" wrapText="1"/>
    </xf>
    <xf numFmtId="0" fontId="33" fillId="4" borderId="27" xfId="0" applyFont="1" applyFill="1" applyBorder="1" applyAlignment="1">
      <alignment horizontal="center" vertical="center" wrapText="1"/>
    </xf>
    <xf numFmtId="0" fontId="33" fillId="4" borderId="45"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6" fillId="4" borderId="50" xfId="0" applyFont="1" applyFill="1" applyBorder="1" applyAlignment="1">
      <alignment horizontal="center" vertical="center" wrapText="1"/>
    </xf>
    <xf numFmtId="0" fontId="16" fillId="4" borderId="51" xfId="0" applyFont="1" applyFill="1" applyBorder="1" applyAlignment="1">
      <alignment horizontal="center" vertical="center" wrapText="1"/>
    </xf>
    <xf numFmtId="0" fontId="16" fillId="4" borderId="52" xfId="0" applyFont="1" applyFill="1" applyBorder="1" applyAlignment="1">
      <alignment horizontal="center" vertical="center" wrapText="1"/>
    </xf>
    <xf numFmtId="0" fontId="16" fillId="4" borderId="41"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4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0" fillId="0" borderId="0" xfId="0" applyFill="1" applyBorder="1" applyAlignment="1"/>
    <xf numFmtId="0" fontId="0" fillId="0" borderId="0" xfId="0" applyBorder="1"/>
    <xf numFmtId="0" fontId="19" fillId="0" borderId="0" xfId="0" applyFont="1" applyFill="1" applyBorder="1" applyAlignment="1">
      <alignment horizontal="centerContinuous"/>
    </xf>
    <xf numFmtId="0" fontId="19" fillId="0" borderId="0" xfId="0" applyFont="1" applyFill="1" applyBorder="1" applyAlignment="1">
      <alignment horizontal="center"/>
    </xf>
    <xf numFmtId="0" fontId="0" fillId="0" borderId="28" xfId="0" applyFill="1" applyBorder="1" applyAlignment="1">
      <alignment horizontal="center"/>
    </xf>
    <xf numFmtId="0" fontId="0" fillId="0" borderId="29" xfId="0" applyFill="1" applyBorder="1" applyAlignment="1">
      <alignment horizontal="center"/>
    </xf>
    <xf numFmtId="164" fontId="0" fillId="0" borderId="29" xfId="0" applyNumberFormat="1" applyFill="1" applyBorder="1" applyAlignment="1">
      <alignment horizontal="center"/>
    </xf>
    <xf numFmtId="0" fontId="0" fillId="0" borderId="15" xfId="0" applyFill="1" applyBorder="1" applyAlignment="1">
      <alignment horizontal="center" vertical="center"/>
    </xf>
    <xf numFmtId="0" fontId="0" fillId="0" borderId="21" xfId="0" applyFill="1" applyBorder="1" applyAlignment="1">
      <alignment horizontal="center" vertical="center"/>
    </xf>
    <xf numFmtId="0" fontId="0" fillId="0" borderId="27" xfId="0" applyFill="1" applyBorder="1" applyAlignment="1">
      <alignment horizontal="center" vertical="center"/>
    </xf>
    <xf numFmtId="0" fontId="0" fillId="0" borderId="22" xfId="0" applyFill="1" applyBorder="1" applyAlignment="1">
      <alignment horizontal="center" vertical="center"/>
    </xf>
    <xf numFmtId="0" fontId="0" fillId="0" borderId="2" xfId="0" applyFill="1" applyBorder="1" applyAlignment="1">
      <alignment horizontal="center" vertical="center"/>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26" xfId="0" applyFill="1" applyBorder="1" applyAlignment="1">
      <alignment horizontal="center" vertical="center"/>
    </xf>
    <xf numFmtId="0" fontId="0" fillId="0" borderId="19" xfId="0" applyFill="1" applyBorder="1" applyAlignment="1">
      <alignment horizontal="center" vertical="center"/>
    </xf>
    <xf numFmtId="0" fontId="0" fillId="0" borderId="30" xfId="0" applyFill="1" applyBorder="1" applyAlignment="1">
      <alignment horizontal="center"/>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Hlavný efekt interakcie faktora A </a:t>
            </a:r>
            <a:r>
              <a:rPr lang="en-US"/>
              <a:t>-</a:t>
            </a:r>
            <a:r>
              <a:rPr lang="en-US" baseline="0"/>
              <a:t> ve</a:t>
            </a:r>
            <a:r>
              <a:rPr lang="sk-SK" baseline="0"/>
              <a:t>ľkosť uhlopriečky</a:t>
            </a:r>
            <a:endParaRPr lang="sk-SK"/>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Faktor A</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faktorov'!$E$95:$E$96</c:f>
              <c:numCache>
                <c:formatCode>General</c:formatCode>
                <c:ptCount val="2"/>
                <c:pt idx="0">
                  <c:v>-1</c:v>
                </c:pt>
                <c:pt idx="1">
                  <c:v>1</c:v>
                </c:pt>
              </c:numCache>
            </c:numRef>
          </c:xVal>
          <c:yVal>
            <c:numRef>
              <c:f>'[1]Efekty faktorov'!$F$95:$F$96</c:f>
              <c:numCache>
                <c:formatCode>General</c:formatCode>
                <c:ptCount val="2"/>
                <c:pt idx="0">
                  <c:v>482.28571428571428</c:v>
                </c:pt>
                <c:pt idx="1">
                  <c:v>568.5</c:v>
                </c:pt>
              </c:numCache>
            </c:numRef>
          </c:yVal>
          <c:smooth val="1"/>
          <c:extLst>
            <c:ext xmlns:c16="http://schemas.microsoft.com/office/drawing/2014/chart" uri="{C3380CC4-5D6E-409C-BE32-E72D297353CC}">
              <c16:uniqueId val="{00000000-45AA-46E9-A2AF-5E933C25725A}"/>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Uhlopriecka (</a:t>
                </a:r>
                <a:r>
                  <a:rPr lang="sk-SK" baseline="0"/>
                  <a:t> A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majorUnit val="0.5"/>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Cena</a:t>
                </a:r>
                <a:r>
                  <a:rPr lang="sk-SK" baseline="0"/>
                  <a:t> monitora</a:t>
                </a:r>
                <a:endParaRPr lang="sk-SK"/>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Hlavný efekt interakcie faktora B -</a:t>
            </a:r>
            <a:r>
              <a:rPr lang="sk-SK" baseline="0"/>
              <a:t> obnovovacia frekvencia</a:t>
            </a:r>
            <a:endParaRPr lang="sk-SK"/>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Faktor B</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faktorov'!$P$95:$P$96</c:f>
              <c:numCache>
                <c:formatCode>General</c:formatCode>
                <c:ptCount val="2"/>
                <c:pt idx="0">
                  <c:v>-1</c:v>
                </c:pt>
                <c:pt idx="1">
                  <c:v>1</c:v>
                </c:pt>
              </c:numCache>
            </c:numRef>
          </c:xVal>
          <c:yVal>
            <c:numRef>
              <c:f>'[1]Efekty faktorov'!$Q$95:$Q$96</c:f>
              <c:numCache>
                <c:formatCode>General</c:formatCode>
                <c:ptCount val="2"/>
                <c:pt idx="0">
                  <c:v>389.625</c:v>
                </c:pt>
                <c:pt idx="1">
                  <c:v>627.125</c:v>
                </c:pt>
              </c:numCache>
            </c:numRef>
          </c:yVal>
          <c:smooth val="1"/>
          <c:extLst>
            <c:ext xmlns:c16="http://schemas.microsoft.com/office/drawing/2014/chart" uri="{C3380CC4-5D6E-409C-BE32-E72D297353CC}">
              <c16:uniqueId val="{00000000-A5E2-4C63-9E0B-731222CA3F5A}"/>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Frekvencia (</a:t>
                </a:r>
                <a:r>
                  <a:rPr lang="sk-SK" baseline="0"/>
                  <a:t> B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majorUnit val="0.5"/>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Cena</a:t>
                </a:r>
                <a:r>
                  <a:rPr lang="sk-SK" baseline="0"/>
                  <a:t> monitora</a:t>
                </a:r>
                <a:endParaRPr lang="sk-SK"/>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Hlavný efekt interakcie faktora C - rozlíšenie</a:t>
            </a:r>
            <a:r>
              <a:rPr lang="sk-SK" baseline="0"/>
              <a:t> monitora</a:t>
            </a:r>
            <a:endParaRPr lang="sk-SK"/>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Faktor C</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faktorov'!$AA$95:$AA$96</c:f>
              <c:numCache>
                <c:formatCode>General</c:formatCode>
                <c:ptCount val="2"/>
                <c:pt idx="0">
                  <c:v>-1</c:v>
                </c:pt>
                <c:pt idx="1">
                  <c:v>1</c:v>
                </c:pt>
              </c:numCache>
            </c:numRef>
          </c:xVal>
          <c:yVal>
            <c:numRef>
              <c:f>'[1]Efekty faktorov'!$AB$95:$AB$96</c:f>
              <c:numCache>
                <c:formatCode>General</c:formatCode>
                <c:ptCount val="2"/>
                <c:pt idx="0">
                  <c:v>215.25</c:v>
                </c:pt>
                <c:pt idx="1">
                  <c:v>801.5</c:v>
                </c:pt>
              </c:numCache>
            </c:numRef>
          </c:yVal>
          <c:smooth val="1"/>
          <c:extLst>
            <c:ext xmlns:c16="http://schemas.microsoft.com/office/drawing/2014/chart" uri="{C3380CC4-5D6E-409C-BE32-E72D297353CC}">
              <c16:uniqueId val="{00000000-AB0C-4322-9E7B-3F92D1417DBA}"/>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Rozlisenie (</a:t>
                </a:r>
                <a:r>
                  <a:rPr lang="sk-SK" baseline="0"/>
                  <a:t> C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majorUnit val="0.5"/>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k-SK"/>
                  <a:t>Cena monitora</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Frekvencia 180 Hz</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'[1]Efekty faktorov'!$G$14:$H$14</c:f>
              <c:numCache>
                <c:formatCode>General</c:formatCode>
                <c:ptCount val="2"/>
                <c:pt idx="0">
                  <c:v>-1</c:v>
                </c:pt>
                <c:pt idx="1">
                  <c:v>1</c:v>
                </c:pt>
              </c:numCache>
            </c:numRef>
          </c:xVal>
          <c:yVal>
            <c:numRef>
              <c:f>'[1]Efekty faktorov'!$G$15:$H$15</c:f>
              <c:numCache>
                <c:formatCode>General</c:formatCode>
                <c:ptCount val="2"/>
                <c:pt idx="0">
                  <c:v>306.75</c:v>
                </c:pt>
                <c:pt idx="1">
                  <c:v>472.5</c:v>
                </c:pt>
              </c:numCache>
            </c:numRef>
          </c:yVal>
          <c:smooth val="1"/>
          <c:extLst>
            <c:ext xmlns:c16="http://schemas.microsoft.com/office/drawing/2014/chart" uri="{C3380CC4-5D6E-409C-BE32-E72D297353CC}">
              <c16:uniqueId val="{00000000-59D9-4FF1-A32E-FD695D4F5D5C}"/>
            </c:ext>
          </c:extLst>
        </c:ser>
        <c:ser>
          <c:idx val="1"/>
          <c:order val="1"/>
          <c:tx>
            <c:v>Frekvencia 240 Hz</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'[1]Efekty faktorov'!$G$14:$H$14</c:f>
              <c:numCache>
                <c:formatCode>General</c:formatCode>
                <c:ptCount val="2"/>
                <c:pt idx="0">
                  <c:v>-1</c:v>
                </c:pt>
                <c:pt idx="1">
                  <c:v>1</c:v>
                </c:pt>
              </c:numCache>
            </c:numRef>
          </c:xVal>
          <c:yVal>
            <c:numRef>
              <c:f>'[1]Efekty faktorov'!$G$16:$H$16</c:f>
              <c:numCache>
                <c:formatCode>General</c:formatCode>
                <c:ptCount val="2"/>
                <c:pt idx="0">
                  <c:v>589.75</c:v>
                </c:pt>
                <c:pt idx="1">
                  <c:v>664.5</c:v>
                </c:pt>
              </c:numCache>
            </c:numRef>
          </c:yVal>
          <c:smooth val="1"/>
          <c:extLst>
            <c:ext xmlns:c16="http://schemas.microsoft.com/office/drawing/2014/chart" uri="{C3380CC4-5D6E-409C-BE32-E72D297353CC}">
              <c16:uniqueId val="{00000001-59D9-4FF1-A32E-FD695D4F5D5C}"/>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Uhlopriecka</a:t>
                </a:r>
                <a:r>
                  <a:rPr lang="sk-SK"/>
                  <a:t> (</a:t>
                </a:r>
                <a:r>
                  <a:rPr lang="sk-SK" baseline="0"/>
                  <a:t> A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69992841421343677"/>
          <c:y val="0.64481565643509542"/>
          <c:w val="0.21710559584945896"/>
          <c:h val="0.135128114269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Uhlopriecka 27"</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faktorov'!$F$15:$F$16</c:f>
              <c:numCache>
                <c:formatCode>General</c:formatCode>
                <c:ptCount val="2"/>
                <c:pt idx="0">
                  <c:v>-1</c:v>
                </c:pt>
                <c:pt idx="1">
                  <c:v>1</c:v>
                </c:pt>
              </c:numCache>
            </c:numRef>
          </c:xVal>
          <c:yVal>
            <c:numRef>
              <c:f>'[1]Efekty faktorov'!$G$15:$G$16</c:f>
              <c:numCache>
                <c:formatCode>General</c:formatCode>
                <c:ptCount val="2"/>
                <c:pt idx="0">
                  <c:v>306.75</c:v>
                </c:pt>
                <c:pt idx="1">
                  <c:v>589.75</c:v>
                </c:pt>
              </c:numCache>
            </c:numRef>
          </c:yVal>
          <c:smooth val="1"/>
          <c:extLst>
            <c:ext xmlns:c16="http://schemas.microsoft.com/office/drawing/2014/chart" uri="{C3380CC4-5D6E-409C-BE32-E72D297353CC}">
              <c16:uniqueId val="{00000000-D7C9-454E-9CF1-23DC510A99A0}"/>
            </c:ext>
          </c:extLst>
        </c:ser>
        <c:ser>
          <c:idx val="1"/>
          <c:order val="1"/>
          <c:tx>
            <c:v>Uhlopriecka 32"</c:v>
          </c:tx>
          <c:spPr>
            <a:ln w="19050" cap="rnd">
              <a:solidFill>
                <a:schemeClr val="accent2"/>
              </a:solidFill>
              <a:round/>
            </a:ln>
            <a:effectLst/>
          </c:spPr>
          <c:marker>
            <c:symbol val="diamond"/>
            <c:size val="7"/>
            <c:spPr>
              <a:solidFill>
                <a:schemeClr val="accent2"/>
              </a:solidFill>
              <a:ln w="9525">
                <a:solidFill>
                  <a:schemeClr val="accent2"/>
                </a:solidFill>
              </a:ln>
              <a:effectLst/>
            </c:spPr>
          </c:marker>
          <c:xVal>
            <c:numRef>
              <c:f>'[1]Efekty faktorov'!$F$15:$F$16</c:f>
              <c:numCache>
                <c:formatCode>General</c:formatCode>
                <c:ptCount val="2"/>
                <c:pt idx="0">
                  <c:v>-1</c:v>
                </c:pt>
                <c:pt idx="1">
                  <c:v>1</c:v>
                </c:pt>
              </c:numCache>
            </c:numRef>
          </c:xVal>
          <c:yVal>
            <c:numRef>
              <c:f>'[1]Efekty faktorov'!$H$15:$H$16</c:f>
              <c:numCache>
                <c:formatCode>General</c:formatCode>
                <c:ptCount val="2"/>
                <c:pt idx="0">
                  <c:v>472.5</c:v>
                </c:pt>
                <c:pt idx="1">
                  <c:v>664.5</c:v>
                </c:pt>
              </c:numCache>
            </c:numRef>
          </c:yVal>
          <c:smooth val="1"/>
          <c:extLst>
            <c:ext xmlns:c16="http://schemas.microsoft.com/office/drawing/2014/chart" uri="{C3380CC4-5D6E-409C-BE32-E72D297353CC}">
              <c16:uniqueId val="{00000001-D7C9-454E-9CF1-23DC510A99A0}"/>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Frekvencia </a:t>
                </a:r>
                <a:r>
                  <a:rPr lang="sk-SK"/>
                  <a:t>(</a:t>
                </a:r>
                <a:r>
                  <a:rPr lang="sk-SK" baseline="0"/>
                  <a:t> B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57019280462424093"/>
          <c:y val="0.66777380498635741"/>
          <c:w val="0.40046216422715641"/>
          <c:h val="0.128431768156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Rozlisenie 1080p</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faktorov'!$R$14:$S$14</c:f>
              <c:numCache>
                <c:formatCode>General</c:formatCode>
                <c:ptCount val="2"/>
                <c:pt idx="0">
                  <c:v>-1</c:v>
                </c:pt>
                <c:pt idx="1">
                  <c:v>1</c:v>
                </c:pt>
              </c:numCache>
            </c:numRef>
          </c:xVal>
          <c:yVal>
            <c:numRef>
              <c:f>'[1]Efekty faktorov'!$R$15:$S$15</c:f>
              <c:numCache>
                <c:formatCode>General</c:formatCode>
                <c:ptCount val="2"/>
                <c:pt idx="0">
                  <c:v>182</c:v>
                </c:pt>
                <c:pt idx="1">
                  <c:v>248.5</c:v>
                </c:pt>
              </c:numCache>
            </c:numRef>
          </c:yVal>
          <c:smooth val="1"/>
          <c:extLst>
            <c:ext xmlns:c16="http://schemas.microsoft.com/office/drawing/2014/chart" uri="{C3380CC4-5D6E-409C-BE32-E72D297353CC}">
              <c16:uniqueId val="{00000000-B82C-4F19-BA91-CBFC06425FDC}"/>
            </c:ext>
          </c:extLst>
        </c:ser>
        <c:ser>
          <c:idx val="1"/>
          <c:order val="1"/>
          <c:tx>
            <c:v>Rozlisenie 2160p</c:v>
          </c:tx>
          <c:spPr>
            <a:ln w="19050" cap="rnd">
              <a:solidFill>
                <a:schemeClr val="accent2"/>
              </a:solidFill>
              <a:round/>
            </a:ln>
            <a:effectLst/>
          </c:spPr>
          <c:marker>
            <c:symbol val="diamond"/>
            <c:size val="7"/>
            <c:spPr>
              <a:solidFill>
                <a:schemeClr val="accent2"/>
              </a:solidFill>
              <a:ln w="9525">
                <a:solidFill>
                  <a:schemeClr val="accent2"/>
                </a:solidFill>
              </a:ln>
              <a:effectLst/>
            </c:spPr>
          </c:marker>
          <c:xVal>
            <c:numRef>
              <c:f>'[1]Efekty faktorov'!$R$14:$S$14</c:f>
              <c:numCache>
                <c:formatCode>General</c:formatCode>
                <c:ptCount val="2"/>
                <c:pt idx="0">
                  <c:v>-1</c:v>
                </c:pt>
                <c:pt idx="1">
                  <c:v>1</c:v>
                </c:pt>
              </c:numCache>
            </c:numRef>
          </c:xVal>
          <c:yVal>
            <c:numRef>
              <c:f>'[1]Efekty faktorov'!$R$16:$S$16</c:f>
              <c:numCache>
                <c:formatCode>General</c:formatCode>
                <c:ptCount val="2"/>
                <c:pt idx="0">
                  <c:v>714.5</c:v>
                </c:pt>
                <c:pt idx="1">
                  <c:v>888.5</c:v>
                </c:pt>
              </c:numCache>
            </c:numRef>
          </c:yVal>
          <c:smooth val="1"/>
          <c:extLst>
            <c:ext xmlns:c16="http://schemas.microsoft.com/office/drawing/2014/chart" uri="{C3380CC4-5D6E-409C-BE32-E72D297353CC}">
              <c16:uniqueId val="{00000001-B82C-4F19-BA91-CBFC06425FDC}"/>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Uhlopriecka</a:t>
                </a:r>
                <a:r>
                  <a:rPr lang="sk-SK"/>
                  <a:t> (</a:t>
                </a:r>
                <a:r>
                  <a:rPr lang="sk-SK" baseline="0"/>
                  <a:t> A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title>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57019285276366583"/>
          <c:y val="0.66777396182446203"/>
          <c:w val="0.40046216422715641"/>
          <c:h val="0.128431768156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Uhlopriecka 27"</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faktorov'!$Q$15:$Q$16</c:f>
              <c:numCache>
                <c:formatCode>General</c:formatCode>
                <c:ptCount val="2"/>
                <c:pt idx="0">
                  <c:v>-1</c:v>
                </c:pt>
                <c:pt idx="1">
                  <c:v>1</c:v>
                </c:pt>
              </c:numCache>
            </c:numRef>
          </c:xVal>
          <c:yVal>
            <c:numRef>
              <c:f>'[1]Efekty faktorov'!$R$15:$R$16</c:f>
              <c:numCache>
                <c:formatCode>General</c:formatCode>
                <c:ptCount val="2"/>
                <c:pt idx="0">
                  <c:v>182</c:v>
                </c:pt>
                <c:pt idx="1">
                  <c:v>714.5</c:v>
                </c:pt>
              </c:numCache>
            </c:numRef>
          </c:yVal>
          <c:smooth val="1"/>
          <c:extLst>
            <c:ext xmlns:c16="http://schemas.microsoft.com/office/drawing/2014/chart" uri="{C3380CC4-5D6E-409C-BE32-E72D297353CC}">
              <c16:uniqueId val="{00000000-7DAC-4933-987D-A12C7A807D58}"/>
            </c:ext>
          </c:extLst>
        </c:ser>
        <c:ser>
          <c:idx val="1"/>
          <c:order val="1"/>
          <c:tx>
            <c:v>Uhlopriecka 32"</c:v>
          </c:tx>
          <c:spPr>
            <a:ln w="19050" cap="rnd">
              <a:solidFill>
                <a:schemeClr val="accent2"/>
              </a:solidFill>
              <a:round/>
            </a:ln>
            <a:effectLst/>
          </c:spPr>
          <c:marker>
            <c:symbol val="diamond"/>
            <c:size val="7"/>
            <c:spPr>
              <a:solidFill>
                <a:schemeClr val="accent2"/>
              </a:solidFill>
              <a:ln w="9525">
                <a:solidFill>
                  <a:schemeClr val="accent2"/>
                </a:solidFill>
              </a:ln>
              <a:effectLst/>
            </c:spPr>
          </c:marker>
          <c:xVal>
            <c:numRef>
              <c:f>'[1]Efekty faktorov'!$Q$15:$Q$16</c:f>
              <c:numCache>
                <c:formatCode>General</c:formatCode>
                <c:ptCount val="2"/>
                <c:pt idx="0">
                  <c:v>-1</c:v>
                </c:pt>
                <c:pt idx="1">
                  <c:v>1</c:v>
                </c:pt>
              </c:numCache>
            </c:numRef>
          </c:xVal>
          <c:yVal>
            <c:numRef>
              <c:f>'[1]Efekty faktorov'!$S$15:$S$16</c:f>
              <c:numCache>
                <c:formatCode>General</c:formatCode>
                <c:ptCount val="2"/>
                <c:pt idx="0">
                  <c:v>248.5</c:v>
                </c:pt>
                <c:pt idx="1">
                  <c:v>888.5</c:v>
                </c:pt>
              </c:numCache>
            </c:numRef>
          </c:yVal>
          <c:smooth val="1"/>
          <c:extLst>
            <c:ext xmlns:c16="http://schemas.microsoft.com/office/drawing/2014/chart" uri="{C3380CC4-5D6E-409C-BE32-E72D297353CC}">
              <c16:uniqueId val="{00000001-7DAC-4933-987D-A12C7A807D58}"/>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Rozlisenie</a:t>
                </a:r>
                <a:r>
                  <a:rPr lang="sk-SK"/>
                  <a:t> (</a:t>
                </a:r>
                <a:r>
                  <a:rPr lang="sk-SK" baseline="0"/>
                  <a:t> C )</a:t>
                </a:r>
                <a:endParaRPr lang="sk-SK"/>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59719993781987213"/>
          <c:y val="0.67990551910203678"/>
          <c:w val="0.40046216422715641"/>
          <c:h val="0.128431768156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Rozlisenie 1080p</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faktorov'!$AC$14:$AD$14</c:f>
              <c:numCache>
                <c:formatCode>General</c:formatCode>
                <c:ptCount val="2"/>
                <c:pt idx="0">
                  <c:v>-1</c:v>
                </c:pt>
                <c:pt idx="1">
                  <c:v>1</c:v>
                </c:pt>
              </c:numCache>
            </c:numRef>
          </c:xVal>
          <c:yVal>
            <c:numRef>
              <c:f>'[1]Efekty faktorov'!$AC$15:$AD$15</c:f>
              <c:numCache>
                <c:formatCode>General</c:formatCode>
                <c:ptCount val="2"/>
                <c:pt idx="0">
                  <c:v>210.75</c:v>
                </c:pt>
                <c:pt idx="1">
                  <c:v>219.75</c:v>
                </c:pt>
              </c:numCache>
            </c:numRef>
          </c:yVal>
          <c:smooth val="1"/>
          <c:extLst>
            <c:ext xmlns:c16="http://schemas.microsoft.com/office/drawing/2014/chart" uri="{C3380CC4-5D6E-409C-BE32-E72D297353CC}">
              <c16:uniqueId val="{00000000-707B-4533-B655-5C92FB5116EE}"/>
            </c:ext>
          </c:extLst>
        </c:ser>
        <c:ser>
          <c:idx val="1"/>
          <c:order val="1"/>
          <c:tx>
            <c:v>Rozlisenie 2160p</c:v>
          </c:tx>
          <c:spPr>
            <a:ln w="19050" cap="rnd">
              <a:solidFill>
                <a:schemeClr val="accent2"/>
              </a:solidFill>
              <a:round/>
            </a:ln>
            <a:effectLst/>
          </c:spPr>
          <c:marker>
            <c:symbol val="diamond"/>
            <c:size val="7"/>
            <c:spPr>
              <a:solidFill>
                <a:schemeClr val="accent2"/>
              </a:solidFill>
              <a:ln w="9525">
                <a:solidFill>
                  <a:schemeClr val="accent2"/>
                </a:solidFill>
              </a:ln>
              <a:effectLst/>
            </c:spPr>
          </c:marker>
          <c:xVal>
            <c:numRef>
              <c:f>'[1]Efekty faktorov'!$AC$14:$AD$14</c:f>
              <c:numCache>
                <c:formatCode>General</c:formatCode>
                <c:ptCount val="2"/>
                <c:pt idx="0">
                  <c:v>-1</c:v>
                </c:pt>
                <c:pt idx="1">
                  <c:v>1</c:v>
                </c:pt>
              </c:numCache>
            </c:numRef>
          </c:xVal>
          <c:yVal>
            <c:numRef>
              <c:f>'[1]Efekty faktorov'!$AC$16:$AD$16</c:f>
              <c:numCache>
                <c:formatCode>General</c:formatCode>
                <c:ptCount val="2"/>
                <c:pt idx="0">
                  <c:v>568.5</c:v>
                </c:pt>
                <c:pt idx="1">
                  <c:v>1034.5</c:v>
                </c:pt>
              </c:numCache>
            </c:numRef>
          </c:yVal>
          <c:smooth val="1"/>
          <c:extLst>
            <c:ext xmlns:c16="http://schemas.microsoft.com/office/drawing/2014/chart" uri="{C3380CC4-5D6E-409C-BE32-E72D297353CC}">
              <c16:uniqueId val="{00000001-707B-4533-B655-5C92FB5116EE}"/>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Frekvencia</a:t>
                </a:r>
                <a:r>
                  <a:rPr lang="sk-SK" sz="1000" b="0" i="0" u="none" strike="noStrike" kern="1200" baseline="0">
                    <a:solidFill>
                      <a:sysClr val="windowText" lastClr="000000">
                        <a:lumMod val="65000"/>
                        <a:lumOff val="35000"/>
                      </a:sysClr>
                    </a:solidFill>
                  </a:rPr>
                  <a:t> ( B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58639709752349134"/>
          <c:y val="0.69580033114628825"/>
          <c:w val="0.40046216422715641"/>
          <c:h val="0.128431768156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k-SK"/>
              <a:t>Efekt interakcie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k-SK"/>
        </a:p>
      </c:txPr>
    </c:title>
    <c:autoTitleDeleted val="0"/>
    <c:plotArea>
      <c:layout>
        <c:manualLayout>
          <c:layoutTarget val="inner"/>
          <c:xMode val="edge"/>
          <c:yMode val="edge"/>
          <c:x val="3.5843625899989837E-2"/>
          <c:y val="0.15491049391546738"/>
          <c:w val="0.92493095071583276"/>
          <c:h val="0.65996830379943328"/>
        </c:manualLayout>
      </c:layout>
      <c:scatterChart>
        <c:scatterStyle val="smoothMarker"/>
        <c:varyColors val="0"/>
        <c:ser>
          <c:idx val="0"/>
          <c:order val="0"/>
          <c:tx>
            <c:v>Frekvencia 180 Hz</c:v>
          </c:tx>
          <c:spPr>
            <a:ln w="19050" cap="rnd">
              <a:solidFill>
                <a:schemeClr val="accent1"/>
              </a:solidFill>
              <a:round/>
            </a:ln>
            <a:effectLst/>
          </c:spPr>
          <c:marker>
            <c:symbol val="diamond"/>
            <c:size val="7"/>
            <c:spPr>
              <a:solidFill>
                <a:schemeClr val="accent1"/>
              </a:solidFill>
              <a:ln w="9525">
                <a:solidFill>
                  <a:schemeClr val="accent1"/>
                </a:solidFill>
              </a:ln>
              <a:effectLst/>
            </c:spPr>
          </c:marker>
          <c:xVal>
            <c:numRef>
              <c:f>'[1]Efekty faktorov'!$AB$15:$AB$16</c:f>
              <c:numCache>
                <c:formatCode>General</c:formatCode>
                <c:ptCount val="2"/>
                <c:pt idx="0">
                  <c:v>-1</c:v>
                </c:pt>
                <c:pt idx="1">
                  <c:v>1</c:v>
                </c:pt>
              </c:numCache>
            </c:numRef>
          </c:xVal>
          <c:yVal>
            <c:numRef>
              <c:f>'[1]Efekty faktorov'!$AC$15:$AC$16</c:f>
              <c:numCache>
                <c:formatCode>General</c:formatCode>
                <c:ptCount val="2"/>
                <c:pt idx="0">
                  <c:v>210.75</c:v>
                </c:pt>
                <c:pt idx="1">
                  <c:v>568.5</c:v>
                </c:pt>
              </c:numCache>
            </c:numRef>
          </c:yVal>
          <c:smooth val="1"/>
          <c:extLst>
            <c:ext xmlns:c16="http://schemas.microsoft.com/office/drawing/2014/chart" uri="{C3380CC4-5D6E-409C-BE32-E72D297353CC}">
              <c16:uniqueId val="{00000000-4046-442B-AE52-5D5509162058}"/>
            </c:ext>
          </c:extLst>
        </c:ser>
        <c:ser>
          <c:idx val="1"/>
          <c:order val="1"/>
          <c:tx>
            <c:v>Frekvencia 240 Hz</c:v>
          </c:tx>
          <c:spPr>
            <a:ln w="19050" cap="rnd">
              <a:solidFill>
                <a:schemeClr val="accent2"/>
              </a:solidFill>
              <a:round/>
            </a:ln>
            <a:effectLst/>
          </c:spPr>
          <c:marker>
            <c:symbol val="diamond"/>
            <c:size val="7"/>
            <c:spPr>
              <a:solidFill>
                <a:schemeClr val="accent2"/>
              </a:solidFill>
              <a:ln w="9525">
                <a:solidFill>
                  <a:schemeClr val="accent2"/>
                </a:solidFill>
              </a:ln>
              <a:effectLst/>
            </c:spPr>
          </c:marker>
          <c:xVal>
            <c:numRef>
              <c:f>'[1]Efekty faktorov'!$AB$15:$AB$16</c:f>
              <c:numCache>
                <c:formatCode>General</c:formatCode>
                <c:ptCount val="2"/>
                <c:pt idx="0">
                  <c:v>-1</c:v>
                </c:pt>
                <c:pt idx="1">
                  <c:v>1</c:v>
                </c:pt>
              </c:numCache>
            </c:numRef>
          </c:xVal>
          <c:yVal>
            <c:numRef>
              <c:f>'[1]Efekty faktorov'!$AD$15:$AD$16</c:f>
              <c:numCache>
                <c:formatCode>General</c:formatCode>
                <c:ptCount val="2"/>
                <c:pt idx="0">
                  <c:v>219.75</c:v>
                </c:pt>
                <c:pt idx="1">
                  <c:v>1034.5</c:v>
                </c:pt>
              </c:numCache>
            </c:numRef>
          </c:yVal>
          <c:smooth val="1"/>
          <c:extLst>
            <c:ext xmlns:c16="http://schemas.microsoft.com/office/drawing/2014/chart" uri="{C3380CC4-5D6E-409C-BE32-E72D297353CC}">
              <c16:uniqueId val="{00000001-4046-442B-AE52-5D5509162058}"/>
            </c:ext>
          </c:extLst>
        </c:ser>
        <c:dLbls>
          <c:showLegendKey val="0"/>
          <c:showVal val="0"/>
          <c:showCatName val="0"/>
          <c:showSerName val="0"/>
          <c:showPercent val="0"/>
          <c:showBubbleSize val="0"/>
        </c:dLbls>
        <c:axId val="527860927"/>
        <c:axId val="527866687"/>
      </c:scatterChart>
      <c:valAx>
        <c:axId val="527860927"/>
        <c:scaling>
          <c:orientation val="minMax"/>
          <c:max val="1"/>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Rozlisenie</a:t>
                </a:r>
                <a:r>
                  <a:rPr lang="sk-SK" sz="1000" b="0" i="0" u="none" strike="noStrike" kern="1200" baseline="0">
                    <a:solidFill>
                      <a:sysClr val="windowText" lastClr="000000">
                        <a:lumMod val="65000"/>
                        <a:lumOff val="35000"/>
                      </a:sysClr>
                    </a:solidFill>
                  </a:rPr>
                  <a:t> ( C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k-SK"/>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6687"/>
        <c:crosses val="autoZero"/>
        <c:crossBetween val="midCat"/>
      </c:valAx>
      <c:valAx>
        <c:axId val="52786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527860927"/>
        <c:crosses val="autoZero"/>
        <c:crossBetween val="midCat"/>
      </c:valAx>
      <c:spPr>
        <a:noFill/>
        <a:ln>
          <a:noFill/>
        </a:ln>
        <a:effectLst/>
      </c:spPr>
    </c:plotArea>
    <c:legend>
      <c:legendPos val="r"/>
      <c:layout>
        <c:manualLayout>
          <c:xMode val="edge"/>
          <c:yMode val="edge"/>
          <c:x val="0.59220596338049791"/>
          <c:y val="0.68575294162225531"/>
          <c:w val="0.40046216422715641"/>
          <c:h val="0.128431768156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chart" Target="../charts/chart4.xml"/><Relationship Id="rId18" Type="http://schemas.openxmlformats.org/officeDocument/2006/relationships/chart" Target="../charts/chart9.xml"/><Relationship Id="rId3" Type="http://schemas.openxmlformats.org/officeDocument/2006/relationships/image" Target="../media/image20.png"/><Relationship Id="rId21" Type="http://schemas.openxmlformats.org/officeDocument/2006/relationships/image" Target="../media/image29.png"/><Relationship Id="rId7" Type="http://schemas.openxmlformats.org/officeDocument/2006/relationships/image" Target="../media/image24.png"/><Relationship Id="rId12" Type="http://schemas.openxmlformats.org/officeDocument/2006/relationships/chart" Target="../charts/chart3.xml"/><Relationship Id="rId17" Type="http://schemas.openxmlformats.org/officeDocument/2006/relationships/chart" Target="../charts/chart8.xml"/><Relationship Id="rId2" Type="http://schemas.openxmlformats.org/officeDocument/2006/relationships/image" Target="../media/image19.png"/><Relationship Id="rId16" Type="http://schemas.openxmlformats.org/officeDocument/2006/relationships/chart" Target="../charts/chart7.xml"/><Relationship Id="rId20" Type="http://schemas.openxmlformats.org/officeDocument/2006/relationships/image" Target="../media/image28.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chart" Target="../charts/chart2.xml"/><Relationship Id="rId5" Type="http://schemas.openxmlformats.org/officeDocument/2006/relationships/image" Target="../media/image22.png"/><Relationship Id="rId15" Type="http://schemas.openxmlformats.org/officeDocument/2006/relationships/chart" Target="../charts/chart6.xml"/><Relationship Id="rId10" Type="http://schemas.openxmlformats.org/officeDocument/2006/relationships/chart" Target="../charts/chart1.xml"/><Relationship Id="rId19"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chart" Target="../charts/chart5.xml"/><Relationship Id="rId22"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5</xdr:row>
      <xdr:rowOff>38099</xdr:rowOff>
    </xdr:from>
    <xdr:to>
      <xdr:col>12</xdr:col>
      <xdr:colOff>50998</xdr:colOff>
      <xdr:row>22</xdr:row>
      <xdr:rowOff>161924</xdr:rowOff>
    </xdr:to>
    <xdr:pic>
      <xdr:nvPicPr>
        <xdr:cNvPr id="2" name="Picture 1">
          <a:extLst>
            <a:ext uri="{FF2B5EF4-FFF2-40B4-BE49-F238E27FC236}">
              <a16:creationId xmlns:a16="http://schemas.microsoft.com/office/drawing/2014/main" id="{A377A322-DDB7-48C2-A027-E24488957EDE}"/>
            </a:ext>
          </a:extLst>
        </xdr:cNvPr>
        <xdr:cNvPicPr>
          <a:picLocks noChangeAspect="1"/>
        </xdr:cNvPicPr>
      </xdr:nvPicPr>
      <xdr:blipFill>
        <a:blip xmlns:r="http://schemas.openxmlformats.org/officeDocument/2006/relationships" r:embed="rId1"/>
        <a:stretch>
          <a:fillRect/>
        </a:stretch>
      </xdr:blipFill>
      <xdr:spPr>
        <a:xfrm>
          <a:off x="171450" y="1114424"/>
          <a:ext cx="7194748" cy="3571875"/>
        </a:xfrm>
        <a:prstGeom prst="rect">
          <a:avLst/>
        </a:prstGeom>
      </xdr:spPr>
    </xdr:pic>
    <xdr:clientData/>
  </xdr:twoCellAnchor>
  <xdr:twoCellAnchor>
    <xdr:from>
      <xdr:col>0</xdr:col>
      <xdr:colOff>291353</xdr:colOff>
      <xdr:row>26</xdr:row>
      <xdr:rowOff>67235</xdr:rowOff>
    </xdr:from>
    <xdr:to>
      <xdr:col>5</xdr:col>
      <xdr:colOff>248211</xdr:colOff>
      <xdr:row>35</xdr:row>
      <xdr:rowOff>48185</xdr:rowOff>
    </xdr:to>
    <xdr:pic>
      <xdr:nvPicPr>
        <xdr:cNvPr id="19" name="Picture 18" descr="A screenshot of a computer monitor&#10;&#10;AI-generated content may be incorrect.">
          <a:extLst>
            <a:ext uri="{FF2B5EF4-FFF2-40B4-BE49-F238E27FC236}">
              <a16:creationId xmlns:a16="http://schemas.microsoft.com/office/drawing/2014/main" id="{3DFCC584-D497-06ED-4BA7-7D016A49B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353" y="5188323"/>
          <a:ext cx="2982446" cy="176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11206</xdr:colOff>
      <xdr:row>57</xdr:row>
      <xdr:rowOff>67235</xdr:rowOff>
    </xdr:from>
    <xdr:to>
      <xdr:col>24</xdr:col>
      <xdr:colOff>68356</xdr:colOff>
      <xdr:row>66</xdr:row>
      <xdr:rowOff>96371</xdr:rowOff>
    </xdr:to>
    <xdr:pic>
      <xdr:nvPicPr>
        <xdr:cNvPr id="20" name="Picture 19" descr="A screenshot of a computer&#10;&#10;AI-generated content may be incorrect.">
          <a:extLst>
            <a:ext uri="{FF2B5EF4-FFF2-40B4-BE49-F238E27FC236}">
              <a16:creationId xmlns:a16="http://schemas.microsoft.com/office/drawing/2014/main" id="{1A38EA44-0199-4FF3-2A5E-C7675FBC6A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39265" y="11161059"/>
          <a:ext cx="3082738" cy="174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750794</xdr:colOff>
      <xdr:row>57</xdr:row>
      <xdr:rowOff>100852</xdr:rowOff>
    </xdr:from>
    <xdr:to>
      <xdr:col>18</xdr:col>
      <xdr:colOff>188820</xdr:colOff>
      <xdr:row>66</xdr:row>
      <xdr:rowOff>129988</xdr:rowOff>
    </xdr:to>
    <xdr:pic>
      <xdr:nvPicPr>
        <xdr:cNvPr id="21" name="Picture 20" descr="A screenshot of a computer&#10;&#10;AI-generated content may be incorrect.">
          <a:extLst>
            <a:ext uri="{FF2B5EF4-FFF2-40B4-BE49-F238E27FC236}">
              <a16:creationId xmlns:a16="http://schemas.microsoft.com/office/drawing/2014/main" id="{29C23EAF-4863-763C-84EE-FA912ABC9B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10265" y="11194676"/>
          <a:ext cx="3001496" cy="174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302559</xdr:colOff>
      <xdr:row>57</xdr:row>
      <xdr:rowOff>179294</xdr:rowOff>
    </xdr:from>
    <xdr:to>
      <xdr:col>15</xdr:col>
      <xdr:colOff>324970</xdr:colOff>
      <xdr:row>66</xdr:row>
      <xdr:rowOff>160805</xdr:rowOff>
    </xdr:to>
    <xdr:pic>
      <xdr:nvPicPr>
        <xdr:cNvPr id="22" name="Picture 21" descr="A screenshot of a video game&#10;&#10;AI-generated content may be incorrect.">
          <a:extLst>
            <a:ext uri="{FF2B5EF4-FFF2-40B4-BE49-F238E27FC236}">
              <a16:creationId xmlns:a16="http://schemas.microsoft.com/office/drawing/2014/main" id="{880083B8-473E-9098-24BE-B3F72BA9B8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58853" y="11273118"/>
          <a:ext cx="3025588" cy="1696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582706</xdr:colOff>
      <xdr:row>57</xdr:row>
      <xdr:rowOff>145676</xdr:rowOff>
    </xdr:from>
    <xdr:to>
      <xdr:col>10</xdr:col>
      <xdr:colOff>558614</xdr:colOff>
      <xdr:row>66</xdr:row>
      <xdr:rowOff>117662</xdr:rowOff>
    </xdr:to>
    <xdr:pic>
      <xdr:nvPicPr>
        <xdr:cNvPr id="23" name="Picture 22" descr="A screenshot of a computer&#10;&#10;AI-generated content may be incorrect.">
          <a:extLst>
            <a:ext uri="{FF2B5EF4-FFF2-40B4-BE49-F238E27FC236}">
              <a16:creationId xmlns:a16="http://schemas.microsoft.com/office/drawing/2014/main" id="{522B8A15-7919-2002-50C0-16D3593D0B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08294" y="11239500"/>
          <a:ext cx="3001496" cy="1686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201706</xdr:colOff>
      <xdr:row>57</xdr:row>
      <xdr:rowOff>134470</xdr:rowOff>
    </xdr:from>
    <xdr:to>
      <xdr:col>5</xdr:col>
      <xdr:colOff>196664</xdr:colOff>
      <xdr:row>66</xdr:row>
      <xdr:rowOff>173131</xdr:rowOff>
    </xdr:to>
    <xdr:pic>
      <xdr:nvPicPr>
        <xdr:cNvPr id="24" name="Picture 23" descr="A screenshot of a black and white advertisement&#10;&#10;AI-generated content may be incorrect.">
          <a:extLst>
            <a:ext uri="{FF2B5EF4-FFF2-40B4-BE49-F238E27FC236}">
              <a16:creationId xmlns:a16="http://schemas.microsoft.com/office/drawing/2014/main" id="{FA8195D9-3DE0-8DD4-0B4C-65DA5011C3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1706" y="11228294"/>
          <a:ext cx="3020546" cy="1753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457200</xdr:colOff>
      <xdr:row>24</xdr:row>
      <xdr:rowOff>0</xdr:rowOff>
    </xdr:from>
    <xdr:to>
      <xdr:col>15</xdr:col>
      <xdr:colOff>352425</xdr:colOff>
      <xdr:row>32</xdr:row>
      <xdr:rowOff>190500</xdr:rowOff>
    </xdr:to>
    <xdr:pic>
      <xdr:nvPicPr>
        <xdr:cNvPr id="25" name="Picture 24" descr="A screenshot of a black screen&#10;&#10;AI-generated content may be incorrect.">
          <a:extLst>
            <a:ext uri="{FF2B5EF4-FFF2-40B4-BE49-F238E27FC236}">
              <a16:creationId xmlns:a16="http://schemas.microsoft.com/office/drawing/2014/main" id="{6D999133-A550-08A0-B2CA-394FE3A223E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62800" y="4724400"/>
          <a:ext cx="291465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24</xdr:row>
      <xdr:rowOff>123825</xdr:rowOff>
    </xdr:from>
    <xdr:to>
      <xdr:col>11</xdr:col>
      <xdr:colOff>123825</xdr:colOff>
      <xdr:row>32</xdr:row>
      <xdr:rowOff>66675</xdr:rowOff>
    </xdr:to>
    <xdr:pic>
      <xdr:nvPicPr>
        <xdr:cNvPr id="26" name="Picture 25" descr="A screenshot of a computer&#10;&#10;AI-generated content may be incorrect.">
          <a:extLst>
            <a:ext uri="{FF2B5EF4-FFF2-40B4-BE49-F238E27FC236}">
              <a16:creationId xmlns:a16="http://schemas.microsoft.com/office/drawing/2014/main" id="{DA9D12B5-4A37-3286-CDAB-C9E5A31900E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38575" y="4848225"/>
          <a:ext cx="2990850"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37</xdr:row>
      <xdr:rowOff>161925</xdr:rowOff>
    </xdr:from>
    <xdr:to>
      <xdr:col>5</xdr:col>
      <xdr:colOff>38100</xdr:colOff>
      <xdr:row>47</xdr:row>
      <xdr:rowOff>66675</xdr:rowOff>
    </xdr:to>
    <xdr:pic>
      <xdr:nvPicPr>
        <xdr:cNvPr id="27" name="Picture 26" descr="A screenshot of a computer monitor&#10;&#10;AI-generated content may be incorrect.">
          <a:extLst>
            <a:ext uri="{FF2B5EF4-FFF2-40B4-BE49-F238E27FC236}">
              <a16:creationId xmlns:a16="http://schemas.microsoft.com/office/drawing/2014/main" id="{31186EA2-BEE8-4B36-D1E1-90ED9063B99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725" y="7429500"/>
          <a:ext cx="30003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48</xdr:row>
      <xdr:rowOff>66675</xdr:rowOff>
    </xdr:from>
    <xdr:to>
      <xdr:col>5</xdr:col>
      <xdr:colOff>66675</xdr:colOff>
      <xdr:row>57</xdr:row>
      <xdr:rowOff>9525</xdr:rowOff>
    </xdr:to>
    <xdr:pic>
      <xdr:nvPicPr>
        <xdr:cNvPr id="28" name="Picture 27" descr="A screenshot of a computer monitor&#10;&#10;AI-generated content may be incorrect.">
          <a:extLst>
            <a:ext uri="{FF2B5EF4-FFF2-40B4-BE49-F238E27FC236}">
              <a16:creationId xmlns:a16="http://schemas.microsoft.com/office/drawing/2014/main" id="{BFB0072B-AB1A-C4DF-45F5-0A95268B48D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50" y="9429750"/>
          <a:ext cx="29432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33</xdr:row>
      <xdr:rowOff>9525</xdr:rowOff>
    </xdr:from>
    <xdr:to>
      <xdr:col>9</xdr:col>
      <xdr:colOff>295275</xdr:colOff>
      <xdr:row>55</xdr:row>
      <xdr:rowOff>133350</xdr:rowOff>
    </xdr:to>
    <xdr:pic>
      <xdr:nvPicPr>
        <xdr:cNvPr id="29" name="Picture 28" descr="A screen shot of a device&#10;&#10;AI-generated content may be incorrect.">
          <a:extLst>
            <a:ext uri="{FF2B5EF4-FFF2-40B4-BE49-F238E27FC236}">
              <a16:creationId xmlns:a16="http://schemas.microsoft.com/office/drawing/2014/main" id="{14D78779-09A7-016C-23F8-72CC22F338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86200" y="6505575"/>
          <a:ext cx="1895475"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381000</xdr:colOff>
      <xdr:row>32</xdr:row>
      <xdr:rowOff>123825</xdr:rowOff>
    </xdr:from>
    <xdr:to>
      <xdr:col>12</xdr:col>
      <xdr:colOff>552450</xdr:colOff>
      <xdr:row>56</xdr:row>
      <xdr:rowOff>171450</xdr:rowOff>
    </xdr:to>
    <xdr:pic>
      <xdr:nvPicPr>
        <xdr:cNvPr id="30" name="Picture 29" descr="A screenshot of a computer monitor&#10;&#10;AI-generated content may be incorrect.">
          <a:extLst>
            <a:ext uri="{FF2B5EF4-FFF2-40B4-BE49-F238E27FC236}">
              <a16:creationId xmlns:a16="http://schemas.microsoft.com/office/drawing/2014/main" id="{8B19E7BA-E8CF-1072-42F5-9C300A333DB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867400" y="6419850"/>
          <a:ext cx="200025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561975</xdr:colOff>
      <xdr:row>33</xdr:row>
      <xdr:rowOff>85725</xdr:rowOff>
    </xdr:from>
    <xdr:to>
      <xdr:col>23</xdr:col>
      <xdr:colOff>47625</xdr:colOff>
      <xdr:row>55</xdr:row>
      <xdr:rowOff>142875</xdr:rowOff>
    </xdr:to>
    <xdr:pic>
      <xdr:nvPicPr>
        <xdr:cNvPr id="31" name="Picture 30" descr="A screenshot of a product&#10;&#10;AI-generated content may be incorrect.">
          <a:extLst>
            <a:ext uri="{FF2B5EF4-FFF2-40B4-BE49-F238E27FC236}">
              <a16:creationId xmlns:a16="http://schemas.microsoft.com/office/drawing/2014/main" id="{4A2EAB03-5498-734E-16B3-8F92888B625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468475" y="6581775"/>
          <a:ext cx="1924050" cy="425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xdr:colOff>
      <xdr:row>33</xdr:row>
      <xdr:rowOff>28575</xdr:rowOff>
    </xdr:from>
    <xdr:to>
      <xdr:col>15</xdr:col>
      <xdr:colOff>180975</xdr:colOff>
      <xdr:row>54</xdr:row>
      <xdr:rowOff>180975</xdr:rowOff>
    </xdr:to>
    <xdr:pic>
      <xdr:nvPicPr>
        <xdr:cNvPr id="32" name="Picture 31" descr="A screenshot of a product&#10;&#10;AI-generated content may be incorrect.">
          <a:extLst>
            <a:ext uri="{FF2B5EF4-FFF2-40B4-BE49-F238E27FC236}">
              <a16:creationId xmlns:a16="http://schemas.microsoft.com/office/drawing/2014/main" id="{B15F0C89-E66B-FA0D-017E-67F574BCD04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001000" y="6524625"/>
          <a:ext cx="1905000" cy="416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276225</xdr:colOff>
      <xdr:row>33</xdr:row>
      <xdr:rowOff>142875</xdr:rowOff>
    </xdr:from>
    <xdr:to>
      <xdr:col>19</xdr:col>
      <xdr:colOff>400050</xdr:colOff>
      <xdr:row>55</xdr:row>
      <xdr:rowOff>161925</xdr:rowOff>
    </xdr:to>
    <xdr:pic>
      <xdr:nvPicPr>
        <xdr:cNvPr id="33" name="Picture 32" descr="A screenshot of a product&#10;&#10;AI-generated content may be incorrect.">
          <a:extLst>
            <a:ext uri="{FF2B5EF4-FFF2-40B4-BE49-F238E27FC236}">
              <a16:creationId xmlns:a16="http://schemas.microsoft.com/office/drawing/2014/main" id="{E89186F9-1AAA-98AF-43AC-F56634AC3BE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0" y="6638925"/>
          <a:ext cx="192405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419100</xdr:colOff>
      <xdr:row>33</xdr:row>
      <xdr:rowOff>0</xdr:rowOff>
    </xdr:from>
    <xdr:to>
      <xdr:col>17</xdr:col>
      <xdr:colOff>19050</xdr:colOff>
      <xdr:row>56</xdr:row>
      <xdr:rowOff>57150</xdr:rowOff>
    </xdr:to>
    <xdr:pic>
      <xdr:nvPicPr>
        <xdr:cNvPr id="34" name="Picture 1" descr="A screenshot of a product&#10;&#10;AI-generated content may be incorrect.">
          <a:extLst>
            <a:ext uri="{FF2B5EF4-FFF2-40B4-BE49-F238E27FC236}">
              <a16:creationId xmlns:a16="http://schemas.microsoft.com/office/drawing/2014/main" id="{3AB99BEC-17D9-41E4-5432-932B1565FA1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44125" y="6496050"/>
          <a:ext cx="1981200"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447676</xdr:colOff>
      <xdr:row>23</xdr:row>
      <xdr:rowOff>38098</xdr:rowOff>
    </xdr:from>
    <xdr:ext cx="238125" cy="374077"/>
    <xdr:sp macro="" textlink="">
      <xdr:nvSpPr>
        <xdr:cNvPr id="3" name="BlokTextu 1">
          <a:extLst>
            <a:ext uri="{FF2B5EF4-FFF2-40B4-BE49-F238E27FC236}">
              <a16:creationId xmlns:a16="http://schemas.microsoft.com/office/drawing/2014/main" id="{441B7270-1DAC-4F3B-987C-7E87ACEA2331}"/>
            </a:ext>
          </a:extLst>
        </xdr:cNvPr>
        <xdr:cNvSpPr txBox="1"/>
      </xdr:nvSpPr>
      <xdr:spPr>
        <a:xfrm>
          <a:off x="3771901" y="10096498"/>
          <a:ext cx="23812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k-SK" sz="1800" b="1" kern="1200"/>
            <a:t>-</a:t>
          </a:r>
        </a:p>
      </xdr:txBody>
    </xdr:sp>
    <xdr:clientData/>
  </xdr:oneCellAnchor>
  <xdr:twoCellAnchor editAs="oneCell">
    <xdr:from>
      <xdr:col>1</xdr:col>
      <xdr:colOff>0</xdr:colOff>
      <xdr:row>34</xdr:row>
      <xdr:rowOff>0</xdr:rowOff>
    </xdr:from>
    <xdr:to>
      <xdr:col>14</xdr:col>
      <xdr:colOff>990794</xdr:colOff>
      <xdr:row>50</xdr:row>
      <xdr:rowOff>29004</xdr:rowOff>
    </xdr:to>
    <xdr:pic>
      <xdr:nvPicPr>
        <xdr:cNvPr id="68" name="Picture 67">
          <a:extLst>
            <a:ext uri="{FF2B5EF4-FFF2-40B4-BE49-F238E27FC236}">
              <a16:creationId xmlns:a16="http://schemas.microsoft.com/office/drawing/2014/main" id="{4359AA9B-17C1-9716-51FF-247C0FE2BC5E}"/>
            </a:ext>
          </a:extLst>
        </xdr:cNvPr>
        <xdr:cNvPicPr>
          <a:picLocks noChangeAspect="1"/>
        </xdr:cNvPicPr>
      </xdr:nvPicPr>
      <xdr:blipFill>
        <a:blip xmlns:r="http://schemas.openxmlformats.org/officeDocument/2006/relationships" r:embed="rId1"/>
        <a:stretch>
          <a:fillRect/>
        </a:stretch>
      </xdr:blipFill>
      <xdr:spPr>
        <a:xfrm>
          <a:off x="609600" y="12182475"/>
          <a:ext cx="14003704" cy="3077004"/>
        </a:xfrm>
        <a:prstGeom prst="rect">
          <a:avLst/>
        </a:prstGeom>
        <a:ln>
          <a:solidFill>
            <a:schemeClr val="tx1"/>
          </a:solidFill>
        </a:ln>
      </xdr:spPr>
    </xdr:pic>
    <xdr:clientData/>
  </xdr:twoCellAnchor>
  <xdr:twoCellAnchor>
    <xdr:from>
      <xdr:col>6</xdr:col>
      <xdr:colOff>342900</xdr:colOff>
      <xdr:row>86</xdr:row>
      <xdr:rowOff>180975</xdr:rowOff>
    </xdr:from>
    <xdr:to>
      <xdr:col>7</xdr:col>
      <xdr:colOff>243945</xdr:colOff>
      <xdr:row>87</xdr:row>
      <xdr:rowOff>79375</xdr:rowOff>
    </xdr:to>
    <xdr:sp macro="" textlink="">
      <xdr:nvSpPr>
        <xdr:cNvPr id="70" name="Šípka: doprava 1">
          <a:extLst>
            <a:ext uri="{FF2B5EF4-FFF2-40B4-BE49-F238E27FC236}">
              <a16:creationId xmlns:a16="http://schemas.microsoft.com/office/drawing/2014/main" id="{C8E0EC61-A6FC-4990-B899-A0BF21803D9E}"/>
            </a:ext>
          </a:extLst>
        </xdr:cNvPr>
        <xdr:cNvSpPr/>
      </xdr:nvSpPr>
      <xdr:spPr>
        <a:xfrm>
          <a:off x="4000500" y="6838950"/>
          <a:ext cx="510645" cy="127000"/>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k-SK" sz="1100" kern="1200"/>
        </a:p>
      </xdr:txBody>
    </xdr:sp>
    <xdr:clientData/>
  </xdr:twoCellAnchor>
  <xdr:twoCellAnchor editAs="oneCell">
    <xdr:from>
      <xdr:col>1</xdr:col>
      <xdr:colOff>0</xdr:colOff>
      <xdr:row>140</xdr:row>
      <xdr:rowOff>0</xdr:rowOff>
    </xdr:from>
    <xdr:to>
      <xdr:col>5</xdr:col>
      <xdr:colOff>900796</xdr:colOff>
      <xdr:row>160</xdr:row>
      <xdr:rowOff>158484</xdr:rowOff>
    </xdr:to>
    <xdr:pic>
      <xdr:nvPicPr>
        <xdr:cNvPr id="71" name="Picture 70">
          <a:extLst>
            <a:ext uri="{FF2B5EF4-FFF2-40B4-BE49-F238E27FC236}">
              <a16:creationId xmlns:a16="http://schemas.microsoft.com/office/drawing/2014/main" id="{C22B162A-A481-4DD1-B6BF-B349B4AF4280}"/>
            </a:ext>
          </a:extLst>
        </xdr:cNvPr>
        <xdr:cNvPicPr>
          <a:picLocks noChangeAspect="1"/>
        </xdr:cNvPicPr>
      </xdr:nvPicPr>
      <xdr:blipFill>
        <a:blip xmlns:r="http://schemas.openxmlformats.org/officeDocument/2006/relationships" r:embed="rId2"/>
        <a:stretch>
          <a:fillRect/>
        </a:stretch>
      </xdr:blipFill>
      <xdr:spPr>
        <a:xfrm>
          <a:off x="609600" y="17116425"/>
          <a:ext cx="5850835" cy="3968484"/>
        </a:xfrm>
        <a:prstGeom prst="rect">
          <a:avLst/>
        </a:prstGeom>
      </xdr:spPr>
    </xdr:pic>
    <xdr:clientData/>
  </xdr:twoCellAnchor>
  <xdr:twoCellAnchor editAs="oneCell">
    <xdr:from>
      <xdr:col>1</xdr:col>
      <xdr:colOff>0</xdr:colOff>
      <xdr:row>162</xdr:row>
      <xdr:rowOff>0</xdr:rowOff>
    </xdr:from>
    <xdr:to>
      <xdr:col>5</xdr:col>
      <xdr:colOff>1035182</xdr:colOff>
      <xdr:row>183</xdr:row>
      <xdr:rowOff>48605</xdr:rowOff>
    </xdr:to>
    <xdr:pic>
      <xdr:nvPicPr>
        <xdr:cNvPr id="72" name="Picture 71">
          <a:extLst>
            <a:ext uri="{FF2B5EF4-FFF2-40B4-BE49-F238E27FC236}">
              <a16:creationId xmlns:a16="http://schemas.microsoft.com/office/drawing/2014/main" id="{BA0779DB-8B89-4489-B757-C0DF088D4EA6}"/>
            </a:ext>
          </a:extLst>
        </xdr:cNvPr>
        <xdr:cNvPicPr>
          <a:picLocks noChangeAspect="1"/>
        </xdr:cNvPicPr>
      </xdr:nvPicPr>
      <xdr:blipFill>
        <a:blip xmlns:r="http://schemas.openxmlformats.org/officeDocument/2006/relationships" r:embed="rId3"/>
        <a:stretch>
          <a:fillRect/>
        </a:stretch>
      </xdr:blipFill>
      <xdr:spPr>
        <a:xfrm>
          <a:off x="609600" y="21307425"/>
          <a:ext cx="5985221" cy="4049105"/>
        </a:xfrm>
        <a:prstGeom prst="rect">
          <a:avLst/>
        </a:prstGeom>
      </xdr:spPr>
    </xdr:pic>
    <xdr:clientData/>
  </xdr:twoCellAnchor>
  <xdr:twoCellAnchor editAs="oneCell">
    <xdr:from>
      <xdr:col>11</xdr:col>
      <xdr:colOff>409575</xdr:colOff>
      <xdr:row>162</xdr:row>
      <xdr:rowOff>38101</xdr:rowOff>
    </xdr:from>
    <xdr:to>
      <xdr:col>18</xdr:col>
      <xdr:colOff>250452</xdr:colOff>
      <xdr:row>183</xdr:row>
      <xdr:rowOff>91</xdr:rowOff>
    </xdr:to>
    <xdr:pic>
      <xdr:nvPicPr>
        <xdr:cNvPr id="73" name="Picture 72">
          <a:extLst>
            <a:ext uri="{FF2B5EF4-FFF2-40B4-BE49-F238E27FC236}">
              <a16:creationId xmlns:a16="http://schemas.microsoft.com/office/drawing/2014/main" id="{3F873249-8AC5-4588-9D50-795E65D0546C}"/>
            </a:ext>
          </a:extLst>
        </xdr:cNvPr>
        <xdr:cNvPicPr>
          <a:picLocks noChangeAspect="1"/>
        </xdr:cNvPicPr>
      </xdr:nvPicPr>
      <xdr:blipFill>
        <a:blip xmlns:r="http://schemas.openxmlformats.org/officeDocument/2006/relationships" r:embed="rId4"/>
        <a:stretch>
          <a:fillRect/>
        </a:stretch>
      </xdr:blipFill>
      <xdr:spPr>
        <a:xfrm>
          <a:off x="11229975" y="21345526"/>
          <a:ext cx="5934076" cy="3962490"/>
        </a:xfrm>
        <a:prstGeom prst="rect">
          <a:avLst/>
        </a:prstGeom>
      </xdr:spPr>
    </xdr:pic>
    <xdr:clientData/>
  </xdr:twoCellAnchor>
  <xdr:twoCellAnchor>
    <xdr:from>
      <xdr:col>8</xdr:col>
      <xdr:colOff>299197</xdr:colOff>
      <xdr:row>169</xdr:row>
      <xdr:rowOff>152401</xdr:rowOff>
    </xdr:from>
    <xdr:to>
      <xdr:col>10</xdr:col>
      <xdr:colOff>318247</xdr:colOff>
      <xdr:row>172</xdr:row>
      <xdr:rowOff>33431</xdr:rowOff>
    </xdr:to>
    <xdr:sp macro="" textlink="">
      <xdr:nvSpPr>
        <xdr:cNvPr id="74" name="Šípka: doprava 11">
          <a:extLst>
            <a:ext uri="{FF2B5EF4-FFF2-40B4-BE49-F238E27FC236}">
              <a16:creationId xmlns:a16="http://schemas.microsoft.com/office/drawing/2014/main" id="{98B41A91-C27D-48F5-AA6E-D9FB6D07CE8D}"/>
            </a:ext>
          </a:extLst>
        </xdr:cNvPr>
        <xdr:cNvSpPr/>
      </xdr:nvSpPr>
      <xdr:spPr>
        <a:xfrm>
          <a:off x="7011521" y="33075283"/>
          <a:ext cx="1856814" cy="452530"/>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k-SK" sz="1100" kern="1200"/>
        </a:p>
      </xdr:txBody>
    </xdr:sp>
    <xdr:clientData/>
  </xdr:twoCellAnchor>
  <xdr:oneCellAnchor>
    <xdr:from>
      <xdr:col>0</xdr:col>
      <xdr:colOff>228599</xdr:colOff>
      <xdr:row>229</xdr:row>
      <xdr:rowOff>57150</xdr:rowOff>
    </xdr:from>
    <xdr:ext cx="6715125" cy="234951"/>
    <mc:AlternateContent xmlns:mc="http://schemas.openxmlformats.org/markup-compatibility/2006" xmlns:a14="http://schemas.microsoft.com/office/drawing/2010/main">
      <mc:Choice Requires="a14">
        <xdr:sp macro="" textlink="">
          <xdr:nvSpPr>
            <xdr:cNvPr id="78" name="BlokTextu 2">
              <a:extLst>
                <a:ext uri="{FF2B5EF4-FFF2-40B4-BE49-F238E27FC236}">
                  <a16:creationId xmlns:a16="http://schemas.microsoft.com/office/drawing/2014/main" id="{4E165831-B648-45EB-AC4C-4C38446F6E19}"/>
                </a:ext>
              </a:extLst>
            </xdr:cNvPr>
            <xdr:cNvSpPr txBox="1"/>
          </xdr:nvSpPr>
          <xdr:spPr>
            <a:xfrm>
              <a:off x="228599" y="438150"/>
              <a:ext cx="6715125" cy="23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sk-SK" sz="1400" i="1" kern="1200">
                            <a:latin typeface="Cambria Math" panose="02040503050406030204" pitchFamily="18" charset="0"/>
                          </a:rPr>
                        </m:ctrlPr>
                      </m:sSubPr>
                      <m:e>
                        <m:r>
                          <a:rPr lang="sk-SK" sz="1400" b="0" i="1" kern="1200">
                            <a:latin typeface="Cambria Math" panose="02040503050406030204" pitchFamily="18" charset="0"/>
                          </a:rPr>
                          <m:t>𝑓</m:t>
                        </m:r>
                      </m:e>
                      <m:sub>
                        <m:r>
                          <a:rPr lang="sk-SK" sz="1400" b="0" i="1" kern="1200">
                            <a:latin typeface="Cambria Math" panose="02040503050406030204" pitchFamily="18" charset="0"/>
                          </a:rPr>
                          <m:t>𝐿</m:t>
                        </m:r>
                      </m:sub>
                    </m:sSub>
                    <m:r>
                      <a:rPr lang="sk-SK" sz="1400" b="0" i="0" kern="1200">
                        <a:latin typeface="Cambria Math" panose="02040503050406030204" pitchFamily="18" charset="0"/>
                      </a:rPr>
                      <m:t> </m:t>
                    </m:r>
                    <m:d>
                      <m:dPr>
                        <m:ctrlPr>
                          <a:rPr lang="sk-SK" sz="1400" b="0" i="1" kern="1200">
                            <a:latin typeface="Cambria Math" panose="02040503050406030204" pitchFamily="18" charset="0"/>
                          </a:rPr>
                        </m:ctrlPr>
                      </m:dPr>
                      <m:e>
                        <m:sSub>
                          <m:sSubPr>
                            <m:ctrlPr>
                              <a:rPr lang="sk-SK" sz="1400" b="0" i="1" kern="1200">
                                <a:latin typeface="Cambria Math" panose="02040503050406030204" pitchFamily="18" charset="0"/>
                              </a:rPr>
                            </m:ctrlPr>
                          </m:sSubPr>
                          <m:e>
                            <m:r>
                              <a:rPr lang="sk-SK" sz="1400" b="0" i="1" kern="1200">
                                <a:latin typeface="Cambria Math" panose="02040503050406030204" pitchFamily="18" charset="0"/>
                              </a:rPr>
                              <m:t>𝑡</m:t>
                            </m:r>
                          </m:e>
                          <m:sub>
                            <m:r>
                              <a:rPr lang="sk-SK" sz="1400" b="0" i="1" kern="1200">
                                <a:latin typeface="Cambria Math" panose="02040503050406030204" pitchFamily="18" charset="0"/>
                              </a:rPr>
                              <m:t>1</m:t>
                            </m:r>
                          </m:sub>
                        </m:sSub>
                        <m:r>
                          <a:rPr lang="sk-SK" sz="1400" b="0" i="1" kern="1200">
                            <a:latin typeface="Cambria Math" panose="02040503050406030204" pitchFamily="18" charset="0"/>
                          </a:rPr>
                          <m:t>, </m:t>
                        </m:r>
                        <m:sSub>
                          <m:sSubPr>
                            <m:ctrlPr>
                              <a:rPr lang="sk-SK" sz="1400" b="0" i="1" kern="1200">
                                <a:latin typeface="Cambria Math" panose="02040503050406030204" pitchFamily="18" charset="0"/>
                              </a:rPr>
                            </m:ctrlPr>
                          </m:sSubPr>
                          <m:e>
                            <m:r>
                              <a:rPr lang="sk-SK" sz="1400" b="0" i="1" kern="1200">
                                <a:latin typeface="Cambria Math" panose="02040503050406030204" pitchFamily="18" charset="0"/>
                              </a:rPr>
                              <m:t>𝑡</m:t>
                            </m:r>
                          </m:e>
                          <m:sub>
                            <m:r>
                              <a:rPr lang="sk-SK" sz="1400" b="0" i="1" kern="1200">
                                <a:latin typeface="Cambria Math" panose="02040503050406030204" pitchFamily="18" charset="0"/>
                              </a:rPr>
                              <m:t>2</m:t>
                            </m:r>
                          </m:sub>
                        </m:sSub>
                        <m:r>
                          <a:rPr lang="en-US" sz="1400" b="0" i="1" kern="1200">
                            <a:latin typeface="Cambria Math" panose="02040503050406030204" pitchFamily="18" charset="0"/>
                          </a:rPr>
                          <m:t>,</m:t>
                        </m:r>
                        <m:r>
                          <a:rPr lang="en-US" sz="1400" b="0" i="1" kern="1200">
                            <a:latin typeface="Cambria Math" panose="02040503050406030204" pitchFamily="18" charset="0"/>
                          </a:rPr>
                          <m:t>𝑡</m:t>
                        </m:r>
                        <m:r>
                          <a:rPr lang="en-US" sz="1400" b="0" i="1" kern="1200" baseline="-25000">
                            <a:latin typeface="Cambria Math" panose="02040503050406030204" pitchFamily="18" charset="0"/>
                          </a:rPr>
                          <m:t>3</m:t>
                        </m:r>
                      </m:e>
                    </m:d>
                    <m:r>
                      <a:rPr lang="sk-SK" sz="1400" b="0" i="1" kern="1200">
                        <a:latin typeface="Cambria Math" panose="02040503050406030204" pitchFamily="18" charset="0"/>
                      </a:rPr>
                      <m:t>=</m:t>
                    </m:r>
                    <m:r>
                      <a:rPr lang="en-US" sz="1400" b="0" i="1" kern="1200">
                        <a:latin typeface="Cambria Math" panose="02040503050406030204" pitchFamily="18" charset="0"/>
                      </a:rPr>
                      <m:t>508,375+60,125</m:t>
                    </m:r>
                    <m:r>
                      <a:rPr lang="en-US" sz="1400" b="0" i="1" kern="1200">
                        <a:latin typeface="Cambria Math" panose="02040503050406030204" pitchFamily="18" charset="0"/>
                      </a:rPr>
                      <m:t>𝑡</m:t>
                    </m:r>
                    <m:r>
                      <a:rPr lang="en-US" sz="1400" b="0" i="1" kern="1200" baseline="-25000">
                        <a:latin typeface="Cambria Math" panose="02040503050406030204" pitchFamily="18" charset="0"/>
                      </a:rPr>
                      <m:t>1</m:t>
                    </m:r>
                    <m:r>
                      <a:rPr lang="en-US" sz="1400" b="0" i="1" kern="1200">
                        <a:latin typeface="Cambria Math" panose="02040503050406030204" pitchFamily="18" charset="0"/>
                      </a:rPr>
                      <m:t>+118,75</m:t>
                    </m:r>
                    <m:r>
                      <a:rPr lang="en-US" sz="1400" b="0" i="1" kern="1200">
                        <a:latin typeface="Cambria Math" panose="02040503050406030204" pitchFamily="18" charset="0"/>
                      </a:rPr>
                      <m:t>𝑡</m:t>
                    </m:r>
                    <m:r>
                      <a:rPr lang="en-US" sz="1400" b="0" i="1" kern="1200" baseline="-25000">
                        <a:latin typeface="Cambria Math" panose="02040503050406030204" pitchFamily="18" charset="0"/>
                      </a:rPr>
                      <m:t>2</m:t>
                    </m:r>
                    <m:r>
                      <a:rPr lang="en-US" sz="1400" b="0" i="1" kern="1200">
                        <a:latin typeface="Cambria Math" panose="02040503050406030204" pitchFamily="18" charset="0"/>
                      </a:rPr>
                      <m:t>+293,125</m:t>
                    </m:r>
                    <m:r>
                      <a:rPr lang="en-US" sz="1400" b="0" i="1" kern="1200">
                        <a:latin typeface="Cambria Math" panose="02040503050406030204" pitchFamily="18" charset="0"/>
                      </a:rPr>
                      <m:t>𝑡</m:t>
                    </m:r>
                    <m:r>
                      <a:rPr lang="en-US" sz="1400" b="0" i="1" kern="1200" baseline="-25000">
                        <a:latin typeface="Cambria Math" panose="02040503050406030204" pitchFamily="18" charset="0"/>
                      </a:rPr>
                      <m:t>3</m:t>
                    </m:r>
                    <m:r>
                      <a:rPr lang="en-US" sz="1400" b="0" i="1" kern="1200">
                        <a:latin typeface="Cambria Math" panose="02040503050406030204" pitchFamily="18" charset="0"/>
                      </a:rPr>
                      <m:t>+114,25</m:t>
                    </m:r>
                    <m:r>
                      <a:rPr lang="en-US" sz="1400" b="0" i="1" kern="1200">
                        <a:latin typeface="Cambria Math" panose="02040503050406030204" pitchFamily="18" charset="0"/>
                      </a:rPr>
                      <m:t>𝑡</m:t>
                    </m:r>
                    <m:r>
                      <a:rPr lang="en-US" sz="1400" b="0" i="1" kern="1200">
                        <a:latin typeface="Cambria Math" panose="02040503050406030204" pitchFamily="18" charset="0"/>
                      </a:rPr>
                      <m:t>2</m:t>
                    </m:r>
                    <m:r>
                      <a:rPr lang="en-US" sz="1400" b="0" i="1" kern="1200">
                        <a:latin typeface="Cambria Math" panose="02040503050406030204" pitchFamily="18" charset="0"/>
                      </a:rPr>
                      <m:t>𝑡</m:t>
                    </m:r>
                    <m:r>
                      <a:rPr lang="en-US" sz="1400" b="0" i="1" kern="1200" baseline="-25000">
                        <a:latin typeface="Cambria Math" panose="02040503050406030204" pitchFamily="18" charset="0"/>
                      </a:rPr>
                      <m:t>3</m:t>
                    </m:r>
                  </m:oMath>
                </m:oMathPara>
              </a14:m>
              <a:endParaRPr lang="sk-SK" sz="1600" kern="1200" baseline="-25000"/>
            </a:p>
          </xdr:txBody>
        </xdr:sp>
      </mc:Choice>
      <mc:Fallback xmlns="">
        <xdr:sp macro="" textlink="">
          <xdr:nvSpPr>
            <xdr:cNvPr id="78" name="BlokTextu 2">
              <a:extLst>
                <a:ext uri="{FF2B5EF4-FFF2-40B4-BE49-F238E27FC236}">
                  <a16:creationId xmlns:a16="http://schemas.microsoft.com/office/drawing/2014/main" id="{4E165831-B648-45EB-AC4C-4C38446F6E19}"/>
                </a:ext>
              </a:extLst>
            </xdr:cNvPr>
            <xdr:cNvSpPr txBox="1"/>
          </xdr:nvSpPr>
          <xdr:spPr>
            <a:xfrm>
              <a:off x="228599" y="438150"/>
              <a:ext cx="6715125" cy="23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sk-SK" sz="1400" b="0" i="0" kern="1200">
                  <a:latin typeface="Cambria Math" panose="02040503050406030204" pitchFamily="18" charset="0"/>
                </a:rPr>
                <a:t>𝑓_𝐿  (𝑡_1, 𝑡_2</a:t>
              </a:r>
              <a:r>
                <a:rPr lang="en-US" sz="1400" b="0" i="0" kern="1200">
                  <a:latin typeface="Cambria Math" panose="02040503050406030204" pitchFamily="18" charset="0"/>
                </a:rPr>
                <a:t>,𝑡</a:t>
              </a:r>
              <a:r>
                <a:rPr lang="en-US" sz="1400" b="0" i="0" kern="1200" baseline="-25000">
                  <a:latin typeface="Cambria Math" panose="02040503050406030204" pitchFamily="18" charset="0"/>
                </a:rPr>
                <a:t>3</a:t>
              </a:r>
              <a:r>
                <a:rPr lang="sk-SK" sz="1400" b="0" i="0" kern="1200" baseline="-25000">
                  <a:latin typeface="Cambria Math" panose="02040503050406030204" pitchFamily="18" charset="0"/>
                </a:rPr>
                <a:t>)</a:t>
              </a:r>
              <a:r>
                <a:rPr lang="sk-SK" sz="1400" b="0" i="0" kern="1200">
                  <a:latin typeface="Cambria Math" panose="02040503050406030204" pitchFamily="18" charset="0"/>
                </a:rPr>
                <a:t>=</a:t>
              </a:r>
              <a:r>
                <a:rPr lang="en-US" sz="1400" b="0" i="0" kern="1200">
                  <a:latin typeface="Cambria Math" panose="02040503050406030204" pitchFamily="18" charset="0"/>
                </a:rPr>
                <a:t>508,375+60,125𝑡</a:t>
              </a:r>
              <a:r>
                <a:rPr lang="en-US" sz="1400" b="0" i="0" kern="1200" baseline="-25000">
                  <a:latin typeface="Cambria Math" panose="02040503050406030204" pitchFamily="18" charset="0"/>
                </a:rPr>
                <a:t>1</a:t>
              </a:r>
              <a:r>
                <a:rPr lang="en-US" sz="1400" b="0" i="0" kern="1200">
                  <a:latin typeface="Cambria Math" panose="02040503050406030204" pitchFamily="18" charset="0"/>
                </a:rPr>
                <a:t>+118,75𝑡</a:t>
              </a:r>
              <a:r>
                <a:rPr lang="en-US" sz="1400" b="0" i="0" kern="1200" baseline="-25000">
                  <a:latin typeface="Cambria Math" panose="02040503050406030204" pitchFamily="18" charset="0"/>
                </a:rPr>
                <a:t>2</a:t>
              </a:r>
              <a:r>
                <a:rPr lang="en-US" sz="1400" b="0" i="0" kern="1200">
                  <a:latin typeface="Cambria Math" panose="02040503050406030204" pitchFamily="18" charset="0"/>
                </a:rPr>
                <a:t>+293,125𝑡</a:t>
              </a:r>
              <a:r>
                <a:rPr lang="en-US" sz="1400" b="0" i="0" kern="1200" baseline="-25000">
                  <a:latin typeface="Cambria Math" panose="02040503050406030204" pitchFamily="18" charset="0"/>
                </a:rPr>
                <a:t>3</a:t>
              </a:r>
              <a:r>
                <a:rPr lang="en-US" sz="1400" b="0" i="0" kern="1200">
                  <a:latin typeface="Cambria Math" panose="02040503050406030204" pitchFamily="18" charset="0"/>
                </a:rPr>
                <a:t>+114,25𝑡2𝑡</a:t>
              </a:r>
              <a:r>
                <a:rPr lang="en-US" sz="1400" b="0" i="0" kern="1200" baseline="-25000">
                  <a:latin typeface="Cambria Math" panose="02040503050406030204" pitchFamily="18" charset="0"/>
                </a:rPr>
                <a:t>3</a:t>
              </a:r>
              <a:endParaRPr lang="sk-SK" sz="1600" kern="1200" baseline="-25000"/>
            </a:p>
          </xdr:txBody>
        </xdr:sp>
      </mc:Fallback>
    </mc:AlternateContent>
    <xdr:clientData/>
  </xdr:oneCellAnchor>
  <xdr:oneCellAnchor>
    <xdr:from>
      <xdr:col>0</xdr:col>
      <xdr:colOff>342900</xdr:colOff>
      <xdr:row>232</xdr:row>
      <xdr:rowOff>9525</xdr:rowOff>
    </xdr:from>
    <xdr:ext cx="8849738" cy="457200"/>
    <mc:AlternateContent xmlns:mc="http://schemas.openxmlformats.org/markup-compatibility/2006" xmlns:a14="http://schemas.microsoft.com/office/drawing/2010/main">
      <mc:Choice Requires="a14">
        <xdr:sp macro="" textlink="">
          <xdr:nvSpPr>
            <xdr:cNvPr id="79" name="BlokTextu 4">
              <a:extLst>
                <a:ext uri="{FF2B5EF4-FFF2-40B4-BE49-F238E27FC236}">
                  <a16:creationId xmlns:a16="http://schemas.microsoft.com/office/drawing/2014/main" id="{2BAC7EE6-A315-4FFD-9D9C-6CBB26C9A9FE}"/>
                </a:ext>
              </a:extLst>
            </xdr:cNvPr>
            <xdr:cNvSpPr txBox="1"/>
          </xdr:nvSpPr>
          <xdr:spPr>
            <a:xfrm>
              <a:off x="314325" y="962025"/>
              <a:ext cx="884973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sk-SK" sz="1400" i="1" kern="1200">
                            <a:latin typeface="Cambria Math" panose="02040503050406030204" pitchFamily="18" charset="0"/>
                          </a:rPr>
                        </m:ctrlPr>
                      </m:sSubPr>
                      <m:e>
                        <m:r>
                          <a:rPr lang="sk-SK" sz="1400" b="0" i="1" kern="1200">
                            <a:latin typeface="Cambria Math" panose="02040503050406030204" pitchFamily="18" charset="0"/>
                          </a:rPr>
                          <m:t>𝑓</m:t>
                        </m:r>
                      </m:e>
                      <m:sub>
                        <m:r>
                          <a:rPr lang="sk-SK" sz="1400" b="0" i="1" kern="1200">
                            <a:latin typeface="Cambria Math" panose="02040503050406030204" pitchFamily="18" charset="0"/>
                          </a:rPr>
                          <m:t>𝐿</m:t>
                        </m:r>
                      </m:sub>
                    </m:sSub>
                    <m:r>
                      <a:rPr lang="sk-SK" sz="1400" b="0" i="0" kern="1200">
                        <a:latin typeface="Cambria Math" panose="02040503050406030204" pitchFamily="18" charset="0"/>
                      </a:rPr>
                      <m:t> </m:t>
                    </m:r>
                    <m:d>
                      <m:dPr>
                        <m:ctrlPr>
                          <a:rPr lang="sk-SK" sz="1400" b="0" i="1" kern="1200">
                            <a:latin typeface="Cambria Math" panose="02040503050406030204" pitchFamily="18" charset="0"/>
                          </a:rPr>
                        </m:ctrlPr>
                      </m:dPr>
                      <m:e>
                        <m:sSub>
                          <m:sSubPr>
                            <m:ctrlPr>
                              <a:rPr lang="sk-SK" sz="1400" b="0" i="1" kern="1200">
                                <a:latin typeface="Cambria Math" panose="02040503050406030204" pitchFamily="18" charset="0"/>
                              </a:rPr>
                            </m:ctrlPr>
                          </m:sSubPr>
                          <m:e>
                            <m:r>
                              <a:rPr lang="sk-SK" sz="1400" b="0" i="1" kern="1200">
                                <a:latin typeface="Cambria Math" panose="02040503050406030204" pitchFamily="18" charset="0"/>
                              </a:rPr>
                              <m:t>𝑥</m:t>
                            </m:r>
                          </m:e>
                          <m:sub>
                            <m:r>
                              <a:rPr lang="sk-SK" sz="1400" b="0" i="1" kern="1200">
                                <a:latin typeface="Cambria Math" panose="02040503050406030204" pitchFamily="18" charset="0"/>
                              </a:rPr>
                              <m:t>1</m:t>
                            </m:r>
                          </m:sub>
                        </m:sSub>
                        <m:r>
                          <a:rPr lang="sk-SK" sz="1400" b="0" i="1" kern="1200">
                            <a:latin typeface="Cambria Math" panose="02040503050406030204" pitchFamily="18" charset="0"/>
                          </a:rPr>
                          <m:t>, </m:t>
                        </m:r>
                        <m:sSub>
                          <m:sSubPr>
                            <m:ctrlPr>
                              <a:rPr lang="sk-SK" sz="1400" b="0" i="1" kern="1200">
                                <a:latin typeface="Cambria Math" panose="02040503050406030204" pitchFamily="18" charset="0"/>
                              </a:rPr>
                            </m:ctrlPr>
                          </m:sSubPr>
                          <m:e>
                            <m:r>
                              <a:rPr lang="sk-SK" sz="1400" b="0" i="1" kern="1200">
                                <a:latin typeface="Cambria Math" panose="02040503050406030204" pitchFamily="18" charset="0"/>
                              </a:rPr>
                              <m:t>𝑥</m:t>
                            </m:r>
                          </m:e>
                          <m:sub>
                            <m:r>
                              <a:rPr lang="sk-SK" sz="1400" b="0" i="1" kern="1200">
                                <a:latin typeface="Cambria Math" panose="02040503050406030204" pitchFamily="18" charset="0"/>
                              </a:rPr>
                              <m:t>2</m:t>
                            </m:r>
                          </m:sub>
                        </m:sSub>
                        <m:r>
                          <a:rPr lang="en-US" sz="1400" b="0" i="1" kern="1200">
                            <a:latin typeface="Cambria Math" panose="02040503050406030204" pitchFamily="18" charset="0"/>
                          </a:rPr>
                          <m:t>,</m:t>
                        </m:r>
                        <m:r>
                          <a:rPr lang="en-US" sz="1400" b="0" i="1" kern="1200">
                            <a:latin typeface="Cambria Math" panose="02040503050406030204" pitchFamily="18" charset="0"/>
                          </a:rPr>
                          <m:t>𝑥</m:t>
                        </m:r>
                        <m:r>
                          <a:rPr lang="en-US" sz="1400" b="0" i="1" kern="1200" baseline="-25000">
                            <a:latin typeface="Cambria Math" panose="02040503050406030204" pitchFamily="18" charset="0"/>
                          </a:rPr>
                          <m:t>3</m:t>
                        </m:r>
                      </m:e>
                    </m:d>
                    <m:r>
                      <a:rPr lang="sk-SK" sz="1400" b="0" i="1" kern="1200">
                        <a:latin typeface="Cambria Math" panose="02040503050406030204" pitchFamily="18" charset="0"/>
                      </a:rPr>
                      <m:t>=</m:t>
                    </m:r>
                    <m:r>
                      <a:rPr lang="en-US" sz="1400" b="0" i="1" kern="1200">
                        <a:latin typeface="Cambria Math" panose="02040503050406030204" pitchFamily="18" charset="0"/>
                      </a:rPr>
                      <m:t>508,375</m:t>
                    </m:r>
                    <m:r>
                      <a:rPr lang="sk-SK" sz="1400" b="0" i="1" kern="1200">
                        <a:latin typeface="Cambria Math" panose="02040503050406030204" pitchFamily="18" charset="0"/>
                      </a:rPr>
                      <m:t>+</m:t>
                    </m:r>
                    <m:r>
                      <a:rPr lang="en-US" sz="1400" b="0" i="1" kern="1200">
                        <a:latin typeface="Cambria Math" panose="02040503050406030204" pitchFamily="18" charset="0"/>
                      </a:rPr>
                      <m:t>60,125</m:t>
                    </m:r>
                    <m:r>
                      <a:rPr lang="sk-SK" sz="1400" b="0" i="1" kern="1200">
                        <a:latin typeface="Cambria Math" panose="02040503050406030204" pitchFamily="18" charset="0"/>
                      </a:rPr>
                      <m:t> </m:t>
                    </m:r>
                    <m:f>
                      <m:fPr>
                        <m:ctrlPr>
                          <a:rPr lang="sk-SK" sz="1400" b="0" i="1" kern="1200">
                            <a:latin typeface="Cambria Math" panose="02040503050406030204" pitchFamily="18" charset="0"/>
                          </a:rPr>
                        </m:ctrlPr>
                      </m:fPr>
                      <m:num>
                        <m:sSub>
                          <m:sSubPr>
                            <m:ctrlPr>
                              <a:rPr lang="sk-SK" sz="1400" b="0" i="1" kern="1200">
                                <a:latin typeface="Cambria Math" panose="02040503050406030204" pitchFamily="18" charset="0"/>
                              </a:rPr>
                            </m:ctrlPr>
                          </m:sSubPr>
                          <m:e>
                            <m:r>
                              <a:rPr lang="sk-SK" sz="1400" b="0" i="1" kern="1200">
                                <a:latin typeface="Cambria Math" panose="02040503050406030204" pitchFamily="18" charset="0"/>
                              </a:rPr>
                              <m:t>𝑥</m:t>
                            </m:r>
                          </m:e>
                          <m:sub>
                            <m:r>
                              <a:rPr lang="sk-SK" sz="1400" b="0" i="1" kern="1200">
                                <a:latin typeface="Cambria Math" panose="02040503050406030204" pitchFamily="18" charset="0"/>
                              </a:rPr>
                              <m:t>1</m:t>
                            </m:r>
                          </m:sub>
                        </m:sSub>
                        <m:r>
                          <a:rPr lang="sk-SK" sz="1400" b="0" i="1" kern="1200">
                            <a:latin typeface="Cambria Math" panose="02040503050406030204" pitchFamily="18" charset="0"/>
                          </a:rPr>
                          <m:t>−</m:t>
                        </m:r>
                        <m:r>
                          <a:rPr lang="en-US" sz="1400" b="0" i="1" kern="1200">
                            <a:latin typeface="Cambria Math" panose="02040503050406030204" pitchFamily="18" charset="0"/>
                          </a:rPr>
                          <m:t>29,5</m:t>
                        </m:r>
                      </m:num>
                      <m:den>
                        <m:r>
                          <a:rPr lang="en-US" sz="1400" b="0" i="1" kern="1200">
                            <a:latin typeface="Cambria Math" panose="02040503050406030204" pitchFamily="18" charset="0"/>
                          </a:rPr>
                          <m:t>2,5</m:t>
                        </m:r>
                      </m:den>
                    </m:f>
                    <m:r>
                      <a:rPr lang="sk-SK" sz="1400" b="0" i="1" kern="1200">
                        <a:latin typeface="Cambria Math" panose="02040503050406030204" pitchFamily="18" charset="0"/>
                      </a:rPr>
                      <m:t>+</m:t>
                    </m:r>
                    <m:r>
                      <a:rPr lang="en-US" sz="1400" b="0" i="1" kern="1200">
                        <a:latin typeface="Cambria Math" panose="02040503050406030204" pitchFamily="18" charset="0"/>
                      </a:rPr>
                      <m:t>118,75</m:t>
                    </m:r>
                    <m:r>
                      <a:rPr lang="sk-SK" sz="1400" b="0" i="1" kern="1200">
                        <a:latin typeface="Cambria Math" panose="02040503050406030204" pitchFamily="18" charset="0"/>
                      </a:rPr>
                      <m:t> </m:t>
                    </m:r>
                    <m:f>
                      <m:fPr>
                        <m:ctrlPr>
                          <a:rPr lang="sk-SK" sz="1200" b="0" i="1">
                            <a:solidFill>
                              <a:schemeClr val="tx1"/>
                            </a:solidFill>
                            <a:effectLst/>
                            <a:latin typeface="Cambria Math" panose="02040503050406030204" pitchFamily="18" charset="0"/>
                            <a:ea typeface="+mn-ea"/>
                            <a:cs typeface="+mn-cs"/>
                          </a:rPr>
                        </m:ctrlPr>
                      </m:fPr>
                      <m:num>
                        <m:sSub>
                          <m:sSubPr>
                            <m:ctrlPr>
                              <a:rPr lang="sk-SK" sz="1200" b="0" i="1">
                                <a:solidFill>
                                  <a:schemeClr val="tx1"/>
                                </a:solidFill>
                                <a:effectLst/>
                                <a:latin typeface="Cambria Math" panose="02040503050406030204" pitchFamily="18" charset="0"/>
                                <a:ea typeface="+mn-ea"/>
                                <a:cs typeface="+mn-cs"/>
                              </a:rPr>
                            </m:ctrlPr>
                          </m:sSubPr>
                          <m:e>
                            <m:r>
                              <a:rPr lang="sk-SK" sz="1200" b="0" i="1">
                                <a:solidFill>
                                  <a:schemeClr val="tx1"/>
                                </a:solidFill>
                                <a:effectLst/>
                                <a:latin typeface="Cambria Math" panose="02040503050406030204" pitchFamily="18" charset="0"/>
                                <a:ea typeface="+mn-ea"/>
                                <a:cs typeface="+mn-cs"/>
                              </a:rPr>
                              <m:t>𝑥</m:t>
                            </m:r>
                          </m:e>
                          <m:sub>
                            <m:r>
                              <a:rPr lang="sk-SK" sz="1200" b="0" i="1">
                                <a:solidFill>
                                  <a:schemeClr val="tx1"/>
                                </a:solidFill>
                                <a:effectLst/>
                                <a:latin typeface="Cambria Math" panose="02040503050406030204" pitchFamily="18" charset="0"/>
                                <a:ea typeface="+mn-ea"/>
                                <a:cs typeface="+mn-cs"/>
                              </a:rPr>
                              <m:t>2</m:t>
                            </m:r>
                          </m:sub>
                        </m:sSub>
                        <m:r>
                          <a:rPr lang="sk-SK" sz="1200" b="0" i="1">
                            <a:solidFill>
                              <a:schemeClr val="tx1"/>
                            </a:solidFill>
                            <a:effectLst/>
                            <a:latin typeface="Cambria Math" panose="02040503050406030204" pitchFamily="18" charset="0"/>
                            <a:ea typeface="+mn-ea"/>
                            <a:cs typeface="+mn-cs"/>
                          </a:rPr>
                          <m:t>−</m:t>
                        </m:r>
                        <m:r>
                          <a:rPr lang="en-US" sz="1200" b="0" i="1">
                            <a:solidFill>
                              <a:schemeClr val="tx1"/>
                            </a:solidFill>
                            <a:effectLst/>
                            <a:latin typeface="Cambria Math" panose="02040503050406030204" pitchFamily="18" charset="0"/>
                            <a:ea typeface="+mn-ea"/>
                            <a:cs typeface="+mn-cs"/>
                          </a:rPr>
                          <m:t>210</m:t>
                        </m:r>
                      </m:num>
                      <m:den>
                        <m:r>
                          <a:rPr lang="en-US" sz="1200" b="0" i="1">
                            <a:solidFill>
                              <a:schemeClr val="tx1"/>
                            </a:solidFill>
                            <a:effectLst/>
                            <a:latin typeface="Cambria Math" panose="02040503050406030204" pitchFamily="18" charset="0"/>
                            <a:ea typeface="+mn-ea"/>
                            <a:cs typeface="+mn-cs"/>
                          </a:rPr>
                          <m:t>30</m:t>
                        </m:r>
                      </m:den>
                    </m:f>
                    <m:r>
                      <a:rPr lang="en-US" sz="1200" b="0" i="1">
                        <a:solidFill>
                          <a:schemeClr val="tx1"/>
                        </a:solidFill>
                        <a:effectLst/>
                        <a:latin typeface="Cambria Math" panose="02040503050406030204" pitchFamily="18" charset="0"/>
                        <a:ea typeface="+mn-ea"/>
                        <a:cs typeface="+mn-cs"/>
                      </a:rPr>
                      <m:t>+293,12</m:t>
                    </m:r>
                    <m:r>
                      <a:rPr lang="sk-SK" sz="1100" b="0" i="1">
                        <a:solidFill>
                          <a:schemeClr val="tx1"/>
                        </a:solidFill>
                        <a:effectLst/>
                        <a:latin typeface="Cambria Math" panose="02040503050406030204" pitchFamily="18" charset="0"/>
                        <a:ea typeface="+mn-ea"/>
                        <a:cs typeface="+mn-cs"/>
                      </a:rPr>
                      <m:t> </m:t>
                    </m:r>
                    <m:f>
                      <m:fPr>
                        <m:ctrlPr>
                          <a:rPr lang="sk-SK" sz="1100" b="0" i="1">
                            <a:solidFill>
                              <a:schemeClr val="tx1"/>
                            </a:solidFill>
                            <a:effectLst/>
                            <a:latin typeface="Cambria Math" panose="02040503050406030204" pitchFamily="18" charset="0"/>
                            <a:ea typeface="+mn-ea"/>
                            <a:cs typeface="+mn-cs"/>
                          </a:rPr>
                        </m:ctrlPr>
                      </m:fPr>
                      <m:num>
                        <m:sSub>
                          <m:sSubPr>
                            <m:ctrlPr>
                              <a:rPr lang="sk-SK" sz="1100" b="0" i="1">
                                <a:solidFill>
                                  <a:schemeClr val="tx1"/>
                                </a:solidFill>
                                <a:effectLst/>
                                <a:latin typeface="Cambria Math" panose="02040503050406030204" pitchFamily="18" charset="0"/>
                                <a:ea typeface="+mn-ea"/>
                                <a:cs typeface="+mn-cs"/>
                              </a:rPr>
                            </m:ctrlPr>
                          </m:sSubPr>
                          <m:e>
                            <m:r>
                              <a:rPr lang="sk-SK" sz="1100" b="0" i="1">
                                <a:solidFill>
                                  <a:schemeClr val="tx1"/>
                                </a:solidFill>
                                <a:effectLst/>
                                <a:latin typeface="Cambria Math" panose="02040503050406030204" pitchFamily="18" charset="0"/>
                                <a:ea typeface="+mn-ea"/>
                                <a:cs typeface="+mn-cs"/>
                              </a:rPr>
                              <m:t>𝑥</m:t>
                            </m:r>
                          </m:e>
                          <m:sub>
                            <m:r>
                              <a:rPr lang="en-US" sz="1100" b="0" i="1">
                                <a:solidFill>
                                  <a:schemeClr val="tx1"/>
                                </a:solidFill>
                                <a:effectLst/>
                                <a:latin typeface="Cambria Math" panose="02040503050406030204" pitchFamily="18" charset="0"/>
                                <a:ea typeface="+mn-ea"/>
                                <a:cs typeface="+mn-cs"/>
                              </a:rPr>
                              <m:t>3</m:t>
                            </m:r>
                          </m:sub>
                        </m:sSub>
                        <m:r>
                          <a:rPr lang="sk-SK"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1620</m:t>
                        </m:r>
                      </m:num>
                      <m:den>
                        <m:r>
                          <a:rPr lang="en-US" sz="1100" b="0" i="1">
                            <a:solidFill>
                              <a:schemeClr val="tx1"/>
                            </a:solidFill>
                            <a:effectLst/>
                            <a:latin typeface="Cambria Math" panose="02040503050406030204" pitchFamily="18" charset="0"/>
                            <a:ea typeface="+mn-ea"/>
                            <a:cs typeface="+mn-cs"/>
                          </a:rPr>
                          <m:t>540</m:t>
                        </m:r>
                      </m:den>
                    </m:f>
                    <m:r>
                      <a:rPr lang="sk-SK" sz="1400" b="0" i="1" kern="1200">
                        <a:latin typeface="Cambria Math" panose="02040503050406030204" pitchFamily="18" charset="0"/>
                      </a:rPr>
                      <m:t>+</m:t>
                    </m:r>
                    <m:r>
                      <a:rPr lang="en-US" sz="1400" b="0" i="1" kern="1200">
                        <a:latin typeface="Cambria Math" panose="02040503050406030204" pitchFamily="18" charset="0"/>
                      </a:rPr>
                      <m:t>114,25</m:t>
                    </m:r>
                    <m:r>
                      <a:rPr lang="sk-SK" sz="1400" b="0" i="1" kern="1200">
                        <a:latin typeface="Cambria Math" panose="02040503050406030204" pitchFamily="18" charset="0"/>
                      </a:rPr>
                      <m:t> </m:t>
                    </m:r>
                    <m:f>
                      <m:fPr>
                        <m:ctrlPr>
                          <a:rPr lang="sk-SK" sz="1100" b="0" i="1">
                            <a:solidFill>
                              <a:schemeClr val="tx1"/>
                            </a:solidFill>
                            <a:effectLst/>
                            <a:latin typeface="Cambria Math" panose="02040503050406030204" pitchFamily="18" charset="0"/>
                            <a:ea typeface="+mn-ea"/>
                            <a:cs typeface="+mn-cs"/>
                          </a:rPr>
                        </m:ctrlPr>
                      </m:fPr>
                      <m:num>
                        <m:sSub>
                          <m:sSubPr>
                            <m:ctrlPr>
                              <a:rPr lang="sk-SK" sz="1100" b="0" i="1">
                                <a:solidFill>
                                  <a:schemeClr val="tx1"/>
                                </a:solidFill>
                                <a:effectLst/>
                                <a:latin typeface="Cambria Math" panose="02040503050406030204" pitchFamily="18" charset="0"/>
                                <a:ea typeface="+mn-ea"/>
                                <a:cs typeface="+mn-cs"/>
                              </a:rPr>
                            </m:ctrlPr>
                          </m:sSubPr>
                          <m:e>
                            <m:r>
                              <a:rPr lang="sk-SK" sz="1100" b="0" i="1">
                                <a:solidFill>
                                  <a:schemeClr val="tx1"/>
                                </a:solidFill>
                                <a:effectLst/>
                                <a:latin typeface="Cambria Math" panose="02040503050406030204" pitchFamily="18" charset="0"/>
                                <a:ea typeface="+mn-ea"/>
                                <a:cs typeface="+mn-cs"/>
                              </a:rPr>
                              <m:t>𝑥</m:t>
                            </m:r>
                          </m:e>
                          <m:sub>
                            <m:r>
                              <a:rPr lang="sk-SK" sz="1100" b="0" i="1">
                                <a:solidFill>
                                  <a:schemeClr val="tx1"/>
                                </a:solidFill>
                                <a:effectLst/>
                                <a:latin typeface="Cambria Math" panose="02040503050406030204" pitchFamily="18" charset="0"/>
                                <a:ea typeface="+mn-ea"/>
                                <a:cs typeface="+mn-cs"/>
                              </a:rPr>
                              <m:t>2</m:t>
                            </m:r>
                          </m:sub>
                        </m:sSub>
                        <m:r>
                          <a:rPr lang="sk-SK"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210</m:t>
                        </m:r>
                      </m:num>
                      <m:den>
                        <m:r>
                          <a:rPr lang="en-US" sz="1100" b="0" i="1">
                            <a:solidFill>
                              <a:schemeClr val="tx1"/>
                            </a:solidFill>
                            <a:effectLst/>
                            <a:latin typeface="Cambria Math" panose="02040503050406030204" pitchFamily="18" charset="0"/>
                            <a:ea typeface="+mn-ea"/>
                            <a:cs typeface="+mn-cs"/>
                          </a:rPr>
                          <m:t>30</m:t>
                        </m:r>
                      </m:den>
                    </m:f>
                    <m:f>
                      <m:fPr>
                        <m:ctrlPr>
                          <a:rPr lang="sk-SK" sz="1100" b="0" i="1">
                            <a:solidFill>
                              <a:schemeClr val="tx1"/>
                            </a:solidFill>
                            <a:effectLst/>
                            <a:latin typeface="Cambria Math" panose="02040503050406030204" pitchFamily="18" charset="0"/>
                            <a:ea typeface="+mn-ea"/>
                            <a:cs typeface="+mn-cs"/>
                          </a:rPr>
                        </m:ctrlPr>
                      </m:fPr>
                      <m:num>
                        <m:sSub>
                          <m:sSubPr>
                            <m:ctrlPr>
                              <a:rPr lang="sk-SK" sz="1100" b="0" i="1">
                                <a:solidFill>
                                  <a:schemeClr val="tx1"/>
                                </a:solidFill>
                                <a:effectLst/>
                                <a:latin typeface="Cambria Math" panose="02040503050406030204" pitchFamily="18" charset="0"/>
                                <a:ea typeface="+mn-ea"/>
                                <a:cs typeface="+mn-cs"/>
                              </a:rPr>
                            </m:ctrlPr>
                          </m:sSubPr>
                          <m:e>
                            <m:r>
                              <a:rPr lang="sk-SK" sz="1100" b="0" i="1">
                                <a:solidFill>
                                  <a:schemeClr val="tx1"/>
                                </a:solidFill>
                                <a:effectLst/>
                                <a:latin typeface="Cambria Math" panose="02040503050406030204" pitchFamily="18" charset="0"/>
                                <a:ea typeface="+mn-ea"/>
                                <a:cs typeface="+mn-cs"/>
                              </a:rPr>
                              <m:t>𝑥</m:t>
                            </m:r>
                          </m:e>
                          <m:sub>
                            <m:r>
                              <a:rPr lang="en-US" sz="1100" b="0" i="1">
                                <a:solidFill>
                                  <a:schemeClr val="tx1"/>
                                </a:solidFill>
                                <a:effectLst/>
                                <a:latin typeface="Cambria Math" panose="02040503050406030204" pitchFamily="18" charset="0"/>
                                <a:ea typeface="+mn-ea"/>
                                <a:cs typeface="+mn-cs"/>
                              </a:rPr>
                              <m:t>3</m:t>
                            </m:r>
                          </m:sub>
                        </m:sSub>
                        <m:r>
                          <a:rPr lang="sk-SK"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1620</m:t>
                        </m:r>
                      </m:num>
                      <m:den>
                        <m:r>
                          <a:rPr lang="en-US" sz="1100" b="0" i="1">
                            <a:solidFill>
                              <a:schemeClr val="tx1"/>
                            </a:solidFill>
                            <a:effectLst/>
                            <a:latin typeface="Cambria Math" panose="02040503050406030204" pitchFamily="18" charset="0"/>
                            <a:ea typeface="+mn-ea"/>
                            <a:cs typeface="+mn-cs"/>
                          </a:rPr>
                          <m:t>540</m:t>
                        </m:r>
                      </m:den>
                    </m:f>
                  </m:oMath>
                </m:oMathPara>
              </a14:m>
              <a:endParaRPr lang="sk-SK" sz="1400" kern="1200"/>
            </a:p>
          </xdr:txBody>
        </xdr:sp>
      </mc:Choice>
      <mc:Fallback xmlns="">
        <xdr:sp macro="" textlink="">
          <xdr:nvSpPr>
            <xdr:cNvPr id="79" name="BlokTextu 4">
              <a:extLst>
                <a:ext uri="{FF2B5EF4-FFF2-40B4-BE49-F238E27FC236}">
                  <a16:creationId xmlns:a16="http://schemas.microsoft.com/office/drawing/2014/main" id="{2BAC7EE6-A315-4FFD-9D9C-6CBB26C9A9FE}"/>
                </a:ext>
              </a:extLst>
            </xdr:cNvPr>
            <xdr:cNvSpPr txBox="1"/>
          </xdr:nvSpPr>
          <xdr:spPr>
            <a:xfrm>
              <a:off x="314325" y="962025"/>
              <a:ext cx="884973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sk-SK" sz="1400" b="0" i="0" kern="1200">
                  <a:latin typeface="Cambria Math" panose="02040503050406030204" pitchFamily="18" charset="0"/>
                </a:rPr>
                <a:t>𝑓_𝐿  (𝑥_1, 𝑥_2</a:t>
              </a:r>
              <a:r>
                <a:rPr lang="en-US" sz="1400" b="0" i="0" kern="1200">
                  <a:latin typeface="Cambria Math" panose="02040503050406030204" pitchFamily="18" charset="0"/>
                </a:rPr>
                <a:t>,𝑥</a:t>
              </a:r>
              <a:r>
                <a:rPr lang="en-US" sz="1400" b="0" i="0" kern="1200" baseline="-25000">
                  <a:latin typeface="Cambria Math" panose="02040503050406030204" pitchFamily="18" charset="0"/>
                </a:rPr>
                <a:t>3</a:t>
              </a:r>
              <a:r>
                <a:rPr lang="sk-SK" sz="1400" b="0" i="0" kern="1200" baseline="-25000">
                  <a:latin typeface="Cambria Math" panose="02040503050406030204" pitchFamily="18" charset="0"/>
                </a:rPr>
                <a:t>)</a:t>
              </a:r>
              <a:r>
                <a:rPr lang="sk-SK" sz="1400" b="0" i="0" kern="1200">
                  <a:latin typeface="Cambria Math" panose="02040503050406030204" pitchFamily="18" charset="0"/>
                </a:rPr>
                <a:t>=</a:t>
              </a:r>
              <a:r>
                <a:rPr lang="en-US" sz="1400" b="0" i="0" kern="1200">
                  <a:latin typeface="Cambria Math" panose="02040503050406030204" pitchFamily="18" charset="0"/>
                </a:rPr>
                <a:t>508,375</a:t>
              </a:r>
              <a:r>
                <a:rPr lang="sk-SK" sz="1400" b="0" i="0" kern="1200">
                  <a:latin typeface="Cambria Math" panose="02040503050406030204" pitchFamily="18" charset="0"/>
                </a:rPr>
                <a:t>+</a:t>
              </a:r>
              <a:r>
                <a:rPr lang="en-US" sz="1400" b="0" i="0" kern="1200">
                  <a:latin typeface="Cambria Math" panose="02040503050406030204" pitchFamily="18" charset="0"/>
                </a:rPr>
                <a:t>60,125</a:t>
              </a:r>
              <a:r>
                <a:rPr lang="sk-SK" sz="1400" b="0" i="0" kern="1200">
                  <a:latin typeface="Cambria Math" panose="02040503050406030204" pitchFamily="18" charset="0"/>
                </a:rPr>
                <a:t>  (𝑥_1−</a:t>
              </a:r>
              <a:r>
                <a:rPr lang="en-US" sz="1400" b="0" i="0" kern="1200">
                  <a:latin typeface="Cambria Math" panose="02040503050406030204" pitchFamily="18" charset="0"/>
                </a:rPr>
                <a:t>29,5</a:t>
              </a:r>
              <a:r>
                <a:rPr lang="sk-SK" sz="1400" b="0" i="0" kern="1200">
                  <a:latin typeface="Cambria Math" panose="02040503050406030204" pitchFamily="18" charset="0"/>
                </a:rPr>
                <a:t>)/</a:t>
              </a:r>
              <a:r>
                <a:rPr lang="en-US" sz="1400" b="0" i="0" kern="1200">
                  <a:latin typeface="Cambria Math" panose="02040503050406030204" pitchFamily="18" charset="0"/>
                </a:rPr>
                <a:t>2,5</a:t>
              </a:r>
              <a:r>
                <a:rPr lang="sk-SK" sz="1400" b="0" i="0" kern="1200">
                  <a:latin typeface="Cambria Math" panose="02040503050406030204" pitchFamily="18" charset="0"/>
                </a:rPr>
                <a:t>+</a:t>
              </a:r>
              <a:r>
                <a:rPr lang="en-US" sz="1400" b="0" i="0" kern="1200">
                  <a:latin typeface="Cambria Math" panose="02040503050406030204" pitchFamily="18" charset="0"/>
                </a:rPr>
                <a:t>118,75</a:t>
              </a:r>
              <a:r>
                <a:rPr lang="sk-SK" sz="1400" b="0" i="0" kern="1200">
                  <a:latin typeface="Cambria Math" panose="02040503050406030204" pitchFamily="18" charset="0"/>
                </a:rPr>
                <a:t> </a:t>
              </a:r>
              <a:r>
                <a:rPr lang="sk-SK" sz="1200" b="0" i="0">
                  <a:solidFill>
                    <a:schemeClr val="tx1"/>
                  </a:solidFill>
                  <a:effectLst/>
                  <a:latin typeface="Cambria Math" panose="02040503050406030204" pitchFamily="18" charset="0"/>
                  <a:ea typeface="+mn-ea"/>
                  <a:cs typeface="+mn-cs"/>
                </a:rPr>
                <a:t> (𝑥_2−</a:t>
              </a:r>
              <a:r>
                <a:rPr lang="en-US" sz="1200" b="0" i="0">
                  <a:solidFill>
                    <a:schemeClr val="tx1"/>
                  </a:solidFill>
                  <a:effectLst/>
                  <a:latin typeface="Cambria Math" panose="02040503050406030204" pitchFamily="18" charset="0"/>
                  <a:ea typeface="+mn-ea"/>
                  <a:cs typeface="+mn-cs"/>
                </a:rPr>
                <a:t>210</a:t>
              </a:r>
              <a:r>
                <a:rPr lang="sk-SK" sz="1200" b="0" i="0">
                  <a:solidFill>
                    <a:schemeClr val="tx1"/>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30+293,12</a:t>
              </a:r>
              <a:r>
                <a:rPr lang="sk-SK" sz="1100" b="0" i="0">
                  <a:solidFill>
                    <a:schemeClr val="tx1"/>
                  </a:solidFill>
                  <a:effectLst/>
                  <a:latin typeface="+mn-lt"/>
                  <a:ea typeface="+mn-ea"/>
                  <a:cs typeface="+mn-cs"/>
                </a:rPr>
                <a:t>  (𝑥_</a:t>
              </a:r>
              <a:r>
                <a:rPr lang="en-US" sz="1100" b="0" i="0">
                  <a:solidFill>
                    <a:schemeClr val="tx1"/>
                  </a:solidFill>
                  <a:effectLst/>
                  <a:latin typeface="Cambria Math" panose="02040503050406030204" pitchFamily="18" charset="0"/>
                  <a:ea typeface="+mn-ea"/>
                  <a:cs typeface="+mn-cs"/>
                </a:rPr>
                <a:t>3</a:t>
              </a:r>
              <a:r>
                <a:rPr lang="sk-SK"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1620</a:t>
              </a:r>
              <a:r>
                <a:rPr lang="sk-SK"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540</a:t>
              </a:r>
              <a:r>
                <a:rPr lang="sk-SK" sz="1400" b="0" i="0" kern="1200">
                  <a:latin typeface="Cambria Math" panose="02040503050406030204" pitchFamily="18" charset="0"/>
                </a:rPr>
                <a:t>+</a:t>
              </a:r>
              <a:r>
                <a:rPr lang="en-US" sz="1400" b="0" i="0" kern="1200">
                  <a:latin typeface="Cambria Math" panose="02040503050406030204" pitchFamily="18" charset="0"/>
                </a:rPr>
                <a:t>114,25</a:t>
              </a:r>
              <a:r>
                <a:rPr lang="sk-SK" sz="1400" b="0" i="0" kern="1200">
                  <a:latin typeface="Cambria Math" panose="02040503050406030204" pitchFamily="18" charset="0"/>
                </a:rPr>
                <a:t> </a:t>
              </a:r>
              <a:r>
                <a:rPr lang="sk-SK" sz="1100" b="0" i="0">
                  <a:solidFill>
                    <a:schemeClr val="tx1"/>
                  </a:solidFill>
                  <a:effectLst/>
                  <a:latin typeface="+mn-lt"/>
                  <a:ea typeface="+mn-ea"/>
                  <a:cs typeface="+mn-cs"/>
                </a:rPr>
                <a:t> (𝑥_2−</a:t>
              </a:r>
              <a:r>
                <a:rPr lang="en-US" sz="1100" b="0" i="0">
                  <a:solidFill>
                    <a:schemeClr val="tx1"/>
                  </a:solidFill>
                  <a:effectLst/>
                  <a:latin typeface="+mn-lt"/>
                  <a:ea typeface="+mn-ea"/>
                  <a:cs typeface="+mn-cs"/>
                </a:rPr>
                <a:t>210</a:t>
              </a:r>
              <a:r>
                <a:rPr lang="sk-SK" sz="1100" b="0" i="0">
                  <a:solidFill>
                    <a:schemeClr val="tx1"/>
                  </a:solidFill>
                  <a:effectLst/>
                  <a:latin typeface="+mn-lt"/>
                  <a:ea typeface="+mn-ea"/>
                  <a:cs typeface="+mn-cs"/>
                </a:rPr>
                <a:t>)/</a:t>
              </a:r>
              <a:r>
                <a:rPr lang="en-US" sz="1100" b="0" i="0">
                  <a:solidFill>
                    <a:schemeClr val="tx1"/>
                  </a:solidFill>
                  <a:effectLst/>
                  <a:latin typeface="+mn-lt"/>
                  <a:ea typeface="+mn-ea"/>
                  <a:cs typeface="+mn-cs"/>
                </a:rPr>
                <a:t>30</a:t>
              </a:r>
              <a:r>
                <a:rPr lang="sk-SK" sz="1100" b="0" i="0">
                  <a:solidFill>
                    <a:schemeClr val="tx1"/>
                  </a:solidFill>
                  <a:effectLst/>
                  <a:latin typeface="+mn-lt"/>
                  <a:ea typeface="+mn-ea"/>
                  <a:cs typeface="+mn-cs"/>
                </a:rPr>
                <a:t>  (𝑥_</a:t>
              </a:r>
              <a:r>
                <a:rPr lang="en-US" sz="1100" b="0" i="0">
                  <a:solidFill>
                    <a:schemeClr val="tx1"/>
                  </a:solidFill>
                  <a:effectLst/>
                  <a:latin typeface="+mn-lt"/>
                  <a:ea typeface="+mn-ea"/>
                  <a:cs typeface="+mn-cs"/>
                </a:rPr>
                <a:t>3</a:t>
              </a:r>
              <a:r>
                <a:rPr lang="sk-SK" sz="1100" b="0" i="0">
                  <a:solidFill>
                    <a:schemeClr val="tx1"/>
                  </a:solidFill>
                  <a:effectLst/>
                  <a:latin typeface="+mn-lt"/>
                  <a:ea typeface="+mn-ea"/>
                  <a:cs typeface="+mn-cs"/>
                </a:rPr>
                <a:t>−</a:t>
              </a:r>
              <a:r>
                <a:rPr lang="en-US" sz="1100" b="0" i="0">
                  <a:solidFill>
                    <a:schemeClr val="tx1"/>
                  </a:solidFill>
                  <a:effectLst/>
                  <a:latin typeface="+mn-lt"/>
                  <a:ea typeface="+mn-ea"/>
                  <a:cs typeface="+mn-cs"/>
                </a:rPr>
                <a:t>1620</a:t>
              </a:r>
              <a:r>
                <a:rPr lang="sk-SK" sz="1100" b="0" i="0">
                  <a:solidFill>
                    <a:schemeClr val="tx1"/>
                  </a:solidFill>
                  <a:effectLst/>
                  <a:latin typeface="+mn-lt"/>
                  <a:ea typeface="+mn-ea"/>
                  <a:cs typeface="+mn-cs"/>
                </a:rPr>
                <a:t>)/</a:t>
              </a:r>
              <a:r>
                <a:rPr lang="en-US" sz="1100" b="0" i="0">
                  <a:solidFill>
                    <a:schemeClr val="tx1"/>
                  </a:solidFill>
                  <a:effectLst/>
                  <a:latin typeface="+mn-lt"/>
                  <a:ea typeface="+mn-ea"/>
                  <a:cs typeface="+mn-cs"/>
                </a:rPr>
                <a:t>540</a:t>
              </a:r>
              <a:endParaRPr lang="sk-SK" sz="1400" kern="1200"/>
            </a:p>
          </xdr:txBody>
        </xdr:sp>
      </mc:Fallback>
    </mc:AlternateContent>
    <xdr:clientData/>
  </xdr:oneCellAnchor>
  <xdr:oneCellAnchor>
    <xdr:from>
      <xdr:col>1</xdr:col>
      <xdr:colOff>0</xdr:colOff>
      <xdr:row>238</xdr:row>
      <xdr:rowOff>0</xdr:rowOff>
    </xdr:from>
    <xdr:ext cx="4791744" cy="1857634"/>
    <xdr:pic>
      <xdr:nvPicPr>
        <xdr:cNvPr id="80" name="Picture 79">
          <a:extLst>
            <a:ext uri="{FF2B5EF4-FFF2-40B4-BE49-F238E27FC236}">
              <a16:creationId xmlns:a16="http://schemas.microsoft.com/office/drawing/2014/main" id="{B6D9108D-5F07-4804-B683-D5011EFA8EEC}"/>
            </a:ext>
          </a:extLst>
        </xdr:cNvPr>
        <xdr:cNvPicPr>
          <a:picLocks noChangeAspect="1"/>
        </xdr:cNvPicPr>
      </xdr:nvPicPr>
      <xdr:blipFill>
        <a:blip xmlns:r="http://schemas.openxmlformats.org/officeDocument/2006/relationships" r:embed="rId5"/>
        <a:stretch>
          <a:fillRect/>
        </a:stretch>
      </xdr:blipFill>
      <xdr:spPr>
        <a:xfrm>
          <a:off x="314325" y="2095500"/>
          <a:ext cx="4791744" cy="1857634"/>
        </a:xfrm>
        <a:prstGeom prst="rect">
          <a:avLst/>
        </a:prstGeom>
      </xdr:spPr>
    </xdr:pic>
    <xdr:clientData/>
  </xdr:oneCellAnchor>
  <xdr:twoCellAnchor>
    <xdr:from>
      <xdr:col>0</xdr:col>
      <xdr:colOff>579438</xdr:colOff>
      <xdr:row>268</xdr:row>
      <xdr:rowOff>174625</xdr:rowOff>
    </xdr:from>
    <xdr:to>
      <xdr:col>3</xdr:col>
      <xdr:colOff>31750</xdr:colOff>
      <xdr:row>270</xdr:row>
      <xdr:rowOff>23813</xdr:rowOff>
    </xdr:to>
    <xdr:sp macro="" textlink="">
      <xdr:nvSpPr>
        <xdr:cNvPr id="81" name="Obdĺžnik: zaoblené rohy 1">
          <a:extLst>
            <a:ext uri="{FF2B5EF4-FFF2-40B4-BE49-F238E27FC236}">
              <a16:creationId xmlns:a16="http://schemas.microsoft.com/office/drawing/2014/main" id="{F9B93BD5-8E8C-4C0E-B791-E6AE25C565A1}"/>
            </a:ext>
          </a:extLst>
        </xdr:cNvPr>
        <xdr:cNvSpPr/>
      </xdr:nvSpPr>
      <xdr:spPr>
        <a:xfrm>
          <a:off x="579438" y="3051175"/>
          <a:ext cx="1976437" cy="230188"/>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8</xdr:col>
      <xdr:colOff>0</xdr:colOff>
      <xdr:row>268</xdr:row>
      <xdr:rowOff>166689</xdr:rowOff>
    </xdr:from>
    <xdr:to>
      <xdr:col>10</xdr:col>
      <xdr:colOff>31749</xdr:colOff>
      <xdr:row>270</xdr:row>
      <xdr:rowOff>22411</xdr:rowOff>
    </xdr:to>
    <xdr:sp macro="" textlink="">
      <xdr:nvSpPr>
        <xdr:cNvPr id="82" name="Obdĺžnik: zaoblené rohy 2">
          <a:extLst>
            <a:ext uri="{FF2B5EF4-FFF2-40B4-BE49-F238E27FC236}">
              <a16:creationId xmlns:a16="http://schemas.microsoft.com/office/drawing/2014/main" id="{47D9A03E-14FA-41C3-9F5B-6509B278C47B}"/>
            </a:ext>
          </a:extLst>
        </xdr:cNvPr>
        <xdr:cNvSpPr/>
      </xdr:nvSpPr>
      <xdr:spPr>
        <a:xfrm>
          <a:off x="6970059" y="52218013"/>
          <a:ext cx="2060014" cy="236722"/>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editAs="oneCell">
    <xdr:from>
      <xdr:col>1</xdr:col>
      <xdr:colOff>0</xdr:colOff>
      <xdr:row>291</xdr:row>
      <xdr:rowOff>0</xdr:rowOff>
    </xdr:from>
    <xdr:to>
      <xdr:col>3</xdr:col>
      <xdr:colOff>134829</xdr:colOff>
      <xdr:row>294</xdr:row>
      <xdr:rowOff>133448</xdr:rowOff>
    </xdr:to>
    <xdr:pic>
      <xdr:nvPicPr>
        <xdr:cNvPr id="83" name="Picture 82">
          <a:extLst>
            <a:ext uri="{FF2B5EF4-FFF2-40B4-BE49-F238E27FC236}">
              <a16:creationId xmlns:a16="http://schemas.microsoft.com/office/drawing/2014/main" id="{5C1AF8E5-0F34-4FA3-947F-662A33F4E146}"/>
            </a:ext>
          </a:extLst>
        </xdr:cNvPr>
        <xdr:cNvPicPr>
          <a:picLocks noChangeAspect="1"/>
        </xdr:cNvPicPr>
      </xdr:nvPicPr>
      <xdr:blipFill>
        <a:blip xmlns:r="http://schemas.openxmlformats.org/officeDocument/2006/relationships" r:embed="rId6"/>
        <a:stretch>
          <a:fillRect/>
        </a:stretch>
      </xdr:blipFill>
      <xdr:spPr>
        <a:xfrm>
          <a:off x="280147" y="56500059"/>
          <a:ext cx="2572109" cy="704948"/>
        </a:xfrm>
        <a:prstGeom prst="rect">
          <a:avLst/>
        </a:prstGeom>
        <a:ln>
          <a:solidFill>
            <a:sysClr val="windowText" lastClr="000000"/>
          </a:solidFill>
        </a:ln>
      </xdr:spPr>
    </xdr:pic>
    <xdr:clientData/>
  </xdr:twoCellAnchor>
  <xdr:twoCellAnchor editAs="oneCell">
    <xdr:from>
      <xdr:col>3</xdr:col>
      <xdr:colOff>914399</xdr:colOff>
      <xdr:row>291</xdr:row>
      <xdr:rowOff>0</xdr:rowOff>
    </xdr:from>
    <xdr:to>
      <xdr:col>5</xdr:col>
      <xdr:colOff>1091821</xdr:colOff>
      <xdr:row>294</xdr:row>
      <xdr:rowOff>133350</xdr:rowOff>
    </xdr:to>
    <xdr:pic>
      <xdr:nvPicPr>
        <xdr:cNvPr id="84" name="Picture 83">
          <a:extLst>
            <a:ext uri="{FF2B5EF4-FFF2-40B4-BE49-F238E27FC236}">
              <a16:creationId xmlns:a16="http://schemas.microsoft.com/office/drawing/2014/main" id="{01A52A90-0EF4-47B7-AE15-B1F355124B28}"/>
            </a:ext>
          </a:extLst>
        </xdr:cNvPr>
        <xdr:cNvPicPr>
          <a:picLocks noChangeAspect="1"/>
        </xdr:cNvPicPr>
      </xdr:nvPicPr>
      <xdr:blipFill>
        <a:blip xmlns:r="http://schemas.openxmlformats.org/officeDocument/2006/relationships" r:embed="rId7"/>
        <a:stretch>
          <a:fillRect/>
        </a:stretch>
      </xdr:blipFill>
      <xdr:spPr>
        <a:xfrm>
          <a:off x="3276599" y="56454675"/>
          <a:ext cx="2658885" cy="704850"/>
        </a:xfrm>
        <a:prstGeom prst="rect">
          <a:avLst/>
        </a:prstGeom>
        <a:ln>
          <a:solidFill>
            <a:sysClr val="windowText" lastClr="000000"/>
          </a:solidFill>
        </a:ln>
      </xdr:spPr>
    </xdr:pic>
    <xdr:clientData/>
  </xdr:twoCellAnchor>
  <xdr:twoCellAnchor>
    <xdr:from>
      <xdr:col>10</xdr:col>
      <xdr:colOff>879928</xdr:colOff>
      <xdr:row>312</xdr:row>
      <xdr:rowOff>1</xdr:rowOff>
    </xdr:from>
    <xdr:to>
      <xdr:col>18</xdr:col>
      <xdr:colOff>2</xdr:colOff>
      <xdr:row>313</xdr:row>
      <xdr:rowOff>27214</xdr:rowOff>
    </xdr:to>
    <xdr:sp macro="" textlink="">
      <xdr:nvSpPr>
        <xdr:cNvPr id="88" name="Obdĺžnik: zaoblené rohy 18">
          <a:extLst>
            <a:ext uri="{FF2B5EF4-FFF2-40B4-BE49-F238E27FC236}">
              <a16:creationId xmlns:a16="http://schemas.microsoft.com/office/drawing/2014/main" id="{571CE948-A897-46A2-A476-80D65C6D8DBC}"/>
            </a:ext>
          </a:extLst>
        </xdr:cNvPr>
        <xdr:cNvSpPr/>
      </xdr:nvSpPr>
      <xdr:spPr>
        <a:xfrm>
          <a:off x="11605078" y="20050126"/>
          <a:ext cx="5597074" cy="217713"/>
        </a:xfrm>
        <a:prstGeom prst="round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7</xdr:col>
      <xdr:colOff>3627</xdr:colOff>
      <xdr:row>334</xdr:row>
      <xdr:rowOff>181430</xdr:rowOff>
    </xdr:from>
    <xdr:to>
      <xdr:col>14</xdr:col>
      <xdr:colOff>9073</xdr:colOff>
      <xdr:row>336</xdr:row>
      <xdr:rowOff>18143</xdr:rowOff>
    </xdr:to>
    <xdr:sp macro="" textlink="">
      <xdr:nvSpPr>
        <xdr:cNvPr id="89" name="Obdĺžnik: zaoblené rohy 28">
          <a:extLst>
            <a:ext uri="{FF2B5EF4-FFF2-40B4-BE49-F238E27FC236}">
              <a16:creationId xmlns:a16="http://schemas.microsoft.com/office/drawing/2014/main" id="{BCA62894-E5A9-489B-A402-6EDDB570A403}"/>
            </a:ext>
          </a:extLst>
        </xdr:cNvPr>
        <xdr:cNvSpPr/>
      </xdr:nvSpPr>
      <xdr:spPr>
        <a:xfrm>
          <a:off x="4937577" y="29689880"/>
          <a:ext cx="6672946" cy="227238"/>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9</xdr:col>
      <xdr:colOff>3627</xdr:colOff>
      <xdr:row>368</xdr:row>
      <xdr:rowOff>2</xdr:rowOff>
    </xdr:from>
    <xdr:to>
      <xdr:col>16</xdr:col>
      <xdr:colOff>9073</xdr:colOff>
      <xdr:row>369</xdr:row>
      <xdr:rowOff>27215</xdr:rowOff>
    </xdr:to>
    <xdr:sp macro="" textlink="">
      <xdr:nvSpPr>
        <xdr:cNvPr id="90" name="Obdĺžnik: zaoblené rohy 29">
          <a:extLst>
            <a:ext uri="{FF2B5EF4-FFF2-40B4-BE49-F238E27FC236}">
              <a16:creationId xmlns:a16="http://schemas.microsoft.com/office/drawing/2014/main" id="{140D5D3B-1BA6-4CBC-BDED-A4139DCB9EA2}"/>
            </a:ext>
          </a:extLst>
        </xdr:cNvPr>
        <xdr:cNvSpPr/>
      </xdr:nvSpPr>
      <xdr:spPr>
        <a:xfrm>
          <a:off x="4147002" y="37623752"/>
          <a:ext cx="6615796" cy="217713"/>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editAs="oneCell">
    <xdr:from>
      <xdr:col>1</xdr:col>
      <xdr:colOff>0</xdr:colOff>
      <xdr:row>406</xdr:row>
      <xdr:rowOff>0</xdr:rowOff>
    </xdr:from>
    <xdr:to>
      <xdr:col>6</xdr:col>
      <xdr:colOff>322811</xdr:colOff>
      <xdr:row>428</xdr:row>
      <xdr:rowOff>123265</xdr:rowOff>
    </xdr:to>
    <xdr:pic>
      <xdr:nvPicPr>
        <xdr:cNvPr id="91" name="Picture 90">
          <a:extLst>
            <a:ext uri="{FF2B5EF4-FFF2-40B4-BE49-F238E27FC236}">
              <a16:creationId xmlns:a16="http://schemas.microsoft.com/office/drawing/2014/main" id="{8DCB6FEE-FFE8-4500-ACB0-4AEF2AD520CF}"/>
            </a:ext>
          </a:extLst>
        </xdr:cNvPr>
        <xdr:cNvPicPr>
          <a:picLocks noChangeAspect="1"/>
        </xdr:cNvPicPr>
      </xdr:nvPicPr>
      <xdr:blipFill>
        <a:blip xmlns:r="http://schemas.openxmlformats.org/officeDocument/2006/relationships" r:embed="rId8"/>
        <a:stretch>
          <a:fillRect/>
        </a:stretch>
      </xdr:blipFill>
      <xdr:spPr>
        <a:xfrm>
          <a:off x="276225" y="77990700"/>
          <a:ext cx="6471398" cy="4314265"/>
        </a:xfrm>
        <a:prstGeom prst="rect">
          <a:avLst/>
        </a:prstGeom>
      </xdr:spPr>
    </xdr:pic>
    <xdr:clientData/>
  </xdr:twoCellAnchor>
  <xdr:twoCellAnchor editAs="oneCell">
    <xdr:from>
      <xdr:col>8</xdr:col>
      <xdr:colOff>841</xdr:colOff>
      <xdr:row>405</xdr:row>
      <xdr:rowOff>200024</xdr:rowOff>
    </xdr:from>
    <xdr:to>
      <xdr:col>15</xdr:col>
      <xdr:colOff>424706</xdr:colOff>
      <xdr:row>428</xdr:row>
      <xdr:rowOff>123824</xdr:rowOff>
    </xdr:to>
    <xdr:pic>
      <xdr:nvPicPr>
        <xdr:cNvPr id="92" name="Picture 91">
          <a:extLst>
            <a:ext uri="{FF2B5EF4-FFF2-40B4-BE49-F238E27FC236}">
              <a16:creationId xmlns:a16="http://schemas.microsoft.com/office/drawing/2014/main" id="{F5BE277E-4465-471F-9BEB-232C3874D02D}"/>
            </a:ext>
          </a:extLst>
        </xdr:cNvPr>
        <xdr:cNvPicPr>
          <a:picLocks noChangeAspect="1"/>
        </xdr:cNvPicPr>
      </xdr:nvPicPr>
      <xdr:blipFill>
        <a:blip xmlns:r="http://schemas.openxmlformats.org/officeDocument/2006/relationships" r:embed="rId9"/>
        <a:stretch>
          <a:fillRect/>
        </a:stretch>
      </xdr:blipFill>
      <xdr:spPr>
        <a:xfrm>
          <a:off x="6935041" y="78009749"/>
          <a:ext cx="6472238" cy="4314825"/>
        </a:xfrm>
        <a:prstGeom prst="rect">
          <a:avLst/>
        </a:prstGeom>
      </xdr:spPr>
    </xdr:pic>
    <xdr:clientData/>
  </xdr:twoCellAnchor>
  <xdr:twoCellAnchor>
    <xdr:from>
      <xdr:col>1</xdr:col>
      <xdr:colOff>3627</xdr:colOff>
      <xdr:row>473</xdr:row>
      <xdr:rowOff>185616</xdr:rowOff>
    </xdr:from>
    <xdr:to>
      <xdr:col>8</xdr:col>
      <xdr:colOff>9073</xdr:colOff>
      <xdr:row>475</xdr:row>
      <xdr:rowOff>17445</xdr:rowOff>
    </xdr:to>
    <xdr:sp macro="" textlink="">
      <xdr:nvSpPr>
        <xdr:cNvPr id="93" name="Obdĺžnik: zaoblené rohy 49">
          <a:extLst>
            <a:ext uri="{FF2B5EF4-FFF2-40B4-BE49-F238E27FC236}">
              <a16:creationId xmlns:a16="http://schemas.microsoft.com/office/drawing/2014/main" id="{635E1B3E-26AD-4CD4-AF2D-3A877FBF7037}"/>
            </a:ext>
          </a:extLst>
        </xdr:cNvPr>
        <xdr:cNvSpPr/>
      </xdr:nvSpPr>
      <xdr:spPr>
        <a:xfrm>
          <a:off x="584652" y="47439141"/>
          <a:ext cx="6491971" cy="222354"/>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0</xdr:col>
      <xdr:colOff>595313</xdr:colOff>
      <xdr:row>521</xdr:row>
      <xdr:rowOff>7937</xdr:rowOff>
    </xdr:from>
    <xdr:to>
      <xdr:col>10</xdr:col>
      <xdr:colOff>23812</xdr:colOff>
      <xdr:row>522</xdr:row>
      <xdr:rowOff>0</xdr:rowOff>
    </xdr:to>
    <xdr:sp macro="" textlink="">
      <xdr:nvSpPr>
        <xdr:cNvPr id="114" name="Obdĺžnik: zaoblené rohy 1">
          <a:extLst>
            <a:ext uri="{FF2B5EF4-FFF2-40B4-BE49-F238E27FC236}">
              <a16:creationId xmlns:a16="http://schemas.microsoft.com/office/drawing/2014/main" id="{A6FFF300-B0B6-4C89-BE08-AF8F76DA3709}"/>
            </a:ext>
          </a:extLst>
        </xdr:cNvPr>
        <xdr:cNvSpPr/>
      </xdr:nvSpPr>
      <xdr:spPr>
        <a:xfrm>
          <a:off x="576263" y="9332912"/>
          <a:ext cx="8286749" cy="182563"/>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13</xdr:col>
      <xdr:colOff>7256</xdr:colOff>
      <xdr:row>487</xdr:row>
      <xdr:rowOff>11207</xdr:rowOff>
    </xdr:from>
    <xdr:to>
      <xdr:col>20</xdr:col>
      <xdr:colOff>0</xdr:colOff>
      <xdr:row>488</xdr:row>
      <xdr:rowOff>74706</xdr:rowOff>
    </xdr:to>
    <xdr:sp macro="" textlink="">
      <xdr:nvSpPr>
        <xdr:cNvPr id="115" name="Obdĺžnik: zaoblené rohy 2">
          <a:extLst>
            <a:ext uri="{FF2B5EF4-FFF2-40B4-BE49-F238E27FC236}">
              <a16:creationId xmlns:a16="http://schemas.microsoft.com/office/drawing/2014/main" id="{33A7D318-02B6-4C48-9B3A-CF44DFE17340}"/>
            </a:ext>
          </a:extLst>
        </xdr:cNvPr>
        <xdr:cNvSpPr/>
      </xdr:nvSpPr>
      <xdr:spPr>
        <a:xfrm>
          <a:off x="11608706" y="2525807"/>
          <a:ext cx="5593444" cy="301624"/>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10</xdr:col>
      <xdr:colOff>23812</xdr:colOff>
      <xdr:row>487</xdr:row>
      <xdr:rowOff>160618</xdr:rowOff>
    </xdr:from>
    <xdr:to>
      <xdr:col>13</xdr:col>
      <xdr:colOff>7256</xdr:colOff>
      <xdr:row>521</xdr:row>
      <xdr:rowOff>99219</xdr:rowOff>
    </xdr:to>
    <xdr:cxnSp macro="">
      <xdr:nvCxnSpPr>
        <xdr:cNvPr id="116" name="Rovná spojovacia šípka 4">
          <a:extLst>
            <a:ext uri="{FF2B5EF4-FFF2-40B4-BE49-F238E27FC236}">
              <a16:creationId xmlns:a16="http://schemas.microsoft.com/office/drawing/2014/main" id="{3BB4CE31-D558-4230-9080-42C8FA5A4362}"/>
            </a:ext>
          </a:extLst>
        </xdr:cNvPr>
        <xdr:cNvCxnSpPr>
          <a:cxnSpLocks/>
          <a:stCxn id="114" idx="3"/>
          <a:endCxn id="115" idx="1"/>
        </xdr:cNvCxnSpPr>
      </xdr:nvCxnSpPr>
      <xdr:spPr>
        <a:xfrm flipV="1">
          <a:off x="8863012" y="2675218"/>
          <a:ext cx="2745694" cy="6748976"/>
        </a:xfrm>
        <a:prstGeom prst="straightConnector1">
          <a:avLst/>
        </a:prstGeom>
        <a:ln w="19050" cap="flat" cmpd="sng" algn="ctr">
          <a:solidFill>
            <a:schemeClr val="accent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21166</xdr:colOff>
      <xdr:row>495</xdr:row>
      <xdr:rowOff>1</xdr:rowOff>
    </xdr:from>
    <xdr:to>
      <xdr:col>20</xdr:col>
      <xdr:colOff>1</xdr:colOff>
      <xdr:row>496</xdr:row>
      <xdr:rowOff>0</xdr:rowOff>
    </xdr:to>
    <xdr:sp macro="" textlink="">
      <xdr:nvSpPr>
        <xdr:cNvPr id="117" name="Obdĺžnik: zaoblené rohy 7">
          <a:extLst>
            <a:ext uri="{FF2B5EF4-FFF2-40B4-BE49-F238E27FC236}">
              <a16:creationId xmlns:a16="http://schemas.microsoft.com/office/drawing/2014/main" id="{E68DC390-AFE7-424C-97A2-20D1EAE76D47}"/>
            </a:ext>
          </a:extLst>
        </xdr:cNvPr>
        <xdr:cNvSpPr/>
      </xdr:nvSpPr>
      <xdr:spPr>
        <a:xfrm>
          <a:off x="11622616" y="4124326"/>
          <a:ext cx="5579535" cy="228599"/>
        </a:xfrm>
        <a:prstGeom prst="round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0</xdr:col>
      <xdr:colOff>590903</xdr:colOff>
      <xdr:row>522</xdr:row>
      <xdr:rowOff>26459</xdr:rowOff>
    </xdr:from>
    <xdr:to>
      <xdr:col>10</xdr:col>
      <xdr:colOff>19402</xdr:colOff>
      <xdr:row>523</xdr:row>
      <xdr:rowOff>18521</xdr:rowOff>
    </xdr:to>
    <xdr:sp macro="" textlink="">
      <xdr:nvSpPr>
        <xdr:cNvPr id="118" name="Obdĺžnik: zaoblené rohy 8">
          <a:extLst>
            <a:ext uri="{FF2B5EF4-FFF2-40B4-BE49-F238E27FC236}">
              <a16:creationId xmlns:a16="http://schemas.microsoft.com/office/drawing/2014/main" id="{37466C83-4151-45D1-9668-B8EE99DCE031}"/>
            </a:ext>
          </a:extLst>
        </xdr:cNvPr>
        <xdr:cNvSpPr/>
      </xdr:nvSpPr>
      <xdr:spPr>
        <a:xfrm>
          <a:off x="581378" y="9541934"/>
          <a:ext cx="8277224" cy="182562"/>
        </a:xfrm>
        <a:prstGeom prst="round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10</xdr:col>
      <xdr:colOff>19402</xdr:colOff>
      <xdr:row>495</xdr:row>
      <xdr:rowOff>112059</xdr:rowOff>
    </xdr:from>
    <xdr:to>
      <xdr:col>13</xdr:col>
      <xdr:colOff>21166</xdr:colOff>
      <xdr:row>522</xdr:row>
      <xdr:rowOff>117740</xdr:rowOff>
    </xdr:to>
    <xdr:cxnSp macro="">
      <xdr:nvCxnSpPr>
        <xdr:cNvPr id="119" name="Rovná spojovacia šípka 9">
          <a:extLst>
            <a:ext uri="{FF2B5EF4-FFF2-40B4-BE49-F238E27FC236}">
              <a16:creationId xmlns:a16="http://schemas.microsoft.com/office/drawing/2014/main" id="{CF01E6A9-4D15-44FA-941E-B7B98F549A2E}"/>
            </a:ext>
          </a:extLst>
        </xdr:cNvPr>
        <xdr:cNvCxnSpPr>
          <a:cxnSpLocks/>
          <a:stCxn id="118" idx="3"/>
          <a:endCxn id="117" idx="1"/>
        </xdr:cNvCxnSpPr>
      </xdr:nvCxnSpPr>
      <xdr:spPr>
        <a:xfrm flipV="1">
          <a:off x="8858602" y="4236384"/>
          <a:ext cx="2764014" cy="5396831"/>
        </a:xfrm>
        <a:prstGeom prst="straightConnector1">
          <a:avLst/>
        </a:prstGeom>
        <a:ln w="19050"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10583</xdr:colOff>
      <xdr:row>503</xdr:row>
      <xdr:rowOff>8822</xdr:rowOff>
    </xdr:from>
    <xdr:to>
      <xdr:col>20</xdr:col>
      <xdr:colOff>5334</xdr:colOff>
      <xdr:row>504</xdr:row>
      <xdr:rowOff>74085</xdr:rowOff>
    </xdr:to>
    <xdr:sp macro="" textlink="">
      <xdr:nvSpPr>
        <xdr:cNvPr id="120" name="Obdĺžnik: zaoblené rohy 13">
          <a:extLst>
            <a:ext uri="{FF2B5EF4-FFF2-40B4-BE49-F238E27FC236}">
              <a16:creationId xmlns:a16="http://schemas.microsoft.com/office/drawing/2014/main" id="{9070419D-364E-49CC-9BA0-A35B354238F7}"/>
            </a:ext>
          </a:extLst>
        </xdr:cNvPr>
        <xdr:cNvSpPr/>
      </xdr:nvSpPr>
      <xdr:spPr>
        <a:xfrm>
          <a:off x="11612033" y="5733347"/>
          <a:ext cx="5595451" cy="293863"/>
        </a:xfrm>
        <a:prstGeom prst="round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0</xdr:col>
      <xdr:colOff>590903</xdr:colOff>
      <xdr:row>523</xdr:row>
      <xdr:rowOff>35278</xdr:rowOff>
    </xdr:from>
    <xdr:to>
      <xdr:col>10</xdr:col>
      <xdr:colOff>19402</xdr:colOff>
      <xdr:row>524</xdr:row>
      <xdr:rowOff>44978</xdr:rowOff>
    </xdr:to>
    <xdr:sp macro="" textlink="">
      <xdr:nvSpPr>
        <xdr:cNvPr id="121" name="Obdĺžnik: zaoblené rohy 14">
          <a:extLst>
            <a:ext uri="{FF2B5EF4-FFF2-40B4-BE49-F238E27FC236}">
              <a16:creationId xmlns:a16="http://schemas.microsoft.com/office/drawing/2014/main" id="{82EA8DB3-ECF4-4BD9-8E4D-EDDA4B4D9897}"/>
            </a:ext>
          </a:extLst>
        </xdr:cNvPr>
        <xdr:cNvSpPr/>
      </xdr:nvSpPr>
      <xdr:spPr>
        <a:xfrm>
          <a:off x="581378" y="9741253"/>
          <a:ext cx="8277224" cy="200200"/>
        </a:xfrm>
        <a:prstGeom prst="round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10</xdr:col>
      <xdr:colOff>19402</xdr:colOff>
      <xdr:row>503</xdr:row>
      <xdr:rowOff>153512</xdr:rowOff>
    </xdr:from>
    <xdr:to>
      <xdr:col>13</xdr:col>
      <xdr:colOff>10583</xdr:colOff>
      <xdr:row>523</xdr:row>
      <xdr:rowOff>135378</xdr:rowOff>
    </xdr:to>
    <xdr:cxnSp macro="">
      <xdr:nvCxnSpPr>
        <xdr:cNvPr id="122" name="Rovná spojovacia šípka 15">
          <a:extLst>
            <a:ext uri="{FF2B5EF4-FFF2-40B4-BE49-F238E27FC236}">
              <a16:creationId xmlns:a16="http://schemas.microsoft.com/office/drawing/2014/main" id="{C2C1B464-F8CB-4302-A215-437810CDE84D}"/>
            </a:ext>
          </a:extLst>
        </xdr:cNvPr>
        <xdr:cNvCxnSpPr>
          <a:cxnSpLocks/>
          <a:stCxn id="121" idx="3"/>
          <a:endCxn id="120" idx="1"/>
        </xdr:cNvCxnSpPr>
      </xdr:nvCxnSpPr>
      <xdr:spPr>
        <a:xfrm flipV="1">
          <a:off x="8858602" y="5878037"/>
          <a:ext cx="2753431" cy="3963316"/>
        </a:xfrm>
        <a:prstGeom prst="straightConnector1">
          <a:avLst/>
        </a:prstGeom>
        <a:ln w="19050" cap="flat" cmpd="sng" algn="ctr">
          <a:solidFill>
            <a:schemeClr val="accent3"/>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6101</xdr:colOff>
      <xdr:row>510</xdr:row>
      <xdr:rowOff>199321</xdr:rowOff>
    </xdr:from>
    <xdr:to>
      <xdr:col>19</xdr:col>
      <xdr:colOff>773206</xdr:colOff>
      <xdr:row>512</xdr:row>
      <xdr:rowOff>62878</xdr:rowOff>
    </xdr:to>
    <xdr:sp macro="" textlink="">
      <xdr:nvSpPr>
        <xdr:cNvPr id="123" name="Obdĺžnik: zaoblené rohy 13">
          <a:extLst>
            <a:ext uri="{FF2B5EF4-FFF2-40B4-BE49-F238E27FC236}">
              <a16:creationId xmlns:a16="http://schemas.microsoft.com/office/drawing/2014/main" id="{2A243243-32E7-45A3-A961-D14DCDB7F7A9}"/>
            </a:ext>
          </a:extLst>
        </xdr:cNvPr>
        <xdr:cNvSpPr/>
      </xdr:nvSpPr>
      <xdr:spPr>
        <a:xfrm>
          <a:off x="10909425" y="98575762"/>
          <a:ext cx="6314016" cy="300587"/>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xdr:col>
      <xdr:colOff>8197</xdr:colOff>
      <xdr:row>524</xdr:row>
      <xdr:rowOff>41192</xdr:rowOff>
    </xdr:from>
    <xdr:to>
      <xdr:col>10</xdr:col>
      <xdr:colOff>28927</xdr:colOff>
      <xdr:row>525</xdr:row>
      <xdr:rowOff>39686</xdr:rowOff>
    </xdr:to>
    <xdr:sp macro="" textlink="">
      <xdr:nvSpPr>
        <xdr:cNvPr id="124" name="Obdĺžnik: zaoblené rohy 14">
          <a:extLst>
            <a:ext uri="{FF2B5EF4-FFF2-40B4-BE49-F238E27FC236}">
              <a16:creationId xmlns:a16="http://schemas.microsoft.com/office/drawing/2014/main" id="{3BFAA0AC-DED4-4EC9-BE76-6B79DF3F260B}"/>
            </a:ext>
          </a:extLst>
        </xdr:cNvPr>
        <xdr:cNvSpPr/>
      </xdr:nvSpPr>
      <xdr:spPr>
        <a:xfrm>
          <a:off x="589222" y="9937667"/>
          <a:ext cx="8278905" cy="198519"/>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sk-SK" sz="1100" kern="1200"/>
        </a:p>
      </xdr:txBody>
    </xdr:sp>
    <xdr:clientData/>
  </xdr:twoCellAnchor>
  <xdr:twoCellAnchor>
    <xdr:from>
      <xdr:col>10</xdr:col>
      <xdr:colOff>28927</xdr:colOff>
      <xdr:row>511</xdr:row>
      <xdr:rowOff>147909</xdr:rowOff>
    </xdr:from>
    <xdr:to>
      <xdr:col>13</xdr:col>
      <xdr:colOff>6101</xdr:colOff>
      <xdr:row>524</xdr:row>
      <xdr:rowOff>141292</xdr:rowOff>
    </xdr:to>
    <xdr:cxnSp macro="">
      <xdr:nvCxnSpPr>
        <xdr:cNvPr id="125" name="Rovná spojovacia šípka 15">
          <a:extLst>
            <a:ext uri="{FF2B5EF4-FFF2-40B4-BE49-F238E27FC236}">
              <a16:creationId xmlns:a16="http://schemas.microsoft.com/office/drawing/2014/main" id="{9948AFA5-4F8F-4AAA-A3AC-2E9D0350A507}"/>
            </a:ext>
          </a:extLst>
        </xdr:cNvPr>
        <xdr:cNvCxnSpPr>
          <a:cxnSpLocks/>
          <a:stCxn id="124" idx="3"/>
          <a:endCxn id="123" idx="1"/>
        </xdr:cNvCxnSpPr>
      </xdr:nvCxnSpPr>
      <xdr:spPr>
        <a:xfrm flipV="1">
          <a:off x="9116898" y="98726056"/>
          <a:ext cx="1792527" cy="2559530"/>
        </a:xfrm>
        <a:prstGeom prst="straightConnector1">
          <a:avLst/>
        </a:prstGeom>
        <a:ln w="19050" cap="flat" cmpd="sng" algn="ctr">
          <a:solidFill>
            <a:schemeClr val="accent5"/>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0</xdr:colOff>
      <xdr:row>542</xdr:row>
      <xdr:rowOff>0</xdr:rowOff>
    </xdr:from>
    <xdr:to>
      <xdr:col>10</xdr:col>
      <xdr:colOff>40820</xdr:colOff>
      <xdr:row>558</xdr:row>
      <xdr:rowOff>117475</xdr:rowOff>
    </xdr:to>
    <xdr:graphicFrame macro="">
      <xdr:nvGraphicFramePr>
        <xdr:cNvPr id="127" name="Graf 7">
          <a:extLst>
            <a:ext uri="{FF2B5EF4-FFF2-40B4-BE49-F238E27FC236}">
              <a16:creationId xmlns:a16="http://schemas.microsoft.com/office/drawing/2014/main" id="{03677AF0-2AB7-4794-B5EB-AB991E81C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568</xdr:row>
      <xdr:rowOff>0</xdr:rowOff>
    </xdr:from>
    <xdr:to>
      <xdr:col>10</xdr:col>
      <xdr:colOff>40820</xdr:colOff>
      <xdr:row>584</xdr:row>
      <xdr:rowOff>117475</xdr:rowOff>
    </xdr:to>
    <xdr:graphicFrame macro="">
      <xdr:nvGraphicFramePr>
        <xdr:cNvPr id="128" name="Graf 8">
          <a:extLst>
            <a:ext uri="{FF2B5EF4-FFF2-40B4-BE49-F238E27FC236}">
              <a16:creationId xmlns:a16="http://schemas.microsoft.com/office/drawing/2014/main" id="{F7471CD9-952F-4A9B-973F-A660E5117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594</xdr:row>
      <xdr:rowOff>0</xdr:rowOff>
    </xdr:from>
    <xdr:to>
      <xdr:col>10</xdr:col>
      <xdr:colOff>40820</xdr:colOff>
      <xdr:row>610</xdr:row>
      <xdr:rowOff>117475</xdr:rowOff>
    </xdr:to>
    <xdr:graphicFrame macro="">
      <xdr:nvGraphicFramePr>
        <xdr:cNvPr id="129" name="Graf 9">
          <a:extLst>
            <a:ext uri="{FF2B5EF4-FFF2-40B4-BE49-F238E27FC236}">
              <a16:creationId xmlns:a16="http://schemas.microsoft.com/office/drawing/2014/main" id="{26E6B45B-5912-4176-B449-A20E736C2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321583</xdr:colOff>
      <xdr:row>633</xdr:row>
      <xdr:rowOff>34924</xdr:rowOff>
    </xdr:from>
    <xdr:to>
      <xdr:col>9</xdr:col>
      <xdr:colOff>362403</xdr:colOff>
      <xdr:row>649</xdr:row>
      <xdr:rowOff>136524</xdr:rowOff>
    </xdr:to>
    <xdr:graphicFrame macro="">
      <xdr:nvGraphicFramePr>
        <xdr:cNvPr id="136" name="Graf 1">
          <a:extLst>
            <a:ext uri="{FF2B5EF4-FFF2-40B4-BE49-F238E27FC236}">
              <a16:creationId xmlns:a16="http://schemas.microsoft.com/office/drawing/2014/main" id="{CB1C5A04-3B67-4E29-A7D1-CF534EE0C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317500</xdr:colOff>
      <xdr:row>651</xdr:row>
      <xdr:rowOff>27214</xdr:rowOff>
    </xdr:from>
    <xdr:to>
      <xdr:col>9</xdr:col>
      <xdr:colOff>358320</xdr:colOff>
      <xdr:row>667</xdr:row>
      <xdr:rowOff>119743</xdr:rowOff>
    </xdr:to>
    <xdr:graphicFrame macro="">
      <xdr:nvGraphicFramePr>
        <xdr:cNvPr id="137" name="Graf 2">
          <a:extLst>
            <a:ext uri="{FF2B5EF4-FFF2-40B4-BE49-F238E27FC236}">
              <a16:creationId xmlns:a16="http://schemas.microsoft.com/office/drawing/2014/main" id="{5AE99D13-2A55-48EB-851D-5B74614A6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331108</xdr:colOff>
      <xdr:row>633</xdr:row>
      <xdr:rowOff>25399</xdr:rowOff>
    </xdr:from>
    <xdr:to>
      <xdr:col>19</xdr:col>
      <xdr:colOff>371928</xdr:colOff>
      <xdr:row>649</xdr:row>
      <xdr:rowOff>126999</xdr:rowOff>
    </xdr:to>
    <xdr:graphicFrame macro="">
      <xdr:nvGraphicFramePr>
        <xdr:cNvPr id="138" name="Graf 3">
          <a:extLst>
            <a:ext uri="{FF2B5EF4-FFF2-40B4-BE49-F238E27FC236}">
              <a16:creationId xmlns:a16="http://schemas.microsoft.com/office/drawing/2014/main" id="{939C3FE9-5BF5-4C71-B39B-82B27354F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317500</xdr:colOff>
      <xdr:row>651</xdr:row>
      <xdr:rowOff>27214</xdr:rowOff>
    </xdr:from>
    <xdr:to>
      <xdr:col>19</xdr:col>
      <xdr:colOff>358320</xdr:colOff>
      <xdr:row>667</xdr:row>
      <xdr:rowOff>119743</xdr:rowOff>
    </xdr:to>
    <xdr:graphicFrame macro="">
      <xdr:nvGraphicFramePr>
        <xdr:cNvPr id="139" name="Graf 4">
          <a:extLst>
            <a:ext uri="{FF2B5EF4-FFF2-40B4-BE49-F238E27FC236}">
              <a16:creationId xmlns:a16="http://schemas.microsoft.com/office/drawing/2014/main" id="{4399276B-453C-4B59-88D6-678A66950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331108</xdr:colOff>
      <xdr:row>633</xdr:row>
      <xdr:rowOff>25399</xdr:rowOff>
    </xdr:from>
    <xdr:to>
      <xdr:col>29</xdr:col>
      <xdr:colOff>371928</xdr:colOff>
      <xdr:row>649</xdr:row>
      <xdr:rowOff>126999</xdr:rowOff>
    </xdr:to>
    <xdr:graphicFrame macro="">
      <xdr:nvGraphicFramePr>
        <xdr:cNvPr id="140" name="Graf 5">
          <a:extLst>
            <a:ext uri="{FF2B5EF4-FFF2-40B4-BE49-F238E27FC236}">
              <a16:creationId xmlns:a16="http://schemas.microsoft.com/office/drawing/2014/main" id="{C2593F27-160F-4B83-89A4-18497DEED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317500</xdr:colOff>
      <xdr:row>651</xdr:row>
      <xdr:rowOff>27214</xdr:rowOff>
    </xdr:from>
    <xdr:to>
      <xdr:col>29</xdr:col>
      <xdr:colOff>358320</xdr:colOff>
      <xdr:row>667</xdr:row>
      <xdr:rowOff>119743</xdr:rowOff>
    </xdr:to>
    <xdr:graphicFrame macro="">
      <xdr:nvGraphicFramePr>
        <xdr:cNvPr id="141" name="Graf 6">
          <a:extLst>
            <a:ext uri="{FF2B5EF4-FFF2-40B4-BE49-F238E27FC236}">
              <a16:creationId xmlns:a16="http://schemas.microsoft.com/office/drawing/2014/main" id="{D696A5E5-26E0-46A2-85A7-BA229929E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673</xdr:row>
      <xdr:rowOff>0</xdr:rowOff>
    </xdr:from>
    <xdr:to>
      <xdr:col>8</xdr:col>
      <xdr:colOff>212911</xdr:colOff>
      <xdr:row>701</xdr:row>
      <xdr:rowOff>93381</xdr:rowOff>
    </xdr:to>
    <xdr:pic>
      <xdr:nvPicPr>
        <xdr:cNvPr id="142" name="Picture 141">
          <a:extLst>
            <a:ext uri="{FF2B5EF4-FFF2-40B4-BE49-F238E27FC236}">
              <a16:creationId xmlns:a16="http://schemas.microsoft.com/office/drawing/2014/main" id="{9BE5111E-812A-4432-B917-C54CDF50DC48}"/>
            </a:ext>
          </a:extLst>
        </xdr:cNvPr>
        <xdr:cNvPicPr>
          <a:picLocks noChangeAspect="1"/>
        </xdr:cNvPicPr>
      </xdr:nvPicPr>
      <xdr:blipFill>
        <a:blip xmlns:r="http://schemas.openxmlformats.org/officeDocument/2006/relationships" r:embed="rId19"/>
        <a:stretch>
          <a:fillRect/>
        </a:stretch>
      </xdr:blipFill>
      <xdr:spPr>
        <a:xfrm>
          <a:off x="280147" y="129820147"/>
          <a:ext cx="8157882" cy="5438588"/>
        </a:xfrm>
        <a:prstGeom prst="rect">
          <a:avLst/>
        </a:prstGeom>
      </xdr:spPr>
    </xdr:pic>
    <xdr:clientData/>
  </xdr:twoCellAnchor>
  <xdr:twoCellAnchor editAs="oneCell">
    <xdr:from>
      <xdr:col>1</xdr:col>
      <xdr:colOff>0</xdr:colOff>
      <xdr:row>728</xdr:row>
      <xdr:rowOff>0</xdr:rowOff>
    </xdr:from>
    <xdr:to>
      <xdr:col>4</xdr:col>
      <xdr:colOff>1084949</xdr:colOff>
      <xdr:row>747</xdr:row>
      <xdr:rowOff>59965</xdr:rowOff>
    </xdr:to>
    <xdr:pic>
      <xdr:nvPicPr>
        <xdr:cNvPr id="143" name="Picture 142">
          <a:extLst>
            <a:ext uri="{FF2B5EF4-FFF2-40B4-BE49-F238E27FC236}">
              <a16:creationId xmlns:a16="http://schemas.microsoft.com/office/drawing/2014/main" id="{2A2F4883-4692-4C6F-BA55-C0E531348D43}"/>
            </a:ext>
          </a:extLst>
        </xdr:cNvPr>
        <xdr:cNvPicPr>
          <a:picLocks noChangeAspect="1"/>
        </xdr:cNvPicPr>
      </xdr:nvPicPr>
      <xdr:blipFill>
        <a:blip xmlns:r="http://schemas.openxmlformats.org/officeDocument/2006/relationships" r:embed="rId20"/>
        <a:stretch>
          <a:fillRect/>
        </a:stretch>
      </xdr:blipFill>
      <xdr:spPr>
        <a:xfrm>
          <a:off x="280147" y="140409706"/>
          <a:ext cx="4749273" cy="3679464"/>
        </a:xfrm>
        <a:prstGeom prst="rect">
          <a:avLst/>
        </a:prstGeom>
        <a:ln>
          <a:solidFill>
            <a:sysClr val="windowText" lastClr="000000"/>
          </a:solidFill>
        </a:ln>
      </xdr:spPr>
    </xdr:pic>
    <xdr:clientData/>
  </xdr:twoCellAnchor>
  <xdr:twoCellAnchor editAs="oneCell">
    <xdr:from>
      <xdr:col>9</xdr:col>
      <xdr:colOff>0</xdr:colOff>
      <xdr:row>754</xdr:row>
      <xdr:rowOff>0</xdr:rowOff>
    </xdr:from>
    <xdr:to>
      <xdr:col>10</xdr:col>
      <xdr:colOff>568743</xdr:colOff>
      <xdr:row>770</xdr:row>
      <xdr:rowOff>7884</xdr:rowOff>
    </xdr:to>
    <xdr:pic>
      <xdr:nvPicPr>
        <xdr:cNvPr id="144" name="Picture 143">
          <a:extLst>
            <a:ext uri="{FF2B5EF4-FFF2-40B4-BE49-F238E27FC236}">
              <a16:creationId xmlns:a16="http://schemas.microsoft.com/office/drawing/2014/main" id="{ED391770-4B6D-41BC-930A-F80817016C6D}"/>
            </a:ext>
          </a:extLst>
        </xdr:cNvPr>
        <xdr:cNvPicPr>
          <a:picLocks noChangeAspect="1"/>
        </xdr:cNvPicPr>
      </xdr:nvPicPr>
      <xdr:blipFill>
        <a:blip xmlns:r="http://schemas.openxmlformats.org/officeDocument/2006/relationships" r:embed="rId21"/>
        <a:stretch>
          <a:fillRect/>
        </a:stretch>
      </xdr:blipFill>
      <xdr:spPr>
        <a:xfrm>
          <a:off x="8337176" y="145385118"/>
          <a:ext cx="1622096" cy="3257589"/>
        </a:xfrm>
        <a:prstGeom prst="rect">
          <a:avLst/>
        </a:prstGeom>
        <a:ln>
          <a:solidFill>
            <a:sysClr val="windowText" lastClr="000000"/>
          </a:solidFill>
        </a:ln>
      </xdr:spPr>
    </xdr:pic>
    <xdr:clientData/>
  </xdr:twoCellAnchor>
  <xdr:twoCellAnchor editAs="oneCell">
    <xdr:from>
      <xdr:col>11</xdr:col>
      <xdr:colOff>369795</xdr:colOff>
      <xdr:row>754</xdr:row>
      <xdr:rowOff>0</xdr:rowOff>
    </xdr:from>
    <xdr:to>
      <xdr:col>13</xdr:col>
      <xdr:colOff>628698</xdr:colOff>
      <xdr:row>770</xdr:row>
      <xdr:rowOff>11206</xdr:rowOff>
    </xdr:to>
    <xdr:pic>
      <xdr:nvPicPr>
        <xdr:cNvPr id="145" name="Picture 144">
          <a:extLst>
            <a:ext uri="{FF2B5EF4-FFF2-40B4-BE49-F238E27FC236}">
              <a16:creationId xmlns:a16="http://schemas.microsoft.com/office/drawing/2014/main" id="{79FBF555-61F5-4A95-A2F9-C7C26A5FEBAB}"/>
            </a:ext>
          </a:extLst>
        </xdr:cNvPr>
        <xdr:cNvPicPr>
          <a:picLocks noChangeAspect="1"/>
        </xdr:cNvPicPr>
      </xdr:nvPicPr>
      <xdr:blipFill>
        <a:blip xmlns:r="http://schemas.openxmlformats.org/officeDocument/2006/relationships" r:embed="rId22"/>
        <a:stretch>
          <a:fillRect/>
        </a:stretch>
      </xdr:blipFill>
      <xdr:spPr>
        <a:xfrm>
          <a:off x="10365442" y="145385118"/>
          <a:ext cx="1469138" cy="3260911"/>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kola\Ing.%20Studium\1.%20semester\mmpve\DOE%20-%20B.%20Mo&#769;cikova&#769;,%20F.%20Skalsky&#769;%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danie"/>
      <sheetName val="C-plot"/>
      <sheetName val="MNŠ"/>
      <sheetName val="SUMMARY eliminated"/>
      <sheetName val="Hierarchický model"/>
      <sheetName val="Testy"/>
      <sheetName val="R-square"/>
      <sheetName val="Efekty faktorov"/>
    </sheetNames>
    <sheetDataSet>
      <sheetData sheetId="0"/>
      <sheetData sheetId="1"/>
      <sheetData sheetId="2"/>
      <sheetData sheetId="3"/>
      <sheetData sheetId="4"/>
      <sheetData sheetId="5"/>
      <sheetData sheetId="6"/>
      <sheetData sheetId="7">
        <row r="14">
          <cell r="G14">
            <v>-1</v>
          </cell>
          <cell r="H14">
            <v>1</v>
          </cell>
          <cell r="R14">
            <v>-1</v>
          </cell>
          <cell r="S14">
            <v>1</v>
          </cell>
          <cell r="AC14">
            <v>-1</v>
          </cell>
          <cell r="AD14">
            <v>1</v>
          </cell>
        </row>
        <row r="15">
          <cell r="F15">
            <v>-1</v>
          </cell>
          <cell r="G15">
            <v>306.75</v>
          </cell>
          <cell r="H15">
            <v>472.5</v>
          </cell>
          <cell r="Q15">
            <v>-1</v>
          </cell>
          <cell r="R15">
            <v>182</v>
          </cell>
          <cell r="S15">
            <v>248.5</v>
          </cell>
          <cell r="AB15">
            <v>-1</v>
          </cell>
          <cell r="AC15">
            <v>210.75</v>
          </cell>
          <cell r="AD15">
            <v>219.75</v>
          </cell>
        </row>
        <row r="16">
          <cell r="F16">
            <v>1</v>
          </cell>
          <cell r="G16">
            <v>589.75</v>
          </cell>
          <cell r="H16">
            <v>664.5</v>
          </cell>
          <cell r="Q16">
            <v>1</v>
          </cell>
          <cell r="R16">
            <v>714.5</v>
          </cell>
          <cell r="S16">
            <v>888.5</v>
          </cell>
          <cell r="AB16">
            <v>1</v>
          </cell>
          <cell r="AC16">
            <v>568.5</v>
          </cell>
          <cell r="AD16">
            <v>1034.5</v>
          </cell>
        </row>
        <row r="95">
          <cell r="E95">
            <v>-1</v>
          </cell>
          <cell r="F95">
            <v>482.28571428571428</v>
          </cell>
          <cell r="P95">
            <v>-1</v>
          </cell>
          <cell r="Q95">
            <v>389.625</v>
          </cell>
          <cell r="AA95">
            <v>-1</v>
          </cell>
          <cell r="AB95">
            <v>215.25</v>
          </cell>
        </row>
        <row r="96">
          <cell r="E96">
            <v>1</v>
          </cell>
          <cell r="F96">
            <v>568.5</v>
          </cell>
          <cell r="P96">
            <v>1</v>
          </cell>
          <cell r="Q96">
            <v>627.125</v>
          </cell>
          <cell r="AA96">
            <v>1</v>
          </cell>
          <cell r="AB96">
            <v>801.5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zoomScale="85" zoomScaleNormal="85" workbookViewId="0">
      <selection activeCell="F38" sqref="F38"/>
    </sheetView>
  </sheetViews>
  <sheetFormatPr defaultRowHeight="14.25"/>
  <cols>
    <col min="15" max="18" width="17.875" customWidth="1"/>
  </cols>
  <sheetData>
    <row r="1" spans="1:18" ht="18">
      <c r="A1" s="256" t="s">
        <v>0</v>
      </c>
      <c r="B1" s="256"/>
      <c r="C1" s="256"/>
      <c r="D1" s="256"/>
      <c r="E1" s="256"/>
      <c r="F1" s="256"/>
      <c r="G1" s="256"/>
      <c r="H1" s="256"/>
      <c r="I1" s="256"/>
      <c r="J1" s="256"/>
      <c r="K1" s="256"/>
      <c r="L1" s="256"/>
      <c r="M1" s="256"/>
      <c r="N1" s="256"/>
      <c r="O1" s="256"/>
      <c r="P1" s="256"/>
      <c r="Q1" s="256"/>
      <c r="R1" s="256"/>
    </row>
    <row r="2" spans="1:18" ht="15">
      <c r="A2" s="257" t="s">
        <v>1</v>
      </c>
      <c r="B2" s="258"/>
      <c r="C2" s="258"/>
      <c r="D2" s="258"/>
      <c r="E2" s="258"/>
      <c r="F2" s="258"/>
      <c r="G2" s="258"/>
      <c r="H2" s="258"/>
      <c r="I2" s="258"/>
      <c r="J2" s="258"/>
      <c r="K2" s="258"/>
      <c r="L2" s="258"/>
      <c r="M2" s="259"/>
      <c r="N2" s="260" t="s">
        <v>2</v>
      </c>
      <c r="O2" s="260"/>
      <c r="P2" s="260"/>
      <c r="Q2" s="260"/>
      <c r="R2" s="260"/>
    </row>
    <row r="4" spans="1:18" ht="19.5" thickBot="1">
      <c r="A4" s="261" t="s">
        <v>4</v>
      </c>
      <c r="B4" s="261"/>
      <c r="C4" s="261"/>
      <c r="D4" s="261"/>
      <c r="E4" s="261"/>
      <c r="F4" s="261"/>
      <c r="G4" s="261"/>
      <c r="H4" s="261"/>
      <c r="I4" s="261"/>
      <c r="J4" s="261"/>
      <c r="K4" s="261"/>
      <c r="L4" s="261"/>
      <c r="M4" s="261"/>
      <c r="N4" s="261"/>
      <c r="O4" s="261"/>
      <c r="P4" s="261"/>
      <c r="Q4" s="261"/>
      <c r="R4" s="261"/>
    </row>
    <row r="5" spans="1:18" ht="15.75" thickTop="1" thickBot="1"/>
    <row r="6" spans="1:18" ht="15">
      <c r="N6" s="262"/>
      <c r="O6" s="2" t="s">
        <v>5</v>
      </c>
      <c r="P6" s="3" t="s">
        <v>6</v>
      </c>
      <c r="Q6" s="3" t="s">
        <v>7</v>
      </c>
      <c r="R6" s="4" t="s">
        <v>8</v>
      </c>
    </row>
    <row r="7" spans="1:18" ht="15.75" thickBot="1">
      <c r="N7" s="262"/>
      <c r="O7" s="5" t="s">
        <v>9</v>
      </c>
      <c r="P7" s="6" t="s">
        <v>10</v>
      </c>
      <c r="Q7" s="6" t="s">
        <v>11</v>
      </c>
      <c r="R7" s="7" t="s">
        <v>12</v>
      </c>
    </row>
    <row r="8" spans="1:18" ht="15">
      <c r="N8" s="8">
        <v>1</v>
      </c>
      <c r="O8" s="9">
        <v>27</v>
      </c>
      <c r="P8" s="10">
        <v>180</v>
      </c>
      <c r="Q8" s="28">
        <v>1080</v>
      </c>
      <c r="R8" s="32">
        <v>186</v>
      </c>
    </row>
    <row r="9" spans="1:18" ht="15">
      <c r="N9" s="13">
        <v>2</v>
      </c>
      <c r="O9" s="14">
        <v>32</v>
      </c>
      <c r="P9" s="15">
        <v>180</v>
      </c>
      <c r="Q9" s="29">
        <v>1080</v>
      </c>
      <c r="R9" s="33">
        <v>242</v>
      </c>
    </row>
    <row r="10" spans="1:18" ht="15">
      <c r="N10" s="13">
        <v>3</v>
      </c>
      <c r="O10" s="14">
        <v>27</v>
      </c>
      <c r="P10" s="15">
        <v>240</v>
      </c>
      <c r="Q10" s="29">
        <v>1080</v>
      </c>
      <c r="R10" s="33">
        <v>159</v>
      </c>
    </row>
    <row r="11" spans="1:18" ht="15">
      <c r="N11" s="13">
        <v>4</v>
      </c>
      <c r="O11" s="14">
        <v>32</v>
      </c>
      <c r="P11" s="15">
        <v>240</v>
      </c>
      <c r="Q11" s="29">
        <v>1080</v>
      </c>
      <c r="R11" s="33">
        <v>239</v>
      </c>
    </row>
    <row r="12" spans="1:18" ht="15">
      <c r="N12" s="13">
        <v>5</v>
      </c>
      <c r="O12" s="14">
        <v>27</v>
      </c>
      <c r="P12" s="15">
        <v>180</v>
      </c>
      <c r="Q12" s="29">
        <v>2160</v>
      </c>
      <c r="R12" s="33">
        <v>448</v>
      </c>
    </row>
    <row r="13" spans="1:18" ht="15">
      <c r="N13" s="13">
        <v>6</v>
      </c>
      <c r="O13" s="14">
        <v>32</v>
      </c>
      <c r="P13" s="15">
        <v>180</v>
      </c>
      <c r="Q13" s="29">
        <v>2160</v>
      </c>
      <c r="R13" s="34">
        <v>639</v>
      </c>
    </row>
    <row r="14" spans="1:18" ht="15">
      <c r="N14" s="13">
        <v>7</v>
      </c>
      <c r="O14" s="14">
        <v>27</v>
      </c>
      <c r="P14" s="15">
        <v>240</v>
      </c>
      <c r="Q14" s="29">
        <v>2160</v>
      </c>
      <c r="R14" s="33">
        <v>851</v>
      </c>
    </row>
    <row r="15" spans="1:18" ht="15.75" thickBot="1">
      <c r="N15" s="19">
        <v>8</v>
      </c>
      <c r="O15" s="20">
        <v>32</v>
      </c>
      <c r="P15" s="21">
        <v>240</v>
      </c>
      <c r="Q15" s="30">
        <v>2160</v>
      </c>
      <c r="R15" s="35">
        <v>1029</v>
      </c>
    </row>
    <row r="16" spans="1:18" ht="15">
      <c r="N16" s="8">
        <v>9</v>
      </c>
      <c r="O16" s="24">
        <v>27</v>
      </c>
      <c r="P16" s="25">
        <v>180</v>
      </c>
      <c r="Q16" s="31">
        <v>1080</v>
      </c>
      <c r="R16" s="36">
        <v>173</v>
      </c>
    </row>
    <row r="17" spans="1:18" ht="15">
      <c r="N17" s="13">
        <v>10</v>
      </c>
      <c r="O17" s="14">
        <v>32</v>
      </c>
      <c r="P17" s="15">
        <v>180</v>
      </c>
      <c r="Q17" s="29">
        <v>1080</v>
      </c>
      <c r="R17" s="33">
        <v>242</v>
      </c>
    </row>
    <row r="18" spans="1:18" ht="15">
      <c r="N18" s="13">
        <v>11</v>
      </c>
      <c r="O18" s="14">
        <v>27</v>
      </c>
      <c r="P18" s="15">
        <v>240</v>
      </c>
      <c r="Q18" s="29">
        <v>1080</v>
      </c>
      <c r="R18" s="33">
        <v>210</v>
      </c>
    </row>
    <row r="19" spans="1:18" ht="15">
      <c r="N19" s="13">
        <v>12</v>
      </c>
      <c r="O19" s="14">
        <v>32</v>
      </c>
      <c r="P19" s="15">
        <v>240</v>
      </c>
      <c r="Q19" s="29">
        <v>1080</v>
      </c>
      <c r="R19" s="34">
        <v>271</v>
      </c>
    </row>
    <row r="20" spans="1:18" ht="15">
      <c r="N20" s="13">
        <v>13</v>
      </c>
      <c r="O20" s="14">
        <v>27</v>
      </c>
      <c r="P20" s="15">
        <v>180</v>
      </c>
      <c r="Q20" s="29">
        <v>2160</v>
      </c>
      <c r="R20" s="33">
        <v>420</v>
      </c>
    </row>
    <row r="21" spans="1:18" ht="15">
      <c r="N21" s="13">
        <v>14</v>
      </c>
      <c r="O21" s="14">
        <v>32</v>
      </c>
      <c r="P21" s="15">
        <v>180</v>
      </c>
      <c r="Q21" s="29">
        <v>2160</v>
      </c>
      <c r="R21" s="33">
        <v>767</v>
      </c>
    </row>
    <row r="22" spans="1:18" ht="15">
      <c r="N22" s="13">
        <v>15</v>
      </c>
      <c r="O22" s="14">
        <v>27</v>
      </c>
      <c r="P22" s="15">
        <v>240</v>
      </c>
      <c r="Q22" s="29">
        <v>2160</v>
      </c>
      <c r="R22" s="34">
        <v>1139</v>
      </c>
    </row>
    <row r="23" spans="1:18" ht="15.75" thickBot="1">
      <c r="N23" s="19">
        <v>16</v>
      </c>
      <c r="O23" s="20">
        <v>32</v>
      </c>
      <c r="P23" s="21">
        <v>240</v>
      </c>
      <c r="Q23" s="30">
        <v>2160</v>
      </c>
      <c r="R23" s="35">
        <v>1119</v>
      </c>
    </row>
    <row r="26" spans="1:18" ht="15.75">
      <c r="A26" s="255" t="s">
        <v>231</v>
      </c>
      <c r="B26" s="255"/>
      <c r="C26" s="255"/>
      <c r="D26" s="255"/>
    </row>
    <row r="28" spans="1:18" ht="15">
      <c r="A28" s="254"/>
    </row>
    <row r="29" spans="1:18" ht="15">
      <c r="A29" s="254"/>
    </row>
    <row r="31" spans="1:18" ht="15">
      <c r="A31" s="254"/>
    </row>
    <row r="32" spans="1:18" ht="15">
      <c r="A32" s="254"/>
    </row>
    <row r="33" spans="1:1" ht="15">
      <c r="A33" s="254"/>
    </row>
    <row r="34" spans="1:1" ht="15">
      <c r="A34" s="254"/>
    </row>
  </sheetData>
  <mergeCells count="6">
    <mergeCell ref="A26:D26"/>
    <mergeCell ref="A1:R1"/>
    <mergeCell ref="A2:M2"/>
    <mergeCell ref="N2:R2"/>
    <mergeCell ref="A4:R4"/>
    <mergeCell ref="N6:N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83"/>
  <sheetViews>
    <sheetView topLeftCell="A136" zoomScale="85" zoomScaleNormal="85" workbookViewId="0">
      <selection activeCell="J383" sqref="J383"/>
    </sheetView>
  </sheetViews>
  <sheetFormatPr defaultRowHeight="14.25"/>
  <cols>
    <col min="1" max="1" width="4.125" customWidth="1"/>
    <col min="2" max="2" width="17.625" customWidth="1"/>
    <col min="3" max="6" width="18.625" customWidth="1"/>
    <col min="7" max="7" width="13.75" customWidth="1"/>
    <col min="8" max="8" width="13.125" customWidth="1"/>
    <col min="9" max="9" width="16.75" customWidth="1"/>
    <col min="10" max="10" width="15.75" customWidth="1"/>
    <col min="13" max="13" width="9.125" customWidth="1"/>
    <col min="14" max="14" width="15.25" customWidth="1"/>
    <col min="15" max="17" width="15.625" customWidth="1"/>
    <col min="18" max="18" width="11" customWidth="1"/>
    <col min="19" max="19" width="11.875" customWidth="1"/>
    <col min="20" max="20" width="11.75" customWidth="1"/>
    <col min="37" max="37" width="8" customWidth="1"/>
    <col min="38" max="38" width="2.75" customWidth="1"/>
    <col min="40" max="40" width="0.375" customWidth="1"/>
  </cols>
  <sheetData>
    <row r="1" spans="1:18" ht="19.5" thickBot="1">
      <c r="A1" s="261" t="s">
        <v>3</v>
      </c>
      <c r="B1" s="261"/>
      <c r="C1" s="261"/>
      <c r="D1" s="261"/>
      <c r="E1" s="261"/>
      <c r="F1" s="261"/>
      <c r="G1" s="261"/>
      <c r="H1" s="261"/>
      <c r="I1" s="261"/>
      <c r="J1" s="261"/>
      <c r="K1" s="261"/>
      <c r="L1" s="261"/>
      <c r="M1" s="261"/>
      <c r="N1" s="261"/>
      <c r="O1" s="261"/>
      <c r="P1" s="261"/>
      <c r="Q1" s="261"/>
      <c r="R1" s="261"/>
    </row>
    <row r="2" spans="1:18" ht="15" thickTop="1"/>
    <row r="3" spans="1:18" ht="15.75">
      <c r="H3" s="255" t="s">
        <v>18</v>
      </c>
      <c r="I3" s="255"/>
    </row>
    <row r="4" spans="1:18" ht="15" thickBot="1"/>
    <row r="5" spans="1:18" ht="16.5" thickBot="1">
      <c r="B5" s="262"/>
      <c r="C5" s="37" t="s">
        <v>5</v>
      </c>
      <c r="D5" s="38" t="s">
        <v>6</v>
      </c>
      <c r="E5" s="38" t="s">
        <v>7</v>
      </c>
      <c r="F5" s="39" t="s">
        <v>8</v>
      </c>
    </row>
    <row r="6" spans="1:18" ht="15.75" thickBot="1">
      <c r="B6" s="262"/>
      <c r="C6" s="5" t="s">
        <v>9</v>
      </c>
      <c r="D6" s="6" t="s">
        <v>10</v>
      </c>
      <c r="E6" s="6" t="s">
        <v>11</v>
      </c>
      <c r="F6" s="7" t="s">
        <v>12</v>
      </c>
      <c r="H6" s="43"/>
      <c r="I6" s="44" t="s">
        <v>13</v>
      </c>
      <c r="J6" s="45" t="s">
        <v>14</v>
      </c>
      <c r="K6" s="45" t="s">
        <v>15</v>
      </c>
      <c r="L6" s="45" t="s">
        <v>12</v>
      </c>
      <c r="N6" s="43"/>
      <c r="O6" s="52" t="s">
        <v>16</v>
      </c>
      <c r="P6" s="53" t="s">
        <v>17</v>
      </c>
    </row>
    <row r="7" spans="1:18" ht="15">
      <c r="B7" s="40">
        <v>1</v>
      </c>
      <c r="C7" s="9">
        <v>27</v>
      </c>
      <c r="D7" s="10">
        <v>180</v>
      </c>
      <c r="E7" s="11">
        <v>1080</v>
      </c>
      <c r="F7" s="12">
        <v>186</v>
      </c>
      <c r="H7" s="8">
        <v>1</v>
      </c>
      <c r="I7" s="46">
        <f>(C7-$O$7)/$P$7</f>
        <v>-1</v>
      </c>
      <c r="J7" s="47">
        <f>(D7-$O$8)/$P$8</f>
        <v>-1</v>
      </c>
      <c r="K7" s="105">
        <f>(E7-$O$9)/$P$9</f>
        <v>-1</v>
      </c>
      <c r="L7" s="100">
        <v>186</v>
      </c>
      <c r="N7" s="54" t="s">
        <v>9</v>
      </c>
      <c r="O7" s="55">
        <f>(27+32)/2</f>
        <v>29.5</v>
      </c>
      <c r="P7" s="56">
        <f>(32-27)/2</f>
        <v>2.5</v>
      </c>
    </row>
    <row r="8" spans="1:18" ht="15">
      <c r="B8" s="41">
        <v>2</v>
      </c>
      <c r="C8" s="14">
        <v>32</v>
      </c>
      <c r="D8" s="15">
        <v>180</v>
      </c>
      <c r="E8" s="16">
        <v>1080</v>
      </c>
      <c r="F8" s="17">
        <v>242</v>
      </c>
      <c r="H8" s="13">
        <v>2</v>
      </c>
      <c r="I8" s="48">
        <f t="shared" ref="I8:I22" si="0">(C8-$O$7)/$P$7</f>
        <v>1</v>
      </c>
      <c r="J8" s="49">
        <f t="shared" ref="J8:J22" si="1">(D8-$O$8)/$P$8</f>
        <v>-1</v>
      </c>
      <c r="K8" s="78">
        <f t="shared" ref="K8:K22" si="2">(E8-$O$9)/$P$9</f>
        <v>-1</v>
      </c>
      <c r="L8" s="101">
        <v>242</v>
      </c>
      <c r="N8" s="57" t="s">
        <v>10</v>
      </c>
      <c r="O8" s="58">
        <f>(180+240)/2</f>
        <v>210</v>
      </c>
      <c r="P8" s="59">
        <f>(240-180)/2</f>
        <v>30</v>
      </c>
    </row>
    <row r="9" spans="1:18" ht="15.75" thickBot="1">
      <c r="B9" s="41">
        <v>3</v>
      </c>
      <c r="C9" s="14">
        <v>27</v>
      </c>
      <c r="D9" s="15">
        <v>240</v>
      </c>
      <c r="E9" s="16">
        <v>1080</v>
      </c>
      <c r="F9" s="17">
        <v>159</v>
      </c>
      <c r="H9" s="13">
        <v>3</v>
      </c>
      <c r="I9" s="48">
        <f t="shared" si="0"/>
        <v>-1</v>
      </c>
      <c r="J9" s="49">
        <f t="shared" si="1"/>
        <v>1</v>
      </c>
      <c r="K9" s="78">
        <f t="shared" si="2"/>
        <v>-1</v>
      </c>
      <c r="L9" s="101">
        <v>159</v>
      </c>
      <c r="N9" s="60" t="s">
        <v>11</v>
      </c>
      <c r="O9" s="61">
        <f>(1080+2160)/2</f>
        <v>1620</v>
      </c>
      <c r="P9" s="62">
        <f>(2160-1080)/2</f>
        <v>540</v>
      </c>
    </row>
    <row r="10" spans="1:18" ht="15">
      <c r="B10" s="41">
        <v>4</v>
      </c>
      <c r="C10" s="14">
        <v>32</v>
      </c>
      <c r="D10" s="15">
        <v>240</v>
      </c>
      <c r="E10" s="16">
        <v>1080</v>
      </c>
      <c r="F10" s="17">
        <v>239</v>
      </c>
      <c r="H10" s="13">
        <v>4</v>
      </c>
      <c r="I10" s="48">
        <f t="shared" si="0"/>
        <v>1</v>
      </c>
      <c r="J10" s="49">
        <f t="shared" si="1"/>
        <v>1</v>
      </c>
      <c r="K10" s="78">
        <f t="shared" si="2"/>
        <v>-1</v>
      </c>
      <c r="L10" s="101">
        <v>239</v>
      </c>
    </row>
    <row r="11" spans="1:18" ht="15">
      <c r="B11" s="41">
        <v>5</v>
      </c>
      <c r="C11" s="14">
        <v>27</v>
      </c>
      <c r="D11" s="15">
        <v>180</v>
      </c>
      <c r="E11" s="16">
        <v>2160</v>
      </c>
      <c r="F11" s="17">
        <v>448</v>
      </c>
      <c r="H11" s="13">
        <v>5</v>
      </c>
      <c r="I11" s="48">
        <f t="shared" si="0"/>
        <v>-1</v>
      </c>
      <c r="J11" s="49">
        <f t="shared" si="1"/>
        <v>-1</v>
      </c>
      <c r="K11" s="78">
        <f t="shared" si="2"/>
        <v>1</v>
      </c>
      <c r="L11" s="101">
        <v>448</v>
      </c>
    </row>
    <row r="12" spans="1:18" ht="15">
      <c r="B12" s="41">
        <v>6</v>
      </c>
      <c r="C12" s="14">
        <v>32</v>
      </c>
      <c r="D12" s="15">
        <v>180</v>
      </c>
      <c r="E12" s="16">
        <v>2160</v>
      </c>
      <c r="F12" s="18">
        <v>639</v>
      </c>
      <c r="H12" s="13">
        <v>6</v>
      </c>
      <c r="I12" s="48">
        <f t="shared" si="0"/>
        <v>1</v>
      </c>
      <c r="J12" s="49">
        <f t="shared" si="1"/>
        <v>-1</v>
      </c>
      <c r="K12" s="78">
        <f t="shared" si="2"/>
        <v>1</v>
      </c>
      <c r="L12" s="102">
        <v>639</v>
      </c>
    </row>
    <row r="13" spans="1:18" ht="15">
      <c r="B13" s="41">
        <v>7</v>
      </c>
      <c r="C13" s="14">
        <v>27</v>
      </c>
      <c r="D13" s="15">
        <v>240</v>
      </c>
      <c r="E13" s="16">
        <v>2160</v>
      </c>
      <c r="F13" s="17">
        <v>851</v>
      </c>
      <c r="H13" s="13">
        <v>7</v>
      </c>
      <c r="I13" s="48">
        <f t="shared" si="0"/>
        <v>-1</v>
      </c>
      <c r="J13" s="49">
        <f t="shared" si="1"/>
        <v>1</v>
      </c>
      <c r="K13" s="78">
        <f t="shared" si="2"/>
        <v>1</v>
      </c>
      <c r="L13" s="101">
        <v>851</v>
      </c>
    </row>
    <row r="14" spans="1:18" ht="15.75" thickBot="1">
      <c r="B14" s="42">
        <v>8</v>
      </c>
      <c r="C14" s="20">
        <v>32</v>
      </c>
      <c r="D14" s="21">
        <v>240</v>
      </c>
      <c r="E14" s="22">
        <v>2160</v>
      </c>
      <c r="F14" s="23">
        <v>1029</v>
      </c>
      <c r="H14" s="19">
        <v>8</v>
      </c>
      <c r="I14" s="50">
        <f t="shared" si="0"/>
        <v>1</v>
      </c>
      <c r="J14" s="51">
        <f t="shared" si="1"/>
        <v>1</v>
      </c>
      <c r="K14" s="79">
        <f t="shared" si="2"/>
        <v>1</v>
      </c>
      <c r="L14" s="103">
        <v>1029</v>
      </c>
    </row>
    <row r="15" spans="1:18" ht="15">
      <c r="B15" s="40">
        <v>9</v>
      </c>
      <c r="C15" s="24">
        <v>27</v>
      </c>
      <c r="D15" s="25">
        <v>180</v>
      </c>
      <c r="E15" s="26">
        <v>1080</v>
      </c>
      <c r="F15" s="27">
        <v>173</v>
      </c>
      <c r="H15" s="8">
        <v>9</v>
      </c>
      <c r="I15" s="85">
        <f t="shared" si="0"/>
        <v>-1</v>
      </c>
      <c r="J15" s="86">
        <f t="shared" si="1"/>
        <v>-1</v>
      </c>
      <c r="K15" s="106">
        <f t="shared" si="2"/>
        <v>-1</v>
      </c>
      <c r="L15" s="104">
        <v>173</v>
      </c>
    </row>
    <row r="16" spans="1:18" ht="15">
      <c r="B16" s="41">
        <v>10</v>
      </c>
      <c r="C16" s="14">
        <v>32</v>
      </c>
      <c r="D16" s="15">
        <v>180</v>
      </c>
      <c r="E16" s="16">
        <v>1080</v>
      </c>
      <c r="F16" s="17">
        <v>242</v>
      </c>
      <c r="H16" s="13">
        <v>10</v>
      </c>
      <c r="I16" s="48">
        <f t="shared" si="0"/>
        <v>1</v>
      </c>
      <c r="J16" s="49">
        <f t="shared" si="1"/>
        <v>-1</v>
      </c>
      <c r="K16" s="78">
        <f t="shared" si="2"/>
        <v>-1</v>
      </c>
      <c r="L16" s="101">
        <v>242</v>
      </c>
    </row>
    <row r="17" spans="2:12" ht="15">
      <c r="B17" s="41">
        <v>11</v>
      </c>
      <c r="C17" s="14">
        <v>27</v>
      </c>
      <c r="D17" s="15">
        <v>240</v>
      </c>
      <c r="E17" s="16">
        <v>1080</v>
      </c>
      <c r="F17" s="17">
        <v>210</v>
      </c>
      <c r="H17" s="13">
        <v>11</v>
      </c>
      <c r="I17" s="48">
        <f t="shared" si="0"/>
        <v>-1</v>
      </c>
      <c r="J17" s="49">
        <f t="shared" si="1"/>
        <v>1</v>
      </c>
      <c r="K17" s="78">
        <f t="shared" si="2"/>
        <v>-1</v>
      </c>
      <c r="L17" s="101">
        <v>210</v>
      </c>
    </row>
    <row r="18" spans="2:12" ht="15">
      <c r="B18" s="41">
        <v>12</v>
      </c>
      <c r="C18" s="14">
        <v>32</v>
      </c>
      <c r="D18" s="15">
        <v>240</v>
      </c>
      <c r="E18" s="16">
        <v>1080</v>
      </c>
      <c r="F18" s="18">
        <v>271</v>
      </c>
      <c r="H18" s="13">
        <v>12</v>
      </c>
      <c r="I18" s="48">
        <f t="shared" si="0"/>
        <v>1</v>
      </c>
      <c r="J18" s="49">
        <f t="shared" si="1"/>
        <v>1</v>
      </c>
      <c r="K18" s="78">
        <f t="shared" si="2"/>
        <v>-1</v>
      </c>
      <c r="L18" s="102">
        <v>271</v>
      </c>
    </row>
    <row r="19" spans="2:12" ht="15">
      <c r="B19" s="41">
        <v>13</v>
      </c>
      <c r="C19" s="14">
        <v>27</v>
      </c>
      <c r="D19" s="15">
        <v>180</v>
      </c>
      <c r="E19" s="16">
        <v>2160</v>
      </c>
      <c r="F19" s="17">
        <v>420</v>
      </c>
      <c r="H19" s="13">
        <v>13</v>
      </c>
      <c r="I19" s="48">
        <f t="shared" si="0"/>
        <v>-1</v>
      </c>
      <c r="J19" s="49">
        <f t="shared" si="1"/>
        <v>-1</v>
      </c>
      <c r="K19" s="78">
        <f t="shared" si="2"/>
        <v>1</v>
      </c>
      <c r="L19" s="101">
        <v>420</v>
      </c>
    </row>
    <row r="20" spans="2:12" ht="15">
      <c r="B20" s="41">
        <v>14</v>
      </c>
      <c r="C20" s="14">
        <v>32</v>
      </c>
      <c r="D20" s="15">
        <v>180</v>
      </c>
      <c r="E20" s="16">
        <v>2160</v>
      </c>
      <c r="F20" s="17">
        <v>767</v>
      </c>
      <c r="H20" s="13">
        <v>14</v>
      </c>
      <c r="I20" s="48">
        <f t="shared" si="0"/>
        <v>1</v>
      </c>
      <c r="J20" s="49">
        <f t="shared" si="1"/>
        <v>-1</v>
      </c>
      <c r="K20" s="78">
        <f t="shared" si="2"/>
        <v>1</v>
      </c>
      <c r="L20" s="101">
        <v>767</v>
      </c>
    </row>
    <row r="21" spans="2:12" ht="15">
      <c r="B21" s="41">
        <v>15</v>
      </c>
      <c r="C21" s="14">
        <v>27</v>
      </c>
      <c r="D21" s="15">
        <v>240</v>
      </c>
      <c r="E21" s="16">
        <v>2160</v>
      </c>
      <c r="F21" s="18">
        <v>1139</v>
      </c>
      <c r="H21" s="13">
        <v>15</v>
      </c>
      <c r="I21" s="48">
        <f t="shared" si="0"/>
        <v>-1</v>
      </c>
      <c r="J21" s="49">
        <f t="shared" si="1"/>
        <v>1</v>
      </c>
      <c r="K21" s="78">
        <f t="shared" si="2"/>
        <v>1</v>
      </c>
      <c r="L21" s="102">
        <v>1139</v>
      </c>
    </row>
    <row r="22" spans="2:12" ht="15.75" thickBot="1">
      <c r="B22" s="42">
        <v>16</v>
      </c>
      <c r="C22" s="20">
        <v>32</v>
      </c>
      <c r="D22" s="21">
        <v>240</v>
      </c>
      <c r="E22" s="22">
        <v>2160</v>
      </c>
      <c r="F22" s="23">
        <v>1119</v>
      </c>
      <c r="H22" s="19">
        <v>16</v>
      </c>
      <c r="I22" s="50">
        <f t="shared" si="0"/>
        <v>1</v>
      </c>
      <c r="J22" s="51">
        <f t="shared" si="1"/>
        <v>1</v>
      </c>
      <c r="K22" s="79">
        <f t="shared" si="2"/>
        <v>1</v>
      </c>
      <c r="L22" s="103">
        <v>1119</v>
      </c>
    </row>
    <row r="23" spans="2:12" ht="15" thickBot="1"/>
    <row r="24" spans="2:12" ht="15.75" thickBot="1">
      <c r="B24" s="43"/>
      <c r="C24" s="263" t="s">
        <v>19</v>
      </c>
      <c r="D24" s="264"/>
      <c r="E24" s="265"/>
    </row>
    <row r="25" spans="2:12" ht="15.75" thickBot="1">
      <c r="B25" s="43"/>
      <c r="C25" s="63" t="s">
        <v>20</v>
      </c>
      <c r="D25" s="64" t="s">
        <v>21</v>
      </c>
      <c r="E25" s="65" t="s">
        <v>12</v>
      </c>
    </row>
    <row r="26" spans="2:12" ht="15">
      <c r="B26" s="40">
        <v>1</v>
      </c>
      <c r="C26" s="9">
        <v>186</v>
      </c>
      <c r="D26" s="10">
        <v>173</v>
      </c>
      <c r="E26" s="66">
        <f>AVERAGE(C26:D26)</f>
        <v>179.5</v>
      </c>
    </row>
    <row r="27" spans="2:12" ht="15">
      <c r="B27" s="41">
        <v>2</v>
      </c>
      <c r="C27" s="14">
        <v>242</v>
      </c>
      <c r="D27" s="15">
        <v>242</v>
      </c>
      <c r="E27" s="67">
        <f t="shared" ref="E27:E33" si="3">AVERAGE(C27:D27)</f>
        <v>242</v>
      </c>
    </row>
    <row r="28" spans="2:12" ht="15">
      <c r="B28" s="41">
        <v>3</v>
      </c>
      <c r="C28" s="14">
        <v>159</v>
      </c>
      <c r="D28" s="15">
        <v>210</v>
      </c>
      <c r="E28" s="67">
        <f t="shared" si="3"/>
        <v>184.5</v>
      </c>
    </row>
    <row r="29" spans="2:12" ht="15">
      <c r="B29" s="41">
        <v>4</v>
      </c>
      <c r="C29" s="14">
        <v>239</v>
      </c>
      <c r="D29" s="16">
        <v>271</v>
      </c>
      <c r="E29" s="67">
        <f t="shared" si="3"/>
        <v>255</v>
      </c>
    </row>
    <row r="30" spans="2:12" ht="15">
      <c r="B30" s="41">
        <v>5</v>
      </c>
      <c r="C30" s="14">
        <v>448</v>
      </c>
      <c r="D30" s="15">
        <v>420</v>
      </c>
      <c r="E30" s="67">
        <f t="shared" si="3"/>
        <v>434</v>
      </c>
    </row>
    <row r="31" spans="2:12" ht="15">
      <c r="B31" s="41">
        <v>6</v>
      </c>
      <c r="C31" s="68">
        <v>639</v>
      </c>
      <c r="D31" s="15">
        <v>767</v>
      </c>
      <c r="E31" s="67">
        <f t="shared" si="3"/>
        <v>703</v>
      </c>
    </row>
    <row r="32" spans="2:12" ht="15">
      <c r="B32" s="41">
        <v>7</v>
      </c>
      <c r="C32" s="14">
        <v>851</v>
      </c>
      <c r="D32" s="16">
        <v>1139</v>
      </c>
      <c r="E32" s="67">
        <f t="shared" si="3"/>
        <v>995</v>
      </c>
    </row>
    <row r="33" spans="2:5" ht="15.75" thickBot="1">
      <c r="B33" s="42">
        <v>8</v>
      </c>
      <c r="C33" s="20">
        <v>1029</v>
      </c>
      <c r="D33" s="21">
        <v>1119</v>
      </c>
      <c r="E33" s="69">
        <f t="shared" si="3"/>
        <v>1074</v>
      </c>
    </row>
    <row r="53" spans="1:18" ht="19.5" thickBot="1">
      <c r="A53" s="267" t="s">
        <v>22</v>
      </c>
      <c r="B53" s="261"/>
      <c r="C53" s="261"/>
      <c r="D53" s="261"/>
      <c r="E53" s="261"/>
      <c r="F53" s="261"/>
      <c r="G53" s="261"/>
      <c r="H53" s="261"/>
      <c r="I53" s="261"/>
      <c r="J53" s="261"/>
      <c r="K53" s="261"/>
      <c r="L53" s="261"/>
      <c r="M53" s="261"/>
      <c r="N53" s="261"/>
      <c r="O53" s="261"/>
      <c r="P53" s="261"/>
      <c r="Q53" s="261"/>
      <c r="R53" s="261"/>
    </row>
    <row r="54" spans="1:18" ht="15" thickTop="1"/>
    <row r="55" spans="1:18" ht="15">
      <c r="B55" s="1"/>
      <c r="C55" s="96"/>
      <c r="D55" s="96" t="s">
        <v>13</v>
      </c>
      <c r="E55" s="96" t="s">
        <v>14</v>
      </c>
      <c r="F55" s="96" t="s">
        <v>15</v>
      </c>
      <c r="G55" s="96" t="s">
        <v>23</v>
      </c>
      <c r="H55" s="96" t="s">
        <v>24</v>
      </c>
      <c r="I55" s="96" t="s">
        <v>25</v>
      </c>
      <c r="J55" s="96" t="s">
        <v>26</v>
      </c>
    </row>
    <row r="56" spans="1:18" ht="15">
      <c r="B56" s="1"/>
      <c r="C56" s="96" t="s">
        <v>27</v>
      </c>
      <c r="D56" s="96" t="s">
        <v>28</v>
      </c>
      <c r="E56" s="96" t="s">
        <v>29</v>
      </c>
      <c r="F56" s="96" t="s">
        <v>30</v>
      </c>
      <c r="G56" s="96" t="s">
        <v>31</v>
      </c>
      <c r="H56" s="96" t="s">
        <v>32</v>
      </c>
      <c r="I56" s="96" t="s">
        <v>33</v>
      </c>
      <c r="J56" s="96" t="s">
        <v>34</v>
      </c>
    </row>
    <row r="57" spans="1:18">
      <c r="B57" s="1"/>
      <c r="C57" s="70"/>
      <c r="D57" s="70"/>
      <c r="E57" s="70"/>
      <c r="F57" s="70"/>
      <c r="G57" s="70"/>
      <c r="H57" s="70"/>
      <c r="I57" s="70"/>
      <c r="J57" s="70"/>
    </row>
    <row r="58" spans="1:18">
      <c r="B58" s="266" t="s">
        <v>35</v>
      </c>
      <c r="C58" s="49">
        <v>1</v>
      </c>
      <c r="D58" s="49">
        <v>-1</v>
      </c>
      <c r="E58" s="49">
        <v>-1</v>
      </c>
      <c r="F58" s="49">
        <v>-1</v>
      </c>
      <c r="G58" s="49">
        <f>D58*E58</f>
        <v>1</v>
      </c>
      <c r="H58" s="49">
        <f>D58*F58</f>
        <v>1</v>
      </c>
      <c r="I58" s="49">
        <f>E58*F58</f>
        <v>1</v>
      </c>
      <c r="J58" s="49">
        <f>D58*E58*F58</f>
        <v>-1</v>
      </c>
      <c r="L58" s="266" t="s">
        <v>36</v>
      </c>
      <c r="M58" s="15">
        <v>186</v>
      </c>
    </row>
    <row r="59" spans="1:18">
      <c r="B59" s="266"/>
      <c r="C59" s="49">
        <v>1</v>
      </c>
      <c r="D59" s="49">
        <v>1</v>
      </c>
      <c r="E59" s="49">
        <v>-1</v>
      </c>
      <c r="F59" s="49">
        <v>-1</v>
      </c>
      <c r="G59" s="49">
        <f t="shared" ref="G59:G73" si="4">D59*E59</f>
        <v>-1</v>
      </c>
      <c r="H59" s="49">
        <f t="shared" ref="H59:H73" si="5">D59*F59</f>
        <v>-1</v>
      </c>
      <c r="I59" s="49">
        <f t="shared" ref="I59:I73" si="6">E59*F59</f>
        <v>1</v>
      </c>
      <c r="J59" s="49">
        <f t="shared" ref="J59:J73" si="7">D59*E59*F59</f>
        <v>1</v>
      </c>
      <c r="L59" s="266"/>
      <c r="M59" s="15">
        <v>242</v>
      </c>
    </row>
    <row r="60" spans="1:18">
      <c r="B60" s="266"/>
      <c r="C60" s="49">
        <v>1</v>
      </c>
      <c r="D60" s="49">
        <v>-1</v>
      </c>
      <c r="E60" s="49">
        <v>1</v>
      </c>
      <c r="F60" s="49">
        <v>-1</v>
      </c>
      <c r="G60" s="49">
        <f t="shared" si="4"/>
        <v>-1</v>
      </c>
      <c r="H60" s="49">
        <f t="shared" si="5"/>
        <v>1</v>
      </c>
      <c r="I60" s="49">
        <f t="shared" si="6"/>
        <v>-1</v>
      </c>
      <c r="J60" s="49">
        <f t="shared" si="7"/>
        <v>1</v>
      </c>
      <c r="L60" s="266"/>
      <c r="M60" s="15">
        <v>159</v>
      </c>
    </row>
    <row r="61" spans="1:18">
      <c r="B61" s="266"/>
      <c r="C61" s="49">
        <v>1</v>
      </c>
      <c r="D61" s="49">
        <v>1</v>
      </c>
      <c r="E61" s="49">
        <v>1</v>
      </c>
      <c r="F61" s="49">
        <v>-1</v>
      </c>
      <c r="G61" s="49">
        <f t="shared" si="4"/>
        <v>1</v>
      </c>
      <c r="H61" s="49">
        <f t="shared" si="5"/>
        <v>-1</v>
      </c>
      <c r="I61" s="49">
        <f t="shared" si="6"/>
        <v>-1</v>
      </c>
      <c r="J61" s="49">
        <f t="shared" si="7"/>
        <v>-1</v>
      </c>
      <c r="L61" s="266"/>
      <c r="M61" s="15">
        <v>239</v>
      </c>
    </row>
    <row r="62" spans="1:18">
      <c r="B62" s="266"/>
      <c r="C62" s="49">
        <v>1</v>
      </c>
      <c r="D62" s="49">
        <v>-1</v>
      </c>
      <c r="E62" s="49">
        <v>-1</v>
      </c>
      <c r="F62" s="49">
        <v>1</v>
      </c>
      <c r="G62" s="49">
        <f t="shared" si="4"/>
        <v>1</v>
      </c>
      <c r="H62" s="49">
        <f t="shared" si="5"/>
        <v>-1</v>
      </c>
      <c r="I62" s="49">
        <f t="shared" si="6"/>
        <v>-1</v>
      </c>
      <c r="J62" s="49">
        <f t="shared" si="7"/>
        <v>1</v>
      </c>
      <c r="L62" s="266"/>
      <c r="M62" s="15">
        <v>448</v>
      </c>
    </row>
    <row r="63" spans="1:18">
      <c r="B63" s="266"/>
      <c r="C63" s="49">
        <v>1</v>
      </c>
      <c r="D63" s="49">
        <v>1</v>
      </c>
      <c r="E63" s="49">
        <v>-1</v>
      </c>
      <c r="F63" s="49">
        <v>1</v>
      </c>
      <c r="G63" s="49">
        <f t="shared" si="4"/>
        <v>-1</v>
      </c>
      <c r="H63" s="49">
        <f t="shared" si="5"/>
        <v>1</v>
      </c>
      <c r="I63" s="49">
        <f t="shared" si="6"/>
        <v>-1</v>
      </c>
      <c r="J63" s="49">
        <f t="shared" si="7"/>
        <v>-1</v>
      </c>
      <c r="L63" s="266"/>
      <c r="M63" s="16">
        <v>639</v>
      </c>
    </row>
    <row r="64" spans="1:18">
      <c r="B64" s="266"/>
      <c r="C64" s="49">
        <v>1</v>
      </c>
      <c r="D64" s="49">
        <v>-1</v>
      </c>
      <c r="E64" s="49">
        <v>1</v>
      </c>
      <c r="F64" s="49">
        <v>1</v>
      </c>
      <c r="G64" s="49">
        <f t="shared" si="4"/>
        <v>-1</v>
      </c>
      <c r="H64" s="49">
        <f t="shared" si="5"/>
        <v>-1</v>
      </c>
      <c r="I64" s="49">
        <f t="shared" si="6"/>
        <v>1</v>
      </c>
      <c r="J64" s="49">
        <f t="shared" si="7"/>
        <v>-1</v>
      </c>
      <c r="L64" s="266"/>
      <c r="M64" s="15">
        <v>851</v>
      </c>
    </row>
    <row r="65" spans="2:18">
      <c r="B65" s="266"/>
      <c r="C65" s="49">
        <v>1</v>
      </c>
      <c r="D65" s="49">
        <v>1</v>
      </c>
      <c r="E65" s="49">
        <v>1</v>
      </c>
      <c r="F65" s="49">
        <v>1</v>
      </c>
      <c r="G65" s="49">
        <f t="shared" si="4"/>
        <v>1</v>
      </c>
      <c r="H65" s="49">
        <f t="shared" si="5"/>
        <v>1</v>
      </c>
      <c r="I65" s="49">
        <f t="shared" si="6"/>
        <v>1</v>
      </c>
      <c r="J65" s="49">
        <f t="shared" si="7"/>
        <v>1</v>
      </c>
      <c r="L65" s="266"/>
      <c r="M65" s="15">
        <v>1029</v>
      </c>
    </row>
    <row r="66" spans="2:18">
      <c r="B66" s="266"/>
      <c r="C66" s="49">
        <v>1</v>
      </c>
      <c r="D66" s="49">
        <v>-1</v>
      </c>
      <c r="E66" s="49">
        <v>-1</v>
      </c>
      <c r="F66" s="49">
        <v>-1</v>
      </c>
      <c r="G66" s="49">
        <f t="shared" si="4"/>
        <v>1</v>
      </c>
      <c r="H66" s="49">
        <f t="shared" si="5"/>
        <v>1</v>
      </c>
      <c r="I66" s="49">
        <f t="shared" si="6"/>
        <v>1</v>
      </c>
      <c r="J66" s="49">
        <f t="shared" si="7"/>
        <v>-1</v>
      </c>
      <c r="L66" s="266"/>
      <c r="M66" s="15">
        <v>173</v>
      </c>
    </row>
    <row r="67" spans="2:18">
      <c r="B67" s="266"/>
      <c r="C67" s="49">
        <v>1</v>
      </c>
      <c r="D67" s="49">
        <v>1</v>
      </c>
      <c r="E67" s="49">
        <v>-1</v>
      </c>
      <c r="F67" s="49">
        <v>-1</v>
      </c>
      <c r="G67" s="49">
        <f t="shared" si="4"/>
        <v>-1</v>
      </c>
      <c r="H67" s="49">
        <f t="shared" si="5"/>
        <v>-1</v>
      </c>
      <c r="I67" s="49">
        <f t="shared" si="6"/>
        <v>1</v>
      </c>
      <c r="J67" s="49">
        <f t="shared" si="7"/>
        <v>1</v>
      </c>
      <c r="L67" s="266"/>
      <c r="M67" s="15">
        <v>242</v>
      </c>
    </row>
    <row r="68" spans="2:18">
      <c r="B68" s="266"/>
      <c r="C68" s="49">
        <v>1</v>
      </c>
      <c r="D68" s="49">
        <v>-1</v>
      </c>
      <c r="E68" s="49">
        <v>1</v>
      </c>
      <c r="F68" s="49">
        <v>-1</v>
      </c>
      <c r="G68" s="49">
        <f t="shared" si="4"/>
        <v>-1</v>
      </c>
      <c r="H68" s="49">
        <f t="shared" si="5"/>
        <v>1</v>
      </c>
      <c r="I68" s="49">
        <f t="shared" si="6"/>
        <v>-1</v>
      </c>
      <c r="J68" s="49">
        <f t="shared" si="7"/>
        <v>1</v>
      </c>
      <c r="L68" s="266"/>
      <c r="M68" s="15">
        <v>210</v>
      </c>
    </row>
    <row r="69" spans="2:18">
      <c r="B69" s="266"/>
      <c r="C69" s="49">
        <v>1</v>
      </c>
      <c r="D69" s="49">
        <v>1</v>
      </c>
      <c r="E69" s="49">
        <v>1</v>
      </c>
      <c r="F69" s="49">
        <v>-1</v>
      </c>
      <c r="G69" s="49">
        <f t="shared" si="4"/>
        <v>1</v>
      </c>
      <c r="H69" s="49">
        <f t="shared" si="5"/>
        <v>-1</v>
      </c>
      <c r="I69" s="49">
        <f t="shared" si="6"/>
        <v>-1</v>
      </c>
      <c r="J69" s="49">
        <f t="shared" si="7"/>
        <v>-1</v>
      </c>
      <c r="L69" s="266"/>
      <c r="M69" s="16">
        <v>271</v>
      </c>
    </row>
    <row r="70" spans="2:18">
      <c r="B70" s="266"/>
      <c r="C70" s="49">
        <v>1</v>
      </c>
      <c r="D70" s="49">
        <v>-1</v>
      </c>
      <c r="E70" s="49">
        <v>-1</v>
      </c>
      <c r="F70" s="49">
        <v>1</v>
      </c>
      <c r="G70" s="49">
        <f t="shared" si="4"/>
        <v>1</v>
      </c>
      <c r="H70" s="49">
        <f t="shared" si="5"/>
        <v>-1</v>
      </c>
      <c r="I70" s="49">
        <f t="shared" si="6"/>
        <v>-1</v>
      </c>
      <c r="J70" s="49">
        <f t="shared" si="7"/>
        <v>1</v>
      </c>
      <c r="L70" s="266"/>
      <c r="M70" s="15">
        <v>420</v>
      </c>
    </row>
    <row r="71" spans="2:18">
      <c r="B71" s="266"/>
      <c r="C71" s="49">
        <v>1</v>
      </c>
      <c r="D71" s="49">
        <v>1</v>
      </c>
      <c r="E71" s="49">
        <v>-1</v>
      </c>
      <c r="F71" s="49">
        <v>1</v>
      </c>
      <c r="G71" s="49">
        <f t="shared" si="4"/>
        <v>-1</v>
      </c>
      <c r="H71" s="49">
        <f t="shared" si="5"/>
        <v>1</v>
      </c>
      <c r="I71" s="49">
        <f t="shared" si="6"/>
        <v>-1</v>
      </c>
      <c r="J71" s="49">
        <f t="shared" si="7"/>
        <v>-1</v>
      </c>
      <c r="L71" s="266"/>
      <c r="M71" s="15">
        <v>767</v>
      </c>
    </row>
    <row r="72" spans="2:18">
      <c r="B72" s="266"/>
      <c r="C72" s="49">
        <v>1</v>
      </c>
      <c r="D72" s="49">
        <v>-1</v>
      </c>
      <c r="E72" s="49">
        <v>1</v>
      </c>
      <c r="F72" s="49">
        <v>1</v>
      </c>
      <c r="G72" s="49">
        <f t="shared" si="4"/>
        <v>-1</v>
      </c>
      <c r="H72" s="49">
        <f>D72*F72</f>
        <v>-1</v>
      </c>
      <c r="I72" s="49">
        <f t="shared" si="6"/>
        <v>1</v>
      </c>
      <c r="J72" s="49">
        <f t="shared" si="7"/>
        <v>-1</v>
      </c>
      <c r="L72" s="266"/>
      <c r="M72" s="16">
        <v>1139</v>
      </c>
    </row>
    <row r="73" spans="2:18">
      <c r="B73" s="266"/>
      <c r="C73" s="49">
        <v>1</v>
      </c>
      <c r="D73" s="49">
        <v>1</v>
      </c>
      <c r="E73" s="49">
        <v>1</v>
      </c>
      <c r="F73" s="49">
        <v>1</v>
      </c>
      <c r="G73" s="49">
        <f t="shared" si="4"/>
        <v>1</v>
      </c>
      <c r="H73" s="49">
        <f t="shared" si="5"/>
        <v>1</v>
      </c>
      <c r="I73" s="49">
        <f t="shared" si="6"/>
        <v>1</v>
      </c>
      <c r="J73" s="49">
        <f t="shared" si="7"/>
        <v>1</v>
      </c>
      <c r="L73" s="266"/>
      <c r="M73" s="15">
        <v>1119</v>
      </c>
    </row>
    <row r="75" spans="2:18">
      <c r="B75" s="266" t="s">
        <v>37</v>
      </c>
      <c r="C75" s="49">
        <v>1</v>
      </c>
      <c r="D75" s="49">
        <v>1</v>
      </c>
      <c r="E75" s="49">
        <v>1</v>
      </c>
      <c r="F75" s="49">
        <v>1</v>
      </c>
      <c r="G75" s="49">
        <v>1</v>
      </c>
      <c r="H75" s="49">
        <v>1</v>
      </c>
      <c r="I75" s="49">
        <v>1</v>
      </c>
      <c r="J75" s="49">
        <v>1</v>
      </c>
      <c r="K75" s="49">
        <v>1</v>
      </c>
      <c r="L75" s="49">
        <v>1</v>
      </c>
      <c r="M75" s="49">
        <v>1</v>
      </c>
      <c r="N75" s="49">
        <v>1</v>
      </c>
      <c r="O75" s="49">
        <v>1</v>
      </c>
      <c r="P75" s="49">
        <v>1</v>
      </c>
      <c r="Q75" s="49">
        <v>1</v>
      </c>
      <c r="R75" s="49">
        <v>1</v>
      </c>
    </row>
    <row r="76" spans="2:18">
      <c r="B76" s="266"/>
      <c r="C76" s="49">
        <v>-1</v>
      </c>
      <c r="D76" s="49">
        <v>1</v>
      </c>
      <c r="E76" s="49">
        <v>-1</v>
      </c>
      <c r="F76" s="49">
        <v>1</v>
      </c>
      <c r="G76" s="49">
        <v>-1</v>
      </c>
      <c r="H76" s="49">
        <v>1</v>
      </c>
      <c r="I76" s="49">
        <v>-1</v>
      </c>
      <c r="J76" s="49">
        <v>1</v>
      </c>
      <c r="K76" s="49">
        <v>-1</v>
      </c>
      <c r="L76" s="49">
        <v>1</v>
      </c>
      <c r="M76" s="49">
        <v>-1</v>
      </c>
      <c r="N76" s="49">
        <v>1</v>
      </c>
      <c r="O76" s="49">
        <v>-1</v>
      </c>
      <c r="P76" s="49">
        <v>1</v>
      </c>
      <c r="Q76" s="49">
        <v>-1</v>
      </c>
      <c r="R76" s="49">
        <v>1</v>
      </c>
    </row>
    <row r="77" spans="2:18">
      <c r="B77" s="266"/>
      <c r="C77" s="49">
        <v>-1</v>
      </c>
      <c r="D77" s="49">
        <v>-1</v>
      </c>
      <c r="E77" s="49">
        <v>1</v>
      </c>
      <c r="F77" s="49">
        <v>1</v>
      </c>
      <c r="G77" s="49">
        <v>-1</v>
      </c>
      <c r="H77" s="49">
        <v>-1</v>
      </c>
      <c r="I77" s="49">
        <v>1</v>
      </c>
      <c r="J77" s="49">
        <v>1</v>
      </c>
      <c r="K77" s="49">
        <v>-1</v>
      </c>
      <c r="L77" s="49">
        <v>-1</v>
      </c>
      <c r="M77" s="49">
        <v>1</v>
      </c>
      <c r="N77" s="49">
        <v>1</v>
      </c>
      <c r="O77" s="49">
        <v>-1</v>
      </c>
      <c r="P77" s="49">
        <v>-1</v>
      </c>
      <c r="Q77" s="49">
        <v>1</v>
      </c>
      <c r="R77" s="49">
        <v>1</v>
      </c>
    </row>
    <row r="78" spans="2:18">
      <c r="B78" s="266"/>
      <c r="C78" s="49">
        <v>-1</v>
      </c>
      <c r="D78" s="49">
        <v>-1</v>
      </c>
      <c r="E78" s="49">
        <v>-1</v>
      </c>
      <c r="F78" s="49">
        <v>-1</v>
      </c>
      <c r="G78" s="49">
        <v>1</v>
      </c>
      <c r="H78" s="49">
        <v>1</v>
      </c>
      <c r="I78" s="49">
        <v>1</v>
      </c>
      <c r="J78" s="49">
        <v>1</v>
      </c>
      <c r="K78" s="49">
        <v>-1</v>
      </c>
      <c r="L78" s="49">
        <v>-1</v>
      </c>
      <c r="M78" s="49">
        <v>-1</v>
      </c>
      <c r="N78" s="49">
        <v>-1</v>
      </c>
      <c r="O78" s="49">
        <v>1</v>
      </c>
      <c r="P78" s="49">
        <v>1</v>
      </c>
      <c r="Q78" s="49">
        <v>1</v>
      </c>
      <c r="R78" s="49">
        <v>1</v>
      </c>
    </row>
    <row r="79" spans="2:18">
      <c r="B79" s="266"/>
      <c r="C79" s="49">
        <f t="shared" ref="C79:R79" si="8">C76*C77</f>
        <v>1</v>
      </c>
      <c r="D79" s="49">
        <f t="shared" si="8"/>
        <v>-1</v>
      </c>
      <c r="E79" s="49">
        <f t="shared" si="8"/>
        <v>-1</v>
      </c>
      <c r="F79" s="49">
        <f t="shared" si="8"/>
        <v>1</v>
      </c>
      <c r="G79" s="49">
        <f t="shared" si="8"/>
        <v>1</v>
      </c>
      <c r="H79" s="49">
        <f t="shared" si="8"/>
        <v>-1</v>
      </c>
      <c r="I79" s="49">
        <f t="shared" si="8"/>
        <v>-1</v>
      </c>
      <c r="J79" s="49">
        <f t="shared" si="8"/>
        <v>1</v>
      </c>
      <c r="K79" s="49">
        <f t="shared" si="8"/>
        <v>1</v>
      </c>
      <c r="L79" s="49">
        <f t="shared" si="8"/>
        <v>-1</v>
      </c>
      <c r="M79" s="49">
        <f t="shared" si="8"/>
        <v>-1</v>
      </c>
      <c r="N79" s="49">
        <f t="shared" si="8"/>
        <v>1</v>
      </c>
      <c r="O79" s="49">
        <f t="shared" si="8"/>
        <v>1</v>
      </c>
      <c r="P79" s="49">
        <f t="shared" si="8"/>
        <v>-1</v>
      </c>
      <c r="Q79" s="49">
        <f t="shared" si="8"/>
        <v>-1</v>
      </c>
      <c r="R79" s="49">
        <f t="shared" si="8"/>
        <v>1</v>
      </c>
    </row>
    <row r="80" spans="2:18">
      <c r="B80" s="266"/>
      <c r="C80" s="49">
        <f t="shared" ref="C80:R80" si="9">C76*C78</f>
        <v>1</v>
      </c>
      <c r="D80" s="49">
        <f t="shared" si="9"/>
        <v>-1</v>
      </c>
      <c r="E80" s="49">
        <f t="shared" si="9"/>
        <v>1</v>
      </c>
      <c r="F80" s="49">
        <f t="shared" si="9"/>
        <v>-1</v>
      </c>
      <c r="G80" s="49">
        <f t="shared" si="9"/>
        <v>-1</v>
      </c>
      <c r="H80" s="49">
        <f t="shared" si="9"/>
        <v>1</v>
      </c>
      <c r="I80" s="49">
        <f t="shared" si="9"/>
        <v>-1</v>
      </c>
      <c r="J80" s="49">
        <f t="shared" si="9"/>
        <v>1</v>
      </c>
      <c r="K80" s="49">
        <f t="shared" si="9"/>
        <v>1</v>
      </c>
      <c r="L80" s="49">
        <f t="shared" si="9"/>
        <v>-1</v>
      </c>
      <c r="M80" s="49">
        <f t="shared" si="9"/>
        <v>1</v>
      </c>
      <c r="N80" s="49">
        <f t="shared" si="9"/>
        <v>-1</v>
      </c>
      <c r="O80" s="49">
        <f t="shared" si="9"/>
        <v>-1</v>
      </c>
      <c r="P80" s="49">
        <f t="shared" si="9"/>
        <v>1</v>
      </c>
      <c r="Q80" s="49">
        <f t="shared" si="9"/>
        <v>-1</v>
      </c>
      <c r="R80" s="49">
        <f t="shared" si="9"/>
        <v>1</v>
      </c>
    </row>
    <row r="81" spans="1:18">
      <c r="B81" s="266"/>
      <c r="C81" s="49">
        <f t="shared" ref="C81:R81" si="10">C77*C78</f>
        <v>1</v>
      </c>
      <c r="D81" s="49">
        <f t="shared" si="10"/>
        <v>1</v>
      </c>
      <c r="E81" s="49">
        <f t="shared" si="10"/>
        <v>-1</v>
      </c>
      <c r="F81" s="49">
        <f t="shared" si="10"/>
        <v>-1</v>
      </c>
      <c r="G81" s="49">
        <f t="shared" si="10"/>
        <v>-1</v>
      </c>
      <c r="H81" s="49">
        <f t="shared" si="10"/>
        <v>-1</v>
      </c>
      <c r="I81" s="49">
        <f t="shared" si="10"/>
        <v>1</v>
      </c>
      <c r="J81" s="49">
        <f t="shared" si="10"/>
        <v>1</v>
      </c>
      <c r="K81" s="49">
        <f t="shared" si="10"/>
        <v>1</v>
      </c>
      <c r="L81" s="49">
        <f t="shared" si="10"/>
        <v>1</v>
      </c>
      <c r="M81" s="49">
        <f t="shared" si="10"/>
        <v>-1</v>
      </c>
      <c r="N81" s="49">
        <f t="shared" si="10"/>
        <v>-1</v>
      </c>
      <c r="O81" s="49">
        <f t="shared" si="10"/>
        <v>-1</v>
      </c>
      <c r="P81" s="49">
        <f t="shared" si="10"/>
        <v>-1</v>
      </c>
      <c r="Q81" s="49">
        <f t="shared" si="10"/>
        <v>1</v>
      </c>
      <c r="R81" s="49">
        <f t="shared" si="10"/>
        <v>1</v>
      </c>
    </row>
    <row r="82" spans="1:18">
      <c r="B82" s="266"/>
      <c r="C82" s="49">
        <f t="shared" ref="C82:R82" si="11">C76*C77*C78</f>
        <v>-1</v>
      </c>
      <c r="D82" s="49">
        <f t="shared" si="11"/>
        <v>1</v>
      </c>
      <c r="E82" s="49">
        <f t="shared" si="11"/>
        <v>1</v>
      </c>
      <c r="F82" s="49">
        <f t="shared" si="11"/>
        <v>-1</v>
      </c>
      <c r="G82" s="49">
        <f t="shared" si="11"/>
        <v>1</v>
      </c>
      <c r="H82" s="49">
        <f t="shared" si="11"/>
        <v>-1</v>
      </c>
      <c r="I82" s="49">
        <f t="shared" si="11"/>
        <v>-1</v>
      </c>
      <c r="J82" s="49">
        <f t="shared" si="11"/>
        <v>1</v>
      </c>
      <c r="K82" s="49">
        <f t="shared" si="11"/>
        <v>-1</v>
      </c>
      <c r="L82" s="49">
        <f t="shared" si="11"/>
        <v>1</v>
      </c>
      <c r="M82" s="49">
        <f t="shared" si="11"/>
        <v>1</v>
      </c>
      <c r="N82" s="49">
        <f t="shared" si="11"/>
        <v>-1</v>
      </c>
      <c r="O82" s="49">
        <f t="shared" si="11"/>
        <v>1</v>
      </c>
      <c r="P82" s="49">
        <f t="shared" si="11"/>
        <v>-1</v>
      </c>
      <c r="Q82" s="49">
        <f t="shared" si="11"/>
        <v>-1</v>
      </c>
      <c r="R82" s="49">
        <f t="shared" si="11"/>
        <v>1</v>
      </c>
    </row>
    <row r="83" spans="1:18" ht="15" thickBot="1"/>
    <row r="84" spans="1:18" ht="16.5">
      <c r="B84" s="266" t="s">
        <v>38</v>
      </c>
      <c r="C84" s="49">
        <f t="array" ref="C84:C91">MMULT(C75:R82,M58:M73)</f>
        <v>8134</v>
      </c>
      <c r="E84" s="266" t="s">
        <v>39</v>
      </c>
      <c r="F84" s="107">
        <f>C84/16</f>
        <v>508.375</v>
      </c>
      <c r="I84" s="71" t="s">
        <v>40</v>
      </c>
      <c r="J84" s="72">
        <f>F84</f>
        <v>508.375</v>
      </c>
    </row>
    <row r="85" spans="1:18" ht="16.5">
      <c r="B85" s="266"/>
      <c r="C85" s="49">
        <v>962</v>
      </c>
      <c r="E85" s="266"/>
      <c r="F85" s="107">
        <f t="shared" ref="F85:F91" si="12">C85/16</f>
        <v>60.125</v>
      </c>
      <c r="I85" s="73" t="s">
        <v>41</v>
      </c>
      <c r="J85" s="74">
        <f>F85</f>
        <v>60.125</v>
      </c>
    </row>
    <row r="86" spans="1:18" ht="16.5">
      <c r="B86" s="266"/>
      <c r="C86" s="49">
        <v>1900</v>
      </c>
      <c r="E86" s="266"/>
      <c r="F86" s="107">
        <f t="shared" si="12"/>
        <v>118.75</v>
      </c>
      <c r="I86" s="73" t="s">
        <v>42</v>
      </c>
      <c r="J86" s="74">
        <f t="shared" ref="J86:J91" si="13">F86</f>
        <v>118.75</v>
      </c>
    </row>
    <row r="87" spans="1:18" ht="16.5">
      <c r="B87" s="266"/>
      <c r="C87" s="49">
        <v>4690</v>
      </c>
      <c r="E87" s="266"/>
      <c r="F87" s="107">
        <f t="shared" si="12"/>
        <v>293.125</v>
      </c>
      <c r="I87" s="73" t="s">
        <v>43</v>
      </c>
      <c r="J87" s="74">
        <f t="shared" si="13"/>
        <v>293.125</v>
      </c>
    </row>
    <row r="88" spans="1:18" ht="16.5">
      <c r="B88" s="266"/>
      <c r="C88" s="49">
        <v>-364</v>
      </c>
      <c r="E88" s="266"/>
      <c r="F88" s="107">
        <f t="shared" si="12"/>
        <v>-22.75</v>
      </c>
      <c r="I88" s="73" t="s">
        <v>44</v>
      </c>
      <c r="J88" s="74">
        <f t="shared" si="13"/>
        <v>-22.75</v>
      </c>
    </row>
    <row r="89" spans="1:18" ht="16.5">
      <c r="B89" s="266"/>
      <c r="C89" s="49">
        <v>430</v>
      </c>
      <c r="E89" s="266"/>
      <c r="F89" s="107">
        <f t="shared" si="12"/>
        <v>26.875</v>
      </c>
      <c r="I89" s="73" t="s">
        <v>45</v>
      </c>
      <c r="J89" s="74">
        <f t="shared" si="13"/>
        <v>26.875</v>
      </c>
    </row>
    <row r="90" spans="1:18" ht="16.5">
      <c r="B90" s="266"/>
      <c r="C90" s="49">
        <v>1828</v>
      </c>
      <c r="E90" s="266"/>
      <c r="F90" s="107">
        <f t="shared" si="12"/>
        <v>114.25</v>
      </c>
      <c r="I90" s="73" t="s">
        <v>46</v>
      </c>
      <c r="J90" s="74">
        <f t="shared" si="13"/>
        <v>114.25</v>
      </c>
    </row>
    <row r="91" spans="1:18" ht="17.25" thickBot="1">
      <c r="B91" s="266"/>
      <c r="C91" s="49">
        <v>-396</v>
      </c>
      <c r="E91" s="266"/>
      <c r="F91" s="107">
        <f t="shared" si="12"/>
        <v>-24.75</v>
      </c>
      <c r="I91" s="75" t="s">
        <v>47</v>
      </c>
      <c r="J91" s="76">
        <f t="shared" si="13"/>
        <v>-24.75</v>
      </c>
    </row>
    <row r="94" spans="1:18" ht="19.5" thickBot="1">
      <c r="A94" s="267" t="s">
        <v>48</v>
      </c>
      <c r="B94" s="261"/>
      <c r="C94" s="261"/>
      <c r="D94" s="261"/>
      <c r="E94" s="261"/>
      <c r="F94" s="261"/>
      <c r="G94" s="261"/>
      <c r="H94" s="261"/>
      <c r="I94" s="261"/>
      <c r="J94" s="261"/>
      <c r="K94" s="261"/>
      <c r="L94" s="261"/>
      <c r="M94" s="261"/>
      <c r="N94" s="261"/>
      <c r="O94" s="261"/>
      <c r="P94" s="261"/>
      <c r="Q94" s="261"/>
      <c r="R94" s="261"/>
    </row>
    <row r="95" spans="1:18" ht="15.75" thickTop="1" thickBot="1"/>
    <row r="96" spans="1:18" ht="15.75" thickBot="1">
      <c r="B96" s="81" t="s">
        <v>13</v>
      </c>
      <c r="C96" s="82" t="s">
        <v>14</v>
      </c>
      <c r="D96" s="82" t="s">
        <v>15</v>
      </c>
      <c r="E96" s="82" t="s">
        <v>23</v>
      </c>
      <c r="F96" s="82" t="s">
        <v>24</v>
      </c>
      <c r="G96" s="82" t="s">
        <v>25</v>
      </c>
      <c r="H96" s="83" t="s">
        <v>26</v>
      </c>
      <c r="I96" s="84" t="s">
        <v>49</v>
      </c>
    </row>
    <row r="97" spans="2:9">
      <c r="B97" s="85">
        <v>-1</v>
      </c>
      <c r="C97" s="86">
        <v>-1</v>
      </c>
      <c r="D97" s="86">
        <v>-1</v>
      </c>
      <c r="E97" s="86">
        <f>B97*C97</f>
        <v>1</v>
      </c>
      <c r="F97" s="86">
        <f>B97*D97</f>
        <v>1</v>
      </c>
      <c r="G97" s="86">
        <f>C97*D97</f>
        <v>1</v>
      </c>
      <c r="H97" s="87">
        <f>B97*C97*D97</f>
        <v>-1</v>
      </c>
      <c r="I97" s="32">
        <v>186</v>
      </c>
    </row>
    <row r="98" spans="2:9">
      <c r="B98" s="48">
        <v>1</v>
      </c>
      <c r="C98" s="49">
        <v>-1</v>
      </c>
      <c r="D98" s="49">
        <v>-1</v>
      </c>
      <c r="E98" s="49">
        <f t="shared" ref="E98:E112" si="14">B98*C98</f>
        <v>-1</v>
      </c>
      <c r="F98" s="49">
        <f t="shared" ref="F98:F112" si="15">B98*D98</f>
        <v>-1</v>
      </c>
      <c r="G98" s="49">
        <f t="shared" ref="G98:G112" si="16">C98*D98</f>
        <v>1</v>
      </c>
      <c r="H98" s="88">
        <f t="shared" ref="H98:H112" si="17">B98*C98*D98</f>
        <v>1</v>
      </c>
      <c r="I98" s="33">
        <v>242</v>
      </c>
    </row>
    <row r="99" spans="2:9">
      <c r="B99" s="48">
        <v>-1</v>
      </c>
      <c r="C99" s="49">
        <v>1</v>
      </c>
      <c r="D99" s="49">
        <v>-1</v>
      </c>
      <c r="E99" s="49">
        <f t="shared" si="14"/>
        <v>-1</v>
      </c>
      <c r="F99" s="49">
        <f t="shared" si="15"/>
        <v>1</v>
      </c>
      <c r="G99" s="49">
        <f t="shared" si="16"/>
        <v>-1</v>
      </c>
      <c r="H99" s="88">
        <f t="shared" si="17"/>
        <v>1</v>
      </c>
      <c r="I99" s="33">
        <v>159</v>
      </c>
    </row>
    <row r="100" spans="2:9">
      <c r="B100" s="48">
        <v>1</v>
      </c>
      <c r="C100" s="49">
        <v>1</v>
      </c>
      <c r="D100" s="49">
        <v>-1</v>
      </c>
      <c r="E100" s="49">
        <f t="shared" si="14"/>
        <v>1</v>
      </c>
      <c r="F100" s="49">
        <f t="shared" si="15"/>
        <v>-1</v>
      </c>
      <c r="G100" s="49">
        <f t="shared" si="16"/>
        <v>-1</v>
      </c>
      <c r="H100" s="88">
        <f t="shared" si="17"/>
        <v>-1</v>
      </c>
      <c r="I100" s="33">
        <v>239</v>
      </c>
    </row>
    <row r="101" spans="2:9">
      <c r="B101" s="48">
        <v>-1</v>
      </c>
      <c r="C101" s="49">
        <v>-1</v>
      </c>
      <c r="D101" s="49">
        <v>1</v>
      </c>
      <c r="E101" s="49">
        <f t="shared" si="14"/>
        <v>1</v>
      </c>
      <c r="F101" s="49">
        <f t="shared" si="15"/>
        <v>-1</v>
      </c>
      <c r="G101" s="49">
        <f t="shared" si="16"/>
        <v>-1</v>
      </c>
      <c r="H101" s="88">
        <f t="shared" si="17"/>
        <v>1</v>
      </c>
      <c r="I101" s="33">
        <v>448</v>
      </c>
    </row>
    <row r="102" spans="2:9">
      <c r="B102" s="48">
        <v>1</v>
      </c>
      <c r="C102" s="49">
        <v>-1</v>
      </c>
      <c r="D102" s="49">
        <v>1</v>
      </c>
      <c r="E102" s="49">
        <f t="shared" si="14"/>
        <v>-1</v>
      </c>
      <c r="F102" s="49">
        <f t="shared" si="15"/>
        <v>1</v>
      </c>
      <c r="G102" s="49">
        <f t="shared" si="16"/>
        <v>-1</v>
      </c>
      <c r="H102" s="88">
        <f t="shared" si="17"/>
        <v>-1</v>
      </c>
      <c r="I102" s="34">
        <v>639</v>
      </c>
    </row>
    <row r="103" spans="2:9">
      <c r="B103" s="48">
        <v>-1</v>
      </c>
      <c r="C103" s="49">
        <v>1</v>
      </c>
      <c r="D103" s="49">
        <v>1</v>
      </c>
      <c r="E103" s="49">
        <f t="shared" si="14"/>
        <v>-1</v>
      </c>
      <c r="F103" s="49">
        <f t="shared" si="15"/>
        <v>-1</v>
      </c>
      <c r="G103" s="49">
        <f t="shared" si="16"/>
        <v>1</v>
      </c>
      <c r="H103" s="88">
        <f t="shared" si="17"/>
        <v>-1</v>
      </c>
      <c r="I103" s="33">
        <v>851</v>
      </c>
    </row>
    <row r="104" spans="2:9">
      <c r="B104" s="48">
        <v>1</v>
      </c>
      <c r="C104" s="49">
        <v>1</v>
      </c>
      <c r="D104" s="49">
        <v>1</v>
      </c>
      <c r="E104" s="49">
        <f t="shared" si="14"/>
        <v>1</v>
      </c>
      <c r="F104" s="49">
        <f t="shared" si="15"/>
        <v>1</v>
      </c>
      <c r="G104" s="49">
        <f t="shared" si="16"/>
        <v>1</v>
      </c>
      <c r="H104" s="88">
        <f t="shared" si="17"/>
        <v>1</v>
      </c>
      <c r="I104" s="33">
        <v>1029</v>
      </c>
    </row>
    <row r="105" spans="2:9">
      <c r="B105" s="48">
        <v>-1</v>
      </c>
      <c r="C105" s="49">
        <v>-1</v>
      </c>
      <c r="D105" s="49">
        <v>-1</v>
      </c>
      <c r="E105" s="49">
        <f t="shared" si="14"/>
        <v>1</v>
      </c>
      <c r="F105" s="49">
        <f t="shared" si="15"/>
        <v>1</v>
      </c>
      <c r="G105" s="49">
        <f t="shared" si="16"/>
        <v>1</v>
      </c>
      <c r="H105" s="88">
        <f t="shared" si="17"/>
        <v>-1</v>
      </c>
      <c r="I105" s="33">
        <v>173</v>
      </c>
    </row>
    <row r="106" spans="2:9">
      <c r="B106" s="48">
        <v>1</v>
      </c>
      <c r="C106" s="49">
        <v>-1</v>
      </c>
      <c r="D106" s="49">
        <v>-1</v>
      </c>
      <c r="E106" s="49">
        <f t="shared" si="14"/>
        <v>-1</v>
      </c>
      <c r="F106" s="49">
        <f t="shared" si="15"/>
        <v>-1</v>
      </c>
      <c r="G106" s="49">
        <f t="shared" si="16"/>
        <v>1</v>
      </c>
      <c r="H106" s="88">
        <f t="shared" si="17"/>
        <v>1</v>
      </c>
      <c r="I106" s="33">
        <v>242</v>
      </c>
    </row>
    <row r="107" spans="2:9">
      <c r="B107" s="48">
        <v>-1</v>
      </c>
      <c r="C107" s="49">
        <v>1</v>
      </c>
      <c r="D107" s="49">
        <v>-1</v>
      </c>
      <c r="E107" s="49">
        <f t="shared" si="14"/>
        <v>-1</v>
      </c>
      <c r="F107" s="49">
        <f t="shared" si="15"/>
        <v>1</v>
      </c>
      <c r="G107" s="49">
        <f t="shared" si="16"/>
        <v>-1</v>
      </c>
      <c r="H107" s="88">
        <f t="shared" si="17"/>
        <v>1</v>
      </c>
      <c r="I107" s="33">
        <v>210</v>
      </c>
    </row>
    <row r="108" spans="2:9">
      <c r="B108" s="48">
        <v>1</v>
      </c>
      <c r="C108" s="49">
        <v>1</v>
      </c>
      <c r="D108" s="49">
        <v>-1</v>
      </c>
      <c r="E108" s="49">
        <f t="shared" si="14"/>
        <v>1</v>
      </c>
      <c r="F108" s="49">
        <f t="shared" si="15"/>
        <v>-1</v>
      </c>
      <c r="G108" s="49">
        <f t="shared" si="16"/>
        <v>-1</v>
      </c>
      <c r="H108" s="88">
        <f t="shared" si="17"/>
        <v>-1</v>
      </c>
      <c r="I108" s="34">
        <v>271</v>
      </c>
    </row>
    <row r="109" spans="2:9">
      <c r="B109" s="48">
        <v>-1</v>
      </c>
      <c r="C109" s="49">
        <v>-1</v>
      </c>
      <c r="D109" s="49">
        <v>1</v>
      </c>
      <c r="E109" s="49">
        <f t="shared" si="14"/>
        <v>1</v>
      </c>
      <c r="F109" s="49">
        <f t="shared" si="15"/>
        <v>-1</v>
      </c>
      <c r="G109" s="49">
        <f t="shared" si="16"/>
        <v>-1</v>
      </c>
      <c r="H109" s="88">
        <f t="shared" si="17"/>
        <v>1</v>
      </c>
      <c r="I109" s="33">
        <v>420</v>
      </c>
    </row>
    <row r="110" spans="2:9">
      <c r="B110" s="48">
        <v>1</v>
      </c>
      <c r="C110" s="49">
        <v>-1</v>
      </c>
      <c r="D110" s="49">
        <v>1</v>
      </c>
      <c r="E110" s="49">
        <f t="shared" si="14"/>
        <v>-1</v>
      </c>
      <c r="F110" s="49">
        <f t="shared" si="15"/>
        <v>1</v>
      </c>
      <c r="G110" s="49">
        <f t="shared" si="16"/>
        <v>-1</v>
      </c>
      <c r="H110" s="88">
        <f t="shared" si="17"/>
        <v>-1</v>
      </c>
      <c r="I110" s="33">
        <v>767</v>
      </c>
    </row>
    <row r="111" spans="2:9">
      <c r="B111" s="48">
        <v>-1</v>
      </c>
      <c r="C111" s="49">
        <v>1</v>
      </c>
      <c r="D111" s="49">
        <v>1</v>
      </c>
      <c r="E111" s="49">
        <f t="shared" si="14"/>
        <v>-1</v>
      </c>
      <c r="F111" s="49">
        <f>B111*D111</f>
        <v>-1</v>
      </c>
      <c r="G111" s="49">
        <f t="shared" si="16"/>
        <v>1</v>
      </c>
      <c r="H111" s="88">
        <f t="shared" si="17"/>
        <v>-1</v>
      </c>
      <c r="I111" s="34">
        <v>1139</v>
      </c>
    </row>
    <row r="112" spans="2:9" ht="15" thickBot="1">
      <c r="B112" s="50">
        <v>1</v>
      </c>
      <c r="C112" s="51">
        <v>1</v>
      </c>
      <c r="D112" s="51">
        <v>1</v>
      </c>
      <c r="E112" s="51">
        <f t="shared" si="14"/>
        <v>1</v>
      </c>
      <c r="F112" s="51">
        <f t="shared" si="15"/>
        <v>1</v>
      </c>
      <c r="G112" s="51">
        <f t="shared" si="16"/>
        <v>1</v>
      </c>
      <c r="H112" s="89">
        <f t="shared" si="17"/>
        <v>1</v>
      </c>
      <c r="I112" s="35">
        <v>1119</v>
      </c>
    </row>
    <row r="114" spans="2:7">
      <c r="B114" t="s">
        <v>50</v>
      </c>
    </row>
    <row r="115" spans="2:7" ht="15" thickBot="1"/>
    <row r="116" spans="2:7">
      <c r="B116" s="90" t="s">
        <v>51</v>
      </c>
      <c r="C116" s="90"/>
    </row>
    <row r="117" spans="2:7">
      <c r="B117" t="s">
        <v>52</v>
      </c>
      <c r="C117">
        <v>0.98555588164986185</v>
      </c>
    </row>
    <row r="118" spans="2:7">
      <c r="B118" t="s">
        <v>53</v>
      </c>
      <c r="C118">
        <v>0.97132039585463648</v>
      </c>
    </row>
    <row r="119" spans="2:7">
      <c r="B119" t="s">
        <v>54</v>
      </c>
      <c r="C119">
        <v>0.94622574222744338</v>
      </c>
    </row>
    <row r="120" spans="2:7">
      <c r="B120" t="s">
        <v>55</v>
      </c>
      <c r="C120">
        <v>83.668243677036713</v>
      </c>
    </row>
    <row r="121" spans="2:7" ht="15" thickBot="1">
      <c r="B121" s="91" t="s">
        <v>56</v>
      </c>
      <c r="C121" s="91">
        <v>16</v>
      </c>
    </row>
    <row r="123" spans="2:7" ht="15" thickBot="1">
      <c r="B123" t="s">
        <v>57</v>
      </c>
    </row>
    <row r="124" spans="2:7">
      <c r="B124" s="92"/>
      <c r="C124" s="92" t="s">
        <v>58</v>
      </c>
      <c r="D124" s="92" t="s">
        <v>59</v>
      </c>
      <c r="E124" s="92" t="s">
        <v>60</v>
      </c>
      <c r="F124" s="92" t="s">
        <v>61</v>
      </c>
      <c r="G124" s="92" t="s">
        <v>62</v>
      </c>
    </row>
    <row r="125" spans="2:7">
      <c r="B125" t="s">
        <v>63</v>
      </c>
      <c r="C125">
        <v>7</v>
      </c>
      <c r="D125">
        <v>1896708.75</v>
      </c>
      <c r="E125">
        <v>270958.39285714284</v>
      </c>
      <c r="F125">
        <v>38.706268286647941</v>
      </c>
      <c r="G125">
        <v>1.4978064268931786E-5</v>
      </c>
    </row>
    <row r="126" spans="2:7">
      <c r="B126" t="s">
        <v>64</v>
      </c>
      <c r="C126">
        <v>8</v>
      </c>
      <c r="D126">
        <v>56002.999999999949</v>
      </c>
      <c r="E126">
        <v>7000.3749999999936</v>
      </c>
    </row>
    <row r="127" spans="2:7" ht="15" thickBot="1">
      <c r="B127" s="91" t="s">
        <v>65</v>
      </c>
      <c r="C127" s="91">
        <v>15</v>
      </c>
      <c r="D127" s="91">
        <v>1952711.75</v>
      </c>
      <c r="E127" s="91"/>
      <c r="F127" s="91"/>
      <c r="G127" s="91"/>
    </row>
    <row r="128" spans="2:7" ht="15" thickBot="1"/>
    <row r="129" spans="2:25">
      <c r="B129" s="92"/>
      <c r="C129" s="92" t="s">
        <v>66</v>
      </c>
      <c r="D129" s="92" t="s">
        <v>55</v>
      </c>
      <c r="E129" s="92" t="s">
        <v>67</v>
      </c>
      <c r="F129" s="92" t="s">
        <v>68</v>
      </c>
      <c r="G129" s="92" t="s">
        <v>69</v>
      </c>
      <c r="H129" s="92" t="s">
        <v>70</v>
      </c>
      <c r="I129" s="92" t="s">
        <v>71</v>
      </c>
      <c r="J129" s="92" t="s">
        <v>72</v>
      </c>
    </row>
    <row r="130" spans="2:25">
      <c r="B130" t="s">
        <v>73</v>
      </c>
      <c r="C130">
        <v>508.375</v>
      </c>
      <c r="D130">
        <v>20.917060919259178</v>
      </c>
      <c r="E130">
        <v>24.30432277088789</v>
      </c>
      <c r="F130">
        <v>8.7642596906747479E-9</v>
      </c>
      <c r="G130">
        <v>460.14017102387083</v>
      </c>
      <c r="H130">
        <v>556.60982897612917</v>
      </c>
      <c r="I130">
        <v>460.14017102387083</v>
      </c>
      <c r="J130">
        <v>556.60982897612917</v>
      </c>
    </row>
    <row r="131" spans="2:25">
      <c r="B131" t="s">
        <v>13</v>
      </c>
      <c r="C131">
        <v>60.124999999999993</v>
      </c>
      <c r="D131">
        <v>20.917060919259178</v>
      </c>
      <c r="E131">
        <v>2.874447812342531</v>
      </c>
      <c r="F131">
        <v>2.0687135475237345E-2</v>
      </c>
      <c r="G131">
        <v>11.890171023870849</v>
      </c>
      <c r="H131">
        <v>108.35982897612914</v>
      </c>
      <c r="I131">
        <v>11.890171023870849</v>
      </c>
      <c r="J131">
        <v>108.35982897612914</v>
      </c>
      <c r="L131" s="268" t="s">
        <v>74</v>
      </c>
      <c r="M131" s="269"/>
      <c r="N131" s="269"/>
      <c r="O131" s="269"/>
      <c r="P131" s="269"/>
      <c r="Q131" s="269"/>
      <c r="R131" s="269"/>
      <c r="S131" s="269"/>
      <c r="T131" s="269"/>
      <c r="U131" s="269"/>
      <c r="V131" s="269"/>
      <c r="W131" s="269"/>
      <c r="X131" s="269"/>
      <c r="Y131" s="270"/>
    </row>
    <row r="132" spans="2:25">
      <c r="B132" t="s">
        <v>14</v>
      </c>
      <c r="C132">
        <v>118.74999999999996</v>
      </c>
      <c r="D132">
        <v>20.917060919259178</v>
      </c>
      <c r="E132">
        <v>5.6771838289509429</v>
      </c>
      <c r="F132">
        <v>4.6650790047910357E-4</v>
      </c>
      <c r="G132">
        <v>70.515171023870806</v>
      </c>
      <c r="H132">
        <v>166.98482897612911</v>
      </c>
      <c r="I132">
        <v>70.515171023870806</v>
      </c>
      <c r="J132">
        <v>166.98482897612911</v>
      </c>
      <c r="L132" s="271"/>
      <c r="M132" s="272"/>
      <c r="N132" s="272"/>
      <c r="O132" s="272"/>
      <c r="P132" s="272"/>
      <c r="Q132" s="272"/>
      <c r="R132" s="272"/>
      <c r="S132" s="272"/>
      <c r="T132" s="272"/>
      <c r="U132" s="272"/>
      <c r="V132" s="272"/>
      <c r="W132" s="272"/>
      <c r="X132" s="272"/>
      <c r="Y132" s="273"/>
    </row>
    <row r="133" spans="2:25">
      <c r="B133" t="s">
        <v>15</v>
      </c>
      <c r="C133">
        <v>293.12499999999989</v>
      </c>
      <c r="D133">
        <v>20.917060919259178</v>
      </c>
      <c r="E133">
        <v>14.013680083042065</v>
      </c>
      <c r="F133">
        <v>6.5215746720349803E-7</v>
      </c>
      <c r="G133">
        <v>244.89017102387075</v>
      </c>
      <c r="H133">
        <v>341.35982897612905</v>
      </c>
      <c r="I133">
        <v>244.89017102387075</v>
      </c>
      <c r="J133">
        <v>341.35982897612905</v>
      </c>
      <c r="L133" s="271"/>
      <c r="M133" s="272"/>
      <c r="N133" s="272"/>
      <c r="O133" s="272"/>
      <c r="P133" s="272"/>
      <c r="Q133" s="272"/>
      <c r="R133" s="272"/>
      <c r="S133" s="272"/>
      <c r="T133" s="272"/>
      <c r="U133" s="272"/>
      <c r="V133" s="272"/>
      <c r="W133" s="272"/>
      <c r="X133" s="272"/>
      <c r="Y133" s="273"/>
    </row>
    <row r="134" spans="2:25">
      <c r="B134" t="s">
        <v>23</v>
      </c>
      <c r="C134">
        <v>-22.750000000000046</v>
      </c>
      <c r="D134">
        <v>20.917060919259178</v>
      </c>
      <c r="E134">
        <v>-1.0876289019674465</v>
      </c>
      <c r="F134" s="93">
        <v>0.30843786871081769</v>
      </c>
      <c r="G134">
        <v>-70.984828976129194</v>
      </c>
      <c r="H134">
        <v>25.484828976129098</v>
      </c>
      <c r="I134">
        <v>-70.984828976129194</v>
      </c>
      <c r="J134">
        <v>25.484828976129098</v>
      </c>
      <c r="L134" s="271"/>
      <c r="M134" s="272"/>
      <c r="N134" s="272"/>
      <c r="O134" s="272"/>
      <c r="P134" s="272"/>
      <c r="Q134" s="272"/>
      <c r="R134" s="272"/>
      <c r="S134" s="272"/>
      <c r="T134" s="272"/>
      <c r="U134" s="272"/>
      <c r="V134" s="272"/>
      <c r="W134" s="272"/>
      <c r="X134" s="272"/>
      <c r="Y134" s="273"/>
    </row>
    <row r="135" spans="2:25">
      <c r="B135" t="s">
        <v>24</v>
      </c>
      <c r="C135">
        <v>26.875000000000011</v>
      </c>
      <c r="D135">
        <v>20.917060919259178</v>
      </c>
      <c r="E135">
        <v>1.284836340236267</v>
      </c>
      <c r="F135" s="93">
        <v>0.23479967432092871</v>
      </c>
      <c r="G135">
        <v>-21.359828976129133</v>
      </c>
      <c r="H135">
        <v>75.109828976129151</v>
      </c>
      <c r="I135">
        <v>-21.359828976129133</v>
      </c>
      <c r="J135">
        <v>75.109828976129151</v>
      </c>
      <c r="L135" s="274"/>
      <c r="M135" s="275"/>
      <c r="N135" s="275"/>
      <c r="O135" s="275"/>
      <c r="P135" s="275"/>
      <c r="Q135" s="275"/>
      <c r="R135" s="275"/>
      <c r="S135" s="275"/>
      <c r="T135" s="275"/>
      <c r="U135" s="275"/>
      <c r="V135" s="275"/>
      <c r="W135" s="275"/>
      <c r="X135" s="275"/>
      <c r="Y135" s="276"/>
    </row>
    <row r="136" spans="2:25">
      <c r="B136" t="s">
        <v>25</v>
      </c>
      <c r="C136">
        <v>114.24999999999997</v>
      </c>
      <c r="D136">
        <v>20.917060919259178</v>
      </c>
      <c r="E136">
        <v>5.4620484417485926</v>
      </c>
      <c r="F136">
        <v>6.0007252485723146E-4</v>
      </c>
      <c r="G136">
        <v>66.015171023870835</v>
      </c>
      <c r="H136">
        <v>162.48482897612911</v>
      </c>
      <c r="I136">
        <v>66.015171023870835</v>
      </c>
      <c r="J136">
        <v>162.48482897612911</v>
      </c>
    </row>
    <row r="137" spans="2:25" ht="15" thickBot="1">
      <c r="B137" s="91" t="s">
        <v>26</v>
      </c>
      <c r="C137" s="91">
        <v>-24.749999999999964</v>
      </c>
      <c r="D137" s="91">
        <v>20.917060919259178</v>
      </c>
      <c r="E137" s="91">
        <v>-1.1832446296129322</v>
      </c>
      <c r="F137" s="94">
        <v>0.27067928041607126</v>
      </c>
      <c r="G137" s="91">
        <v>-72.984828976129108</v>
      </c>
      <c r="H137" s="91">
        <v>23.48482897612918</v>
      </c>
      <c r="I137" s="91">
        <v>-72.984828976129108</v>
      </c>
      <c r="J137" s="91">
        <v>23.48482897612918</v>
      </c>
    </row>
    <row r="139" spans="2:25" ht="15.75">
      <c r="B139" s="255" t="s">
        <v>75</v>
      </c>
      <c r="C139" s="255"/>
    </row>
    <row r="169" spans="9:11">
      <c r="I169" s="281" t="s">
        <v>76</v>
      </c>
      <c r="J169" s="281"/>
      <c r="K169" s="281"/>
    </row>
    <row r="186" spans="2:6" ht="16.5" thickBot="1">
      <c r="B186" s="282" t="s">
        <v>79</v>
      </c>
      <c r="C186" s="282"/>
      <c r="D186" s="282"/>
    </row>
    <row r="187" spans="2:6" ht="15.75" thickTop="1" thickBot="1"/>
    <row r="188" spans="2:6" ht="15.75" thickBot="1">
      <c r="B188" s="81" t="s">
        <v>13</v>
      </c>
      <c r="C188" s="95" t="s">
        <v>14</v>
      </c>
      <c r="D188" s="82" t="s">
        <v>15</v>
      </c>
      <c r="E188" s="82" t="s">
        <v>25</v>
      </c>
      <c r="F188" s="84" t="s">
        <v>49</v>
      </c>
    </row>
    <row r="189" spans="2:6">
      <c r="B189" s="85">
        <v>-1</v>
      </c>
      <c r="C189" s="87">
        <v>-1</v>
      </c>
      <c r="D189" s="86">
        <v>-1</v>
      </c>
      <c r="E189" s="86">
        <v>1</v>
      </c>
      <c r="F189" s="32">
        <v>186</v>
      </c>
    </row>
    <row r="190" spans="2:6">
      <c r="B190" s="48">
        <v>1</v>
      </c>
      <c r="C190" s="88">
        <v>-1</v>
      </c>
      <c r="D190" s="49">
        <v>-1</v>
      </c>
      <c r="E190" s="49">
        <v>1</v>
      </c>
      <c r="F190" s="33">
        <v>242</v>
      </c>
    </row>
    <row r="191" spans="2:6">
      <c r="B191" s="48">
        <v>-1</v>
      </c>
      <c r="C191" s="88">
        <v>1</v>
      </c>
      <c r="D191" s="49">
        <v>-1</v>
      </c>
      <c r="E191" s="49">
        <v>-1</v>
      </c>
      <c r="F191" s="33">
        <v>159</v>
      </c>
    </row>
    <row r="192" spans="2:6">
      <c r="B192" s="48">
        <v>1</v>
      </c>
      <c r="C192" s="88">
        <v>1</v>
      </c>
      <c r="D192" s="49">
        <v>-1</v>
      </c>
      <c r="E192" s="49">
        <v>-1</v>
      </c>
      <c r="F192" s="33">
        <v>239</v>
      </c>
    </row>
    <row r="193" spans="2:6">
      <c r="B193" s="48">
        <v>-1</v>
      </c>
      <c r="C193" s="88">
        <v>-1</v>
      </c>
      <c r="D193" s="49">
        <v>1</v>
      </c>
      <c r="E193" s="49">
        <v>-1</v>
      </c>
      <c r="F193" s="33">
        <v>448</v>
      </c>
    </row>
    <row r="194" spans="2:6">
      <c r="B194" s="48">
        <v>1</v>
      </c>
      <c r="C194" s="88">
        <v>-1</v>
      </c>
      <c r="D194" s="49">
        <v>1</v>
      </c>
      <c r="E194" s="49">
        <v>-1</v>
      </c>
      <c r="F194" s="34">
        <v>639</v>
      </c>
    </row>
    <row r="195" spans="2:6">
      <c r="B195" s="48">
        <v>-1</v>
      </c>
      <c r="C195" s="88">
        <v>1</v>
      </c>
      <c r="D195" s="49">
        <v>1</v>
      </c>
      <c r="E195" s="49">
        <v>1</v>
      </c>
      <c r="F195" s="33">
        <v>851</v>
      </c>
    </row>
    <row r="196" spans="2:6">
      <c r="B196" s="48">
        <v>1</v>
      </c>
      <c r="C196" s="88">
        <v>1</v>
      </c>
      <c r="D196" s="49">
        <v>1</v>
      </c>
      <c r="E196" s="49">
        <v>1</v>
      </c>
      <c r="F196" s="33">
        <v>1029</v>
      </c>
    </row>
    <row r="197" spans="2:6">
      <c r="B197" s="48">
        <v>-1</v>
      </c>
      <c r="C197" s="88">
        <v>-1</v>
      </c>
      <c r="D197" s="49">
        <v>-1</v>
      </c>
      <c r="E197" s="49">
        <v>1</v>
      </c>
      <c r="F197" s="33">
        <v>173</v>
      </c>
    </row>
    <row r="198" spans="2:6">
      <c r="B198" s="48">
        <v>1</v>
      </c>
      <c r="C198" s="88">
        <v>-1</v>
      </c>
      <c r="D198" s="49">
        <v>-1</v>
      </c>
      <c r="E198" s="49">
        <v>1</v>
      </c>
      <c r="F198" s="33">
        <v>242</v>
      </c>
    </row>
    <row r="199" spans="2:6">
      <c r="B199" s="48">
        <v>-1</v>
      </c>
      <c r="C199" s="88">
        <v>1</v>
      </c>
      <c r="D199" s="49">
        <v>-1</v>
      </c>
      <c r="E199" s="49">
        <v>-1</v>
      </c>
      <c r="F199" s="33">
        <v>210</v>
      </c>
    </row>
    <row r="200" spans="2:6">
      <c r="B200" s="48">
        <v>1</v>
      </c>
      <c r="C200" s="88">
        <v>1</v>
      </c>
      <c r="D200" s="49">
        <v>-1</v>
      </c>
      <c r="E200" s="49">
        <v>-1</v>
      </c>
      <c r="F200" s="34">
        <v>271</v>
      </c>
    </row>
    <row r="201" spans="2:6">
      <c r="B201" s="48">
        <v>-1</v>
      </c>
      <c r="C201" s="88">
        <v>-1</v>
      </c>
      <c r="D201" s="49">
        <v>1</v>
      </c>
      <c r="E201" s="49">
        <v>-1</v>
      </c>
      <c r="F201" s="33">
        <v>420</v>
      </c>
    </row>
    <row r="202" spans="2:6">
      <c r="B202" s="48">
        <v>1</v>
      </c>
      <c r="C202" s="88">
        <v>-1</v>
      </c>
      <c r="D202" s="49">
        <v>1</v>
      </c>
      <c r="E202" s="49">
        <v>-1</v>
      </c>
      <c r="F202" s="33">
        <v>767</v>
      </c>
    </row>
    <row r="203" spans="2:6">
      <c r="B203" s="48">
        <v>-1</v>
      </c>
      <c r="C203" s="88">
        <v>1</v>
      </c>
      <c r="D203" s="49">
        <v>1</v>
      </c>
      <c r="E203" s="49">
        <v>1</v>
      </c>
      <c r="F203" s="34">
        <v>1139</v>
      </c>
    </row>
    <row r="204" spans="2:6" ht="15" thickBot="1">
      <c r="B204" s="50">
        <v>1</v>
      </c>
      <c r="C204" s="89">
        <v>1</v>
      </c>
      <c r="D204" s="51">
        <v>1</v>
      </c>
      <c r="E204" s="51">
        <v>1</v>
      </c>
      <c r="F204" s="35">
        <v>1119</v>
      </c>
    </row>
    <row r="206" spans="2:6">
      <c r="B206" t="s">
        <v>50</v>
      </c>
    </row>
    <row r="207" spans="2:6" ht="15" thickBot="1"/>
    <row r="208" spans="2:6">
      <c r="B208" s="90" t="s">
        <v>51</v>
      </c>
      <c r="C208" s="90"/>
    </row>
    <row r="209" spans="2:10">
      <c r="B209" t="s">
        <v>52</v>
      </c>
      <c r="C209">
        <v>0.97782534249918751</v>
      </c>
    </row>
    <row r="210" spans="2:10">
      <c r="B210" t="s">
        <v>53</v>
      </c>
      <c r="C210">
        <v>0.95614240043365339</v>
      </c>
    </row>
    <row r="211" spans="2:10">
      <c r="B211" t="s">
        <v>54</v>
      </c>
      <c r="C211">
        <v>0.94019418240952735</v>
      </c>
    </row>
    <row r="212" spans="2:10">
      <c r="B212" t="s">
        <v>55</v>
      </c>
      <c r="C212">
        <v>88.235866753935042</v>
      </c>
    </row>
    <row r="213" spans="2:10" ht="15" thickBot="1">
      <c r="B213" s="91" t="s">
        <v>56</v>
      </c>
      <c r="C213" s="91">
        <v>16</v>
      </c>
    </row>
    <row r="215" spans="2:10" ht="15" thickBot="1">
      <c r="B215" t="s">
        <v>57</v>
      </c>
    </row>
    <row r="216" spans="2:10">
      <c r="B216" s="92"/>
      <c r="C216" s="92" t="s">
        <v>58</v>
      </c>
      <c r="D216" s="92" t="s">
        <v>59</v>
      </c>
      <c r="E216" s="92" t="s">
        <v>60</v>
      </c>
      <c r="F216" s="92" t="s">
        <v>61</v>
      </c>
      <c r="G216" s="92" t="s">
        <v>62</v>
      </c>
    </row>
    <row r="217" spans="2:10">
      <c r="B217" t="s">
        <v>63</v>
      </c>
      <c r="C217">
        <v>4</v>
      </c>
      <c r="D217">
        <v>1867070.5</v>
      </c>
      <c r="E217">
        <v>466767.625</v>
      </c>
      <c r="F217">
        <v>59.95293010085679</v>
      </c>
      <c r="G217">
        <v>2.126848852615326E-7</v>
      </c>
    </row>
    <row r="218" spans="2:10">
      <c r="B218" t="s">
        <v>64</v>
      </c>
      <c r="C218">
        <v>11</v>
      </c>
      <c r="D218">
        <v>85641.249999999971</v>
      </c>
      <c r="E218">
        <v>7785.5681818181793</v>
      </c>
    </row>
    <row r="219" spans="2:10" ht="15" thickBot="1">
      <c r="B219" s="91" t="s">
        <v>65</v>
      </c>
      <c r="C219" s="91">
        <v>15</v>
      </c>
      <c r="D219" s="91">
        <v>1952711.75</v>
      </c>
      <c r="E219" s="91"/>
      <c r="F219" s="91"/>
      <c r="G219" s="91"/>
    </row>
    <row r="220" spans="2:10" ht="15" thickBot="1"/>
    <row r="221" spans="2:10">
      <c r="B221" s="92"/>
      <c r="C221" s="92" t="s">
        <v>66</v>
      </c>
      <c r="D221" s="92" t="s">
        <v>55</v>
      </c>
      <c r="E221" s="92" t="s">
        <v>67</v>
      </c>
      <c r="F221" s="92" t="s">
        <v>68</v>
      </c>
      <c r="G221" s="92" t="s">
        <v>69</v>
      </c>
      <c r="H221" s="92" t="s">
        <v>70</v>
      </c>
      <c r="I221" s="92" t="s">
        <v>71</v>
      </c>
      <c r="J221" s="92" t="s">
        <v>72</v>
      </c>
    </row>
    <row r="222" spans="2:10">
      <c r="B222" t="s">
        <v>73</v>
      </c>
      <c r="C222">
        <v>508.375</v>
      </c>
      <c r="D222">
        <v>22.058966688483761</v>
      </c>
      <c r="E222">
        <v>23.046183766413925</v>
      </c>
      <c r="F222">
        <v>1.1621293937234115E-10</v>
      </c>
      <c r="G222">
        <v>459.82354167169143</v>
      </c>
      <c r="H222">
        <v>556.92645832830851</v>
      </c>
      <c r="I222">
        <v>459.82354167169143</v>
      </c>
      <c r="J222">
        <v>556.92645832830851</v>
      </c>
    </row>
    <row r="223" spans="2:10">
      <c r="B223" t="s">
        <v>13</v>
      </c>
      <c r="C223">
        <v>60.12500000000005</v>
      </c>
      <c r="D223">
        <v>22.058966688483761</v>
      </c>
      <c r="E223">
        <v>2.7256489775375234</v>
      </c>
      <c r="F223">
        <v>1.9731212025249488E-2</v>
      </c>
      <c r="G223">
        <v>11.573541671691501</v>
      </c>
      <c r="H223">
        <v>108.6764583283086</v>
      </c>
      <c r="I223">
        <v>11.573541671691501</v>
      </c>
      <c r="J223">
        <v>108.6764583283086</v>
      </c>
    </row>
    <row r="224" spans="2:10">
      <c r="B224" t="s">
        <v>14</v>
      </c>
      <c r="C224">
        <v>118.74999999999996</v>
      </c>
      <c r="D224">
        <v>22.058966688483761</v>
      </c>
      <c r="E224">
        <v>5.3832983963838759</v>
      </c>
      <c r="F224">
        <v>2.2223556426522291E-4</v>
      </c>
      <c r="G224">
        <v>70.198541671691402</v>
      </c>
      <c r="H224">
        <v>167.30145832830851</v>
      </c>
      <c r="I224">
        <v>70.198541671691402</v>
      </c>
      <c r="J224">
        <v>167.30145832830851</v>
      </c>
    </row>
    <row r="225" spans="1:18">
      <c r="B225" t="s">
        <v>15</v>
      </c>
      <c r="C225">
        <v>293.12499999999989</v>
      </c>
      <c r="D225">
        <v>22.058966688483761</v>
      </c>
      <c r="E225">
        <v>13.288247094231776</v>
      </c>
      <c r="F225">
        <v>4.0514878721525068E-8</v>
      </c>
      <c r="G225">
        <v>244.57354167169134</v>
      </c>
      <c r="H225">
        <v>341.67645832830846</v>
      </c>
      <c r="I225">
        <v>244.57354167169134</v>
      </c>
      <c r="J225">
        <v>341.67645832830846</v>
      </c>
    </row>
    <row r="226" spans="1:18" ht="15" thickBot="1">
      <c r="B226" s="91" t="s">
        <v>25</v>
      </c>
      <c r="C226" s="91">
        <v>114.24999999999993</v>
      </c>
      <c r="D226" s="91">
        <v>22.058966688483761</v>
      </c>
      <c r="E226" s="91">
        <v>5.1792997203103797</v>
      </c>
      <c r="F226" s="91">
        <v>3.0408129232274619E-4</v>
      </c>
      <c r="G226" s="91">
        <v>65.698541671691373</v>
      </c>
      <c r="H226" s="91">
        <v>162.80145832830848</v>
      </c>
      <c r="I226" s="91">
        <v>65.698541671691373</v>
      </c>
      <c r="J226" s="91">
        <v>162.80145832830848</v>
      </c>
    </row>
    <row r="228" spans="1:18" ht="19.5" thickBot="1">
      <c r="A228" s="267" t="s">
        <v>77</v>
      </c>
      <c r="B228" s="261"/>
      <c r="C228" s="261"/>
      <c r="D228" s="261"/>
      <c r="E228" s="261"/>
      <c r="F228" s="261"/>
      <c r="G228" s="261"/>
      <c r="H228" s="261"/>
      <c r="I228" s="261"/>
      <c r="J228" s="261"/>
      <c r="K228" s="261"/>
      <c r="L228" s="261"/>
      <c r="M228" s="261"/>
      <c r="N228" s="261"/>
      <c r="O228" s="261"/>
      <c r="P228" s="261"/>
      <c r="Q228" s="261"/>
      <c r="R228" s="261"/>
    </row>
    <row r="229" spans="1:18" ht="15" thickTop="1"/>
    <row r="230" spans="1:18">
      <c r="B230" s="283"/>
      <c r="C230" s="283"/>
      <c r="D230" s="283"/>
      <c r="E230" s="283"/>
      <c r="F230" s="283"/>
      <c r="G230" s="283"/>
      <c r="H230" s="283"/>
      <c r="I230" s="283"/>
      <c r="J230" s="283"/>
      <c r="K230" s="283"/>
    </row>
    <row r="231" spans="1:18">
      <c r="B231" s="283"/>
      <c r="C231" s="283"/>
      <c r="D231" s="283"/>
      <c r="E231" s="283"/>
      <c r="F231" s="283"/>
      <c r="G231" s="283"/>
      <c r="H231" s="283"/>
      <c r="I231" s="283"/>
      <c r="J231" s="283"/>
      <c r="K231" s="283"/>
    </row>
    <row r="233" spans="1:18">
      <c r="B233" s="283"/>
      <c r="C233" s="283"/>
      <c r="D233" s="283"/>
      <c r="E233" s="283"/>
      <c r="F233" s="283"/>
      <c r="G233" s="283"/>
      <c r="H233" s="283"/>
      <c r="I233" s="283"/>
      <c r="J233" s="283"/>
      <c r="K233" s="283"/>
      <c r="L233" s="283"/>
      <c r="M233" s="283"/>
      <c r="N233" s="283"/>
      <c r="O233" s="283"/>
    </row>
    <row r="234" spans="1:18">
      <c r="B234" s="283"/>
      <c r="C234" s="283"/>
      <c r="D234" s="283"/>
      <c r="E234" s="283"/>
      <c r="F234" s="283"/>
      <c r="G234" s="283"/>
      <c r="H234" s="283"/>
      <c r="I234" s="283"/>
      <c r="J234" s="283"/>
      <c r="K234" s="283"/>
      <c r="L234" s="283"/>
      <c r="M234" s="283"/>
      <c r="N234" s="283"/>
      <c r="O234" s="283"/>
    </row>
    <row r="235" spans="1:18">
      <c r="B235" s="283"/>
      <c r="C235" s="283"/>
      <c r="D235" s="283"/>
      <c r="E235" s="283"/>
      <c r="F235" s="283"/>
      <c r="G235" s="283"/>
      <c r="H235" s="283"/>
      <c r="I235" s="283"/>
      <c r="J235" s="283"/>
      <c r="K235" s="283"/>
      <c r="L235" s="283"/>
      <c r="M235" s="283"/>
      <c r="N235" s="283"/>
      <c r="O235" s="283"/>
    </row>
    <row r="237" spans="1:18" ht="15.75">
      <c r="B237" s="284" t="s">
        <v>78</v>
      </c>
      <c r="C237" s="284"/>
      <c r="D237" s="284"/>
      <c r="E237" s="284"/>
      <c r="F237" s="284"/>
    </row>
    <row r="251" spans="1:18" ht="19.5" thickBot="1">
      <c r="A251" s="267" t="s">
        <v>80</v>
      </c>
      <c r="B251" s="261"/>
      <c r="C251" s="261"/>
      <c r="D251" s="261"/>
      <c r="E251" s="261"/>
      <c r="F251" s="261"/>
      <c r="G251" s="261"/>
      <c r="H251" s="261"/>
      <c r="I251" s="261"/>
      <c r="J251" s="261"/>
      <c r="K251" s="261"/>
      <c r="L251" s="261"/>
      <c r="M251" s="261"/>
      <c r="N251" s="261"/>
      <c r="O251" s="261"/>
      <c r="P251" s="261"/>
      <c r="Q251" s="261"/>
      <c r="R251" s="261"/>
    </row>
    <row r="252" spans="1:18" ht="15" thickTop="1"/>
    <row r="253" spans="1:18" ht="15.75" customHeight="1">
      <c r="B253" s="277" t="s">
        <v>81</v>
      </c>
      <c r="C253" s="278"/>
      <c r="D253" s="279" t="s">
        <v>88</v>
      </c>
      <c r="E253" s="279"/>
      <c r="F253" s="279"/>
      <c r="G253" s="279"/>
      <c r="H253" s="279"/>
      <c r="I253" s="279"/>
      <c r="J253" s="279"/>
      <c r="K253" s="279"/>
      <c r="L253" s="279"/>
      <c r="M253" s="279"/>
      <c r="N253" s="279"/>
      <c r="O253" s="279"/>
      <c r="P253" s="280"/>
    </row>
    <row r="255" spans="1:18" ht="15">
      <c r="B255" s="277" t="s">
        <v>82</v>
      </c>
      <c r="C255" s="278"/>
      <c r="D255" s="110">
        <v>483.71</v>
      </c>
      <c r="E255" s="111" t="s">
        <v>83</v>
      </c>
      <c r="F255" s="110">
        <v>24.05</v>
      </c>
      <c r="G255" s="111" t="s">
        <v>84</v>
      </c>
      <c r="H255" s="110">
        <v>-7.4516999999999998</v>
      </c>
      <c r="I255" s="111" t="s">
        <v>85</v>
      </c>
      <c r="J255" s="110">
        <v>-0.93710000000000004</v>
      </c>
      <c r="K255" s="111" t="s">
        <v>86</v>
      </c>
      <c r="L255" s="112">
        <v>7.0499999999999998E-3</v>
      </c>
      <c r="M255" s="114" t="s">
        <v>87</v>
      </c>
      <c r="N255" s="115"/>
      <c r="O255" s="115"/>
      <c r="P255" s="116"/>
    </row>
    <row r="258" spans="1:18" ht="19.5" thickBot="1">
      <c r="A258" s="267" t="s">
        <v>89</v>
      </c>
      <c r="B258" s="261"/>
      <c r="C258" s="261"/>
      <c r="D258" s="261"/>
      <c r="E258" s="261"/>
      <c r="F258" s="261"/>
      <c r="G258" s="261"/>
      <c r="H258" s="261"/>
      <c r="I258" s="261"/>
      <c r="J258" s="261"/>
      <c r="K258" s="261"/>
      <c r="L258" s="261"/>
      <c r="M258" s="261"/>
      <c r="N258" s="261"/>
      <c r="O258" s="261"/>
      <c r="P258" s="261"/>
      <c r="Q258" s="261"/>
      <c r="R258" s="261"/>
    </row>
    <row r="259" spans="1:18" ht="15" thickTop="1"/>
    <row r="261" spans="1:18" ht="19.5" thickBot="1">
      <c r="A261" s="267" t="s">
        <v>90</v>
      </c>
      <c r="B261" s="261"/>
      <c r="C261" s="261"/>
      <c r="D261" s="261"/>
      <c r="E261" s="261"/>
      <c r="F261" s="261"/>
      <c r="G261" s="261"/>
      <c r="H261" s="261"/>
      <c r="I261" s="261"/>
      <c r="J261" s="261"/>
      <c r="K261" s="261"/>
      <c r="L261" s="261"/>
      <c r="M261" s="261"/>
      <c r="N261" s="261"/>
      <c r="O261" s="261"/>
      <c r="P261" s="261"/>
      <c r="Q261" s="261"/>
      <c r="R261" s="261"/>
    </row>
    <row r="262" spans="1:18" ht="15" thickTop="1"/>
    <row r="263" spans="1:18">
      <c r="B263" s="295" t="s">
        <v>91</v>
      </c>
      <c r="C263" s="295"/>
      <c r="I263" s="295" t="s">
        <v>92</v>
      </c>
      <c r="J263" s="295"/>
    </row>
    <row r="265" spans="1:18">
      <c r="B265" t="s">
        <v>50</v>
      </c>
      <c r="I265" t="s">
        <v>50</v>
      </c>
    </row>
    <row r="266" spans="1:18" ht="15" thickBot="1"/>
    <row r="267" spans="1:18">
      <c r="B267" s="90" t="s">
        <v>51</v>
      </c>
      <c r="C267" s="90"/>
      <c r="I267" s="90" t="s">
        <v>51</v>
      </c>
      <c r="J267" s="90"/>
    </row>
    <row r="268" spans="1:18">
      <c r="B268" t="s">
        <v>52</v>
      </c>
      <c r="C268">
        <v>0.98555588164986185</v>
      </c>
      <c r="I268" t="s">
        <v>52</v>
      </c>
      <c r="J268">
        <v>0.97782534249918751</v>
      </c>
    </row>
    <row r="269" spans="1:18">
      <c r="B269" t="s">
        <v>53</v>
      </c>
      <c r="C269">
        <v>0.97132039585463648</v>
      </c>
      <c r="I269" t="s">
        <v>53</v>
      </c>
      <c r="J269">
        <v>0.95614240043365339</v>
      </c>
    </row>
    <row r="270" spans="1:18">
      <c r="B270" t="s">
        <v>54</v>
      </c>
      <c r="C270">
        <v>0.94622574222744338</v>
      </c>
      <c r="I270" t="s">
        <v>54</v>
      </c>
      <c r="J270">
        <v>0.94019418240952735</v>
      </c>
    </row>
    <row r="271" spans="1:18">
      <c r="B271" t="s">
        <v>55</v>
      </c>
      <c r="C271">
        <v>83.668243677036713</v>
      </c>
      <c r="I271" t="s">
        <v>55</v>
      </c>
      <c r="J271">
        <v>88.235866753935042</v>
      </c>
    </row>
    <row r="272" spans="1:18" ht="15" thickBot="1">
      <c r="B272" s="91" t="s">
        <v>56</v>
      </c>
      <c r="C272" s="91">
        <v>16</v>
      </c>
      <c r="I272" s="91" t="s">
        <v>56</v>
      </c>
      <c r="J272" s="91">
        <v>16</v>
      </c>
    </row>
    <row r="274" spans="1:18" ht="15" thickBot="1">
      <c r="B274" t="s">
        <v>57</v>
      </c>
      <c r="I274" t="s">
        <v>57</v>
      </c>
    </row>
    <row r="275" spans="1:18">
      <c r="B275" s="92"/>
      <c r="C275" s="92" t="s">
        <v>58</v>
      </c>
      <c r="D275" s="92" t="s">
        <v>59</v>
      </c>
      <c r="E275" s="92" t="s">
        <v>60</v>
      </c>
      <c r="F275" s="92" t="s">
        <v>61</v>
      </c>
      <c r="G275" s="92" t="s">
        <v>62</v>
      </c>
      <c r="I275" s="92"/>
      <c r="J275" s="92" t="s">
        <v>58</v>
      </c>
      <c r="K275" s="92" t="s">
        <v>59</v>
      </c>
      <c r="L275" s="92" t="s">
        <v>60</v>
      </c>
      <c r="M275" s="92" t="s">
        <v>61</v>
      </c>
      <c r="N275" s="92" t="s">
        <v>62</v>
      </c>
    </row>
    <row r="276" spans="1:18">
      <c r="B276" t="s">
        <v>63</v>
      </c>
      <c r="C276">
        <v>7</v>
      </c>
      <c r="D276">
        <v>1896708.75</v>
      </c>
      <c r="E276">
        <v>270958.39285714284</v>
      </c>
      <c r="F276">
        <v>38.706268286647941</v>
      </c>
      <c r="G276">
        <v>1.4978064268931786E-5</v>
      </c>
      <c r="I276" t="s">
        <v>63</v>
      </c>
      <c r="J276">
        <v>4</v>
      </c>
      <c r="K276">
        <v>1867070.5</v>
      </c>
      <c r="L276">
        <v>466767.625</v>
      </c>
      <c r="M276">
        <v>59.95293010085679</v>
      </c>
      <c r="N276">
        <v>2.126848852615326E-7</v>
      </c>
    </row>
    <row r="277" spans="1:18">
      <c r="B277" t="s">
        <v>64</v>
      </c>
      <c r="C277">
        <v>8</v>
      </c>
      <c r="D277">
        <v>56002.999999999949</v>
      </c>
      <c r="E277">
        <v>7000.3749999999936</v>
      </c>
      <c r="I277" t="s">
        <v>64</v>
      </c>
      <c r="J277">
        <v>11</v>
      </c>
      <c r="K277">
        <v>85641.249999999971</v>
      </c>
      <c r="L277">
        <v>7785.5681818181793</v>
      </c>
    </row>
    <row r="278" spans="1:18" ht="15" thickBot="1">
      <c r="B278" s="91" t="s">
        <v>65</v>
      </c>
      <c r="C278" s="91">
        <v>15</v>
      </c>
      <c r="D278" s="91">
        <v>1952711.75</v>
      </c>
      <c r="E278" s="91"/>
      <c r="F278" s="91"/>
      <c r="G278" s="91"/>
      <c r="I278" s="91" t="s">
        <v>65</v>
      </c>
      <c r="J278" s="91">
        <v>15</v>
      </c>
      <c r="K278" s="91">
        <v>1952711.75</v>
      </c>
      <c r="L278" s="91"/>
      <c r="M278" s="91"/>
      <c r="N278" s="91"/>
    </row>
    <row r="279" spans="1:18" ht="15" thickBot="1"/>
    <row r="280" spans="1:18" ht="15" thickBot="1">
      <c r="B280" s="98" t="s">
        <v>93</v>
      </c>
      <c r="C280" s="117">
        <f>D276/D278</f>
        <v>0.97132039585463648</v>
      </c>
      <c r="D280" s="99" t="s">
        <v>94</v>
      </c>
      <c r="E280" s="118">
        <f>C269</f>
        <v>0.97132039585463648</v>
      </c>
      <c r="I280" s="98" t="s">
        <v>93</v>
      </c>
      <c r="J280" s="117">
        <f>K276/K278</f>
        <v>0.95614240043365339</v>
      </c>
      <c r="K280" s="99" t="s">
        <v>94</v>
      </c>
      <c r="L280" s="118">
        <f>J269</f>
        <v>0.95614240043365339</v>
      </c>
    </row>
    <row r="282" spans="1:18">
      <c r="B282" s="285" t="s">
        <v>95</v>
      </c>
      <c r="C282" s="286"/>
      <c r="D282" s="286"/>
      <c r="E282" s="286"/>
      <c r="F282" s="286"/>
      <c r="G282" s="287"/>
    </row>
    <row r="283" spans="1:18">
      <c r="B283" s="288"/>
      <c r="C283" s="289"/>
      <c r="D283" s="289"/>
      <c r="E283" s="289"/>
      <c r="F283" s="289"/>
      <c r="G283" s="290"/>
    </row>
    <row r="284" spans="1:18">
      <c r="B284" s="288"/>
      <c r="C284" s="289"/>
      <c r="D284" s="289"/>
      <c r="E284" s="289"/>
      <c r="F284" s="289"/>
      <c r="G284" s="290"/>
    </row>
    <row r="285" spans="1:18">
      <c r="B285" s="291"/>
      <c r="C285" s="292"/>
      <c r="D285" s="292"/>
      <c r="E285" s="292"/>
      <c r="F285" s="292"/>
      <c r="G285" s="293"/>
    </row>
    <row r="288" spans="1:18" ht="19.5" thickBot="1">
      <c r="A288" s="267" t="s">
        <v>96</v>
      </c>
      <c r="B288" s="261"/>
      <c r="C288" s="261"/>
      <c r="D288" s="261"/>
      <c r="E288" s="261"/>
      <c r="F288" s="261"/>
      <c r="G288" s="261"/>
      <c r="H288" s="261"/>
      <c r="I288" s="261"/>
      <c r="J288" s="261"/>
      <c r="K288" s="261"/>
      <c r="L288" s="261"/>
      <c r="M288" s="261"/>
      <c r="N288" s="261"/>
      <c r="O288" s="261"/>
      <c r="P288" s="261"/>
      <c r="Q288" s="261"/>
      <c r="R288" s="261"/>
    </row>
    <row r="289" spans="1:18" ht="15" thickTop="1"/>
    <row r="290" spans="1:18" ht="15">
      <c r="B290" s="294" t="s">
        <v>97</v>
      </c>
      <c r="C290" s="294"/>
      <c r="E290" s="294" t="s">
        <v>98</v>
      </c>
      <c r="F290" s="294"/>
      <c r="G290" s="294"/>
    </row>
    <row r="297" spans="1:18">
      <c r="B297" s="285" t="s">
        <v>99</v>
      </c>
      <c r="C297" s="286"/>
      <c r="D297" s="286"/>
      <c r="E297" s="286"/>
      <c r="F297" s="286"/>
      <c r="G297" s="286"/>
      <c r="H297" s="286"/>
      <c r="I297" s="286"/>
      <c r="J297" s="286"/>
      <c r="K297" s="287"/>
    </row>
    <row r="298" spans="1:18">
      <c r="B298" s="291"/>
      <c r="C298" s="292"/>
      <c r="D298" s="292"/>
      <c r="E298" s="292"/>
      <c r="F298" s="292"/>
      <c r="G298" s="292"/>
      <c r="H298" s="292"/>
      <c r="I298" s="292"/>
      <c r="J298" s="292"/>
      <c r="K298" s="293"/>
    </row>
    <row r="301" spans="1:18" ht="19.5" thickBot="1">
      <c r="A301" s="267" t="s">
        <v>100</v>
      </c>
      <c r="B301" s="261"/>
      <c r="C301" s="261"/>
      <c r="D301" s="261"/>
      <c r="E301" s="261"/>
      <c r="F301" s="261"/>
      <c r="G301" s="261"/>
      <c r="H301" s="261"/>
      <c r="I301" s="261"/>
      <c r="J301" s="261"/>
      <c r="K301" s="261"/>
      <c r="L301" s="261"/>
      <c r="M301" s="261"/>
      <c r="N301" s="261"/>
      <c r="O301" s="261"/>
      <c r="P301" s="261"/>
      <c r="Q301" s="261"/>
      <c r="R301" s="261"/>
    </row>
    <row r="302" spans="1:18" ht="15" thickTop="1"/>
    <row r="303" spans="1:18">
      <c r="B303" t="s">
        <v>50</v>
      </c>
    </row>
    <row r="304" spans="1:18" ht="15" thickBot="1">
      <c r="L304" s="285" t="s">
        <v>233</v>
      </c>
      <c r="M304" s="286"/>
      <c r="N304" s="286"/>
      <c r="O304" s="286"/>
      <c r="P304" s="286"/>
      <c r="Q304" s="287"/>
    </row>
    <row r="305" spans="2:18">
      <c r="B305" s="90" t="s">
        <v>51</v>
      </c>
      <c r="C305" s="90"/>
      <c r="L305" s="288"/>
      <c r="M305" s="289"/>
      <c r="N305" s="289"/>
      <c r="O305" s="289"/>
      <c r="P305" s="289"/>
      <c r="Q305" s="290"/>
    </row>
    <row r="306" spans="2:18">
      <c r="B306" t="s">
        <v>52</v>
      </c>
      <c r="C306">
        <v>0.97782534249918751</v>
      </c>
      <c r="L306" s="288"/>
      <c r="M306" s="289"/>
      <c r="N306" s="289"/>
      <c r="O306" s="289"/>
      <c r="P306" s="289"/>
      <c r="Q306" s="290"/>
    </row>
    <row r="307" spans="2:18">
      <c r="B307" t="s">
        <v>53</v>
      </c>
      <c r="C307">
        <v>0.95614240043365339</v>
      </c>
      <c r="L307" s="288"/>
      <c r="M307" s="289"/>
      <c r="N307" s="289"/>
      <c r="O307" s="289"/>
      <c r="P307" s="289"/>
      <c r="Q307" s="290"/>
    </row>
    <row r="308" spans="2:18">
      <c r="B308" t="s">
        <v>54</v>
      </c>
      <c r="C308">
        <v>0.94019418240952735</v>
      </c>
      <c r="L308" s="288"/>
      <c r="M308" s="289"/>
      <c r="N308" s="289"/>
      <c r="O308" s="289"/>
      <c r="P308" s="289"/>
      <c r="Q308" s="290"/>
    </row>
    <row r="309" spans="2:18">
      <c r="B309" t="s">
        <v>55</v>
      </c>
      <c r="C309">
        <v>88.235866753935042</v>
      </c>
      <c r="L309" s="291"/>
      <c r="M309" s="292"/>
      <c r="N309" s="292"/>
      <c r="O309" s="292"/>
      <c r="P309" s="292"/>
      <c r="Q309" s="293"/>
    </row>
    <row r="310" spans="2:18" ht="15" thickBot="1">
      <c r="B310" s="91" t="s">
        <v>56</v>
      </c>
      <c r="C310" s="91">
        <v>16</v>
      </c>
    </row>
    <row r="312" spans="2:18" ht="15" thickBot="1">
      <c r="B312" t="s">
        <v>57</v>
      </c>
    </row>
    <row r="313" spans="2:18" ht="15">
      <c r="B313" s="92"/>
      <c r="C313" s="92" t="s">
        <v>58</v>
      </c>
      <c r="D313" s="92" t="s">
        <v>59</v>
      </c>
      <c r="E313" s="92" t="s">
        <v>60</v>
      </c>
      <c r="F313" s="92" t="s">
        <v>61</v>
      </c>
      <c r="G313" s="92" t="s">
        <v>62</v>
      </c>
      <c r="L313" s="296" t="s">
        <v>101</v>
      </c>
      <c r="M313" s="297"/>
      <c r="N313" s="297"/>
      <c r="O313" s="297"/>
      <c r="P313" s="297"/>
      <c r="Q313" s="297"/>
      <c r="R313" s="298"/>
    </row>
    <row r="314" spans="2:18" ht="15">
      <c r="B314" t="s">
        <v>63</v>
      </c>
      <c r="C314">
        <v>4</v>
      </c>
      <c r="D314">
        <v>1867070.5</v>
      </c>
      <c r="E314">
        <v>466767.625</v>
      </c>
      <c r="F314">
        <v>59.95293010085679</v>
      </c>
      <c r="G314">
        <v>2.126848852615326E-7</v>
      </c>
      <c r="L314" s="299" t="s">
        <v>102</v>
      </c>
      <c r="M314" s="300"/>
      <c r="R314" s="119"/>
    </row>
    <row r="315" spans="2:18" ht="15">
      <c r="B315" t="s">
        <v>64</v>
      </c>
      <c r="C315">
        <v>11</v>
      </c>
      <c r="D315">
        <v>85641.249999999971</v>
      </c>
      <c r="E315">
        <v>7785.5681818181793</v>
      </c>
      <c r="L315" s="299" t="s">
        <v>103</v>
      </c>
      <c r="M315" s="300"/>
      <c r="N315" s="300"/>
      <c r="O315" s="300"/>
      <c r="P315" s="300"/>
      <c r="Q315" s="300"/>
      <c r="R315" s="119"/>
    </row>
    <row r="316" spans="2:18" ht="15.75" thickBot="1">
      <c r="B316" s="91" t="s">
        <v>65</v>
      </c>
      <c r="C316" s="91">
        <v>15</v>
      </c>
      <c r="D316" s="91">
        <v>1952711.75</v>
      </c>
      <c r="E316" s="91"/>
      <c r="F316" s="91"/>
      <c r="G316" s="91"/>
      <c r="L316" s="301" t="s">
        <v>104</v>
      </c>
      <c r="M316" s="302"/>
      <c r="N316" s="126">
        <f>F314</f>
        <v>59.95293010085679</v>
      </c>
      <c r="O316" s="128" t="s">
        <v>108</v>
      </c>
      <c r="Q316" s="121"/>
      <c r="R316" s="119"/>
    </row>
    <row r="317" spans="2:18" ht="15.75" thickBot="1">
      <c r="L317" s="301" t="s">
        <v>106</v>
      </c>
      <c r="M317" s="302"/>
      <c r="N317" s="126">
        <f>_xlfn.F.INV(1-0.03,C314,C315)</f>
        <v>4.0230686252916588</v>
      </c>
      <c r="O317" s="128"/>
      <c r="R317" s="122"/>
    </row>
    <row r="318" spans="2:18" ht="15.75" thickBot="1">
      <c r="B318" s="92"/>
      <c r="C318" s="92" t="s">
        <v>66</v>
      </c>
      <c r="D318" s="92" t="s">
        <v>55</v>
      </c>
      <c r="E318" s="92" t="s">
        <v>67</v>
      </c>
      <c r="F318" s="92" t="s">
        <v>68</v>
      </c>
      <c r="G318" s="92" t="s">
        <v>69</v>
      </c>
      <c r="H318" s="92" t="s">
        <v>70</v>
      </c>
      <c r="I318" s="92" t="s">
        <v>71</v>
      </c>
      <c r="J318" s="92" t="s">
        <v>72</v>
      </c>
      <c r="L318" s="303" t="s">
        <v>107</v>
      </c>
      <c r="M318" s="304"/>
      <c r="N318" s="127">
        <f>G314</f>
        <v>2.126848852615326E-7</v>
      </c>
      <c r="O318" s="129" t="s">
        <v>109</v>
      </c>
      <c r="P318" s="91"/>
      <c r="Q318" s="123"/>
      <c r="R318" s="124"/>
    </row>
    <row r="319" spans="2:18">
      <c r="B319" t="s">
        <v>73</v>
      </c>
      <c r="C319">
        <v>508.375</v>
      </c>
      <c r="D319">
        <v>22.058966688483761</v>
      </c>
      <c r="E319">
        <v>23.046183766413925</v>
      </c>
      <c r="F319">
        <v>1.1621293937234115E-10</v>
      </c>
      <c r="G319">
        <v>459.82354167169143</v>
      </c>
      <c r="H319">
        <v>556.92645832830851</v>
      </c>
      <c r="I319">
        <v>459.82354167169143</v>
      </c>
      <c r="J319">
        <v>556.92645832830851</v>
      </c>
    </row>
    <row r="320" spans="2:18">
      <c r="B320" t="s">
        <v>13</v>
      </c>
      <c r="C320">
        <v>60.12500000000005</v>
      </c>
      <c r="D320">
        <v>22.058966688483761</v>
      </c>
      <c r="E320">
        <v>2.7256489775375234</v>
      </c>
      <c r="F320">
        <v>1.9731212025249488E-2</v>
      </c>
      <c r="G320">
        <v>11.573541671691501</v>
      </c>
      <c r="H320">
        <v>108.6764583283086</v>
      </c>
      <c r="I320">
        <v>11.573541671691501</v>
      </c>
      <c r="J320">
        <v>108.6764583283086</v>
      </c>
    </row>
    <row r="321" spans="1:26">
      <c r="B321" t="s">
        <v>14</v>
      </c>
      <c r="C321">
        <v>118.74999999999996</v>
      </c>
      <c r="D321">
        <v>22.058966688483761</v>
      </c>
      <c r="E321">
        <v>5.3832983963838759</v>
      </c>
      <c r="F321">
        <v>2.2223556426522291E-4</v>
      </c>
      <c r="G321">
        <v>70.198541671691402</v>
      </c>
      <c r="H321">
        <v>167.30145832830851</v>
      </c>
      <c r="I321">
        <v>70.198541671691402</v>
      </c>
      <c r="J321">
        <v>167.30145832830851</v>
      </c>
    </row>
    <row r="322" spans="1:26">
      <c r="B322" t="s">
        <v>15</v>
      </c>
      <c r="C322">
        <v>293.12499999999989</v>
      </c>
      <c r="D322">
        <v>22.058966688483761</v>
      </c>
      <c r="E322">
        <v>13.288247094231776</v>
      </c>
      <c r="F322">
        <v>4.0514878721525068E-8</v>
      </c>
      <c r="G322">
        <v>244.57354167169134</v>
      </c>
      <c r="H322">
        <v>341.67645832830846</v>
      </c>
      <c r="I322">
        <v>244.57354167169134</v>
      </c>
      <c r="J322">
        <v>341.67645832830846</v>
      </c>
    </row>
    <row r="323" spans="1:26" ht="15" thickBot="1">
      <c r="B323" s="91" t="s">
        <v>25</v>
      </c>
      <c r="C323" s="91">
        <v>114.24999999999993</v>
      </c>
      <c r="D323" s="91">
        <v>22.058966688483761</v>
      </c>
      <c r="E323" s="91">
        <v>5.1792997203103797</v>
      </c>
      <c r="F323" s="91">
        <v>3.0408129232274619E-4</v>
      </c>
      <c r="G323" s="91">
        <v>65.698541671691373</v>
      </c>
      <c r="H323" s="91">
        <v>162.80145832830848</v>
      </c>
      <c r="I323" s="91">
        <v>65.698541671691373</v>
      </c>
      <c r="J323" s="91">
        <v>162.80145832830848</v>
      </c>
    </row>
    <row r="326" spans="1:26" ht="19.5" thickBot="1">
      <c r="A326" s="267" t="s">
        <v>110</v>
      </c>
      <c r="B326" s="261"/>
      <c r="C326" s="261"/>
      <c r="D326" s="261"/>
      <c r="E326" s="261"/>
      <c r="F326" s="261"/>
      <c r="G326" s="261"/>
      <c r="H326" s="261"/>
      <c r="I326" s="261"/>
      <c r="J326" s="261"/>
      <c r="K326" s="261"/>
      <c r="L326" s="261"/>
      <c r="M326" s="261"/>
      <c r="N326" s="261"/>
      <c r="O326" s="261"/>
      <c r="P326" s="261"/>
      <c r="Q326" s="261"/>
      <c r="R326" s="261"/>
    </row>
    <row r="327" spans="1:26" ht="15.75" thickTop="1" thickBot="1"/>
    <row r="328" spans="1:26" ht="15.75" thickBot="1">
      <c r="B328" s="81" t="s">
        <v>13</v>
      </c>
      <c r="C328" s="95" t="s">
        <v>14</v>
      </c>
      <c r="D328" s="82" t="s">
        <v>15</v>
      </c>
      <c r="E328" s="82" t="s">
        <v>25</v>
      </c>
      <c r="F328" s="84" t="s">
        <v>49</v>
      </c>
      <c r="H328" s="43" t="s">
        <v>57</v>
      </c>
      <c r="I328" s="43"/>
      <c r="J328" s="43"/>
      <c r="K328" s="43"/>
      <c r="L328" s="43"/>
      <c r="M328" s="43"/>
      <c r="R328" s="368"/>
      <c r="S328" s="368"/>
      <c r="T328" s="368"/>
      <c r="U328" s="368"/>
      <c r="V328" s="368"/>
      <c r="W328" s="368"/>
      <c r="X328" s="368"/>
      <c r="Y328" s="368"/>
      <c r="Z328" s="368"/>
    </row>
    <row r="329" spans="1:26">
      <c r="B329" s="375">
        <v>-1</v>
      </c>
      <c r="C329" s="376">
        <v>-1</v>
      </c>
      <c r="D329" s="377">
        <v>-1</v>
      </c>
      <c r="E329" s="377">
        <v>1</v>
      </c>
      <c r="F329" s="371">
        <v>186</v>
      </c>
      <c r="H329" s="92"/>
      <c r="I329" s="92" t="s">
        <v>58</v>
      </c>
      <c r="J329" s="92" t="s">
        <v>59</v>
      </c>
      <c r="K329" s="92" t="s">
        <v>60</v>
      </c>
      <c r="L329" s="92" t="s">
        <v>61</v>
      </c>
      <c r="M329" s="140" t="s">
        <v>114</v>
      </c>
      <c r="N329" s="92" t="s">
        <v>62</v>
      </c>
      <c r="R329" s="368"/>
      <c r="S329" s="368"/>
      <c r="T329" s="368"/>
      <c r="U329" s="368"/>
      <c r="V329" s="368"/>
      <c r="W329" s="368"/>
      <c r="X329" s="368"/>
      <c r="Y329" s="368"/>
      <c r="Z329" s="368"/>
    </row>
    <row r="330" spans="1:26">
      <c r="B330" s="374">
        <v>1</v>
      </c>
      <c r="C330" s="378">
        <v>-1</v>
      </c>
      <c r="D330" s="379">
        <v>-1</v>
      </c>
      <c r="E330" s="379">
        <v>1</v>
      </c>
      <c r="F330" s="372">
        <v>242</v>
      </c>
      <c r="H330" t="s">
        <v>63</v>
      </c>
      <c r="I330">
        <v>4</v>
      </c>
      <c r="J330">
        <v>1867070.5000000002</v>
      </c>
      <c r="K330">
        <v>466767.62500000006</v>
      </c>
      <c r="L330">
        <v>17.616596051714428</v>
      </c>
      <c r="M330" s="141">
        <f>_xlfn.F.INV(0.95,I330,I331)</f>
        <v>3.0069172799243433</v>
      </c>
      <c r="N330">
        <v>1.0336641247313177E-5</v>
      </c>
      <c r="R330" s="369"/>
      <c r="S330" s="369"/>
      <c r="T330" s="368"/>
      <c r="U330" s="368"/>
      <c r="V330" s="368"/>
      <c r="W330" s="368"/>
      <c r="X330" s="368"/>
      <c r="Y330" s="368"/>
      <c r="Z330" s="368"/>
    </row>
    <row r="331" spans="1:26">
      <c r="B331" s="374">
        <v>-1</v>
      </c>
      <c r="C331" s="378">
        <v>1</v>
      </c>
      <c r="D331" s="379">
        <v>-1</v>
      </c>
      <c r="E331" s="379">
        <v>-1</v>
      </c>
      <c r="F331" s="372">
        <v>159</v>
      </c>
      <c r="H331" t="s">
        <v>64</v>
      </c>
      <c r="I331">
        <v>16</v>
      </c>
      <c r="J331">
        <v>423934.45238095225</v>
      </c>
      <c r="K331">
        <v>26495.903273809516</v>
      </c>
      <c r="M331" s="141"/>
      <c r="R331" s="367"/>
      <c r="S331" s="367"/>
      <c r="T331" s="368"/>
      <c r="U331" s="368"/>
      <c r="V331" s="368"/>
      <c r="W331" s="368"/>
      <c r="X331" s="368"/>
      <c r="Y331" s="368"/>
      <c r="Z331" s="368"/>
    </row>
    <row r="332" spans="1:26">
      <c r="B332" s="374">
        <v>1</v>
      </c>
      <c r="C332" s="378">
        <v>1</v>
      </c>
      <c r="D332" s="379">
        <v>-1</v>
      </c>
      <c r="E332" s="379">
        <v>-1</v>
      </c>
      <c r="F332" s="372">
        <v>239</v>
      </c>
      <c r="H332" s="141" t="s">
        <v>115</v>
      </c>
      <c r="I332" s="141">
        <f>I331-I333</f>
        <v>4</v>
      </c>
      <c r="J332" s="141">
        <f>J331-J333</f>
        <v>320200.65238095226</v>
      </c>
      <c r="K332" s="141">
        <f>J332/I332</f>
        <v>80050.163095238066</v>
      </c>
      <c r="L332" s="141">
        <f>K332/K333</f>
        <v>9.260259984140724</v>
      </c>
      <c r="M332" s="141">
        <f>_xlfn.F.INV(0.95,I332,I333)</f>
        <v>3.2591667269012485</v>
      </c>
      <c r="N332" s="141">
        <f>1-_xlfn.F.DIST(L332,I332,I333,1)</f>
        <v>1.1874059196863573E-3</v>
      </c>
      <c r="R332" s="367"/>
      <c r="S332" s="367"/>
      <c r="T332" s="368"/>
      <c r="U332" s="368"/>
      <c r="V332" s="368"/>
      <c r="W332" s="368"/>
      <c r="X332" s="368"/>
      <c r="Y332" s="368"/>
      <c r="Z332" s="368"/>
    </row>
    <row r="333" spans="1:26">
      <c r="B333" s="374">
        <v>-1</v>
      </c>
      <c r="C333" s="378">
        <v>-1</v>
      </c>
      <c r="D333" s="379">
        <v>1</v>
      </c>
      <c r="E333" s="379">
        <v>-1</v>
      </c>
      <c r="F333" s="372">
        <v>448</v>
      </c>
      <c r="H333" s="141" t="s">
        <v>116</v>
      </c>
      <c r="I333" s="141">
        <f>C362</f>
        <v>12</v>
      </c>
      <c r="J333" s="141">
        <f>B362</f>
        <v>103733.79999999999</v>
      </c>
      <c r="K333" s="141">
        <f>J333/I333</f>
        <v>8644.4833333333318</v>
      </c>
      <c r="L333" s="141"/>
      <c r="M333" s="141"/>
      <c r="N333" s="141"/>
      <c r="R333" s="367"/>
      <c r="S333" s="367"/>
      <c r="T333" s="368"/>
      <c r="U333" s="368"/>
      <c r="V333" s="368"/>
      <c r="W333" s="368"/>
      <c r="X333" s="368"/>
      <c r="Y333" s="368"/>
      <c r="Z333" s="368"/>
    </row>
    <row r="334" spans="1:26" ht="15" thickBot="1">
      <c r="B334" s="374">
        <v>1</v>
      </c>
      <c r="C334" s="378">
        <v>-1</v>
      </c>
      <c r="D334" s="379">
        <v>1</v>
      </c>
      <c r="E334" s="379">
        <v>-1</v>
      </c>
      <c r="F334" s="373">
        <v>639</v>
      </c>
      <c r="H334" s="91" t="s">
        <v>65</v>
      </c>
      <c r="I334" s="91">
        <v>20</v>
      </c>
      <c r="J334" s="91">
        <v>2291004.9523809524</v>
      </c>
      <c r="K334" s="91"/>
      <c r="L334" s="91"/>
      <c r="M334" s="91"/>
      <c r="N334" s="91"/>
      <c r="R334" s="367"/>
      <c r="S334" s="367"/>
      <c r="T334" s="368"/>
      <c r="U334" s="368"/>
      <c r="V334" s="368"/>
      <c r="W334" s="368"/>
      <c r="X334" s="368"/>
      <c r="Y334" s="368"/>
      <c r="Z334" s="368"/>
    </row>
    <row r="335" spans="1:26" ht="15" thickBot="1">
      <c r="B335" s="374">
        <v>-1</v>
      </c>
      <c r="C335" s="378">
        <v>1</v>
      </c>
      <c r="D335" s="379">
        <v>1</v>
      </c>
      <c r="E335" s="379">
        <v>1</v>
      </c>
      <c r="F335" s="372">
        <v>851</v>
      </c>
      <c r="R335" s="367"/>
      <c r="S335" s="367"/>
      <c r="T335" s="368"/>
      <c r="U335" s="368"/>
      <c r="V335" s="368"/>
      <c r="W335" s="368"/>
      <c r="X335" s="368"/>
      <c r="Y335" s="368"/>
      <c r="Z335" s="368"/>
    </row>
    <row r="336" spans="1:26" ht="15">
      <c r="B336" s="374">
        <v>1</v>
      </c>
      <c r="C336" s="378">
        <v>1</v>
      </c>
      <c r="D336" s="379">
        <v>1</v>
      </c>
      <c r="E336" s="379">
        <v>1</v>
      </c>
      <c r="F336" s="372">
        <v>1029</v>
      </c>
      <c r="H336" s="296" t="s">
        <v>117</v>
      </c>
      <c r="I336" s="297"/>
      <c r="J336" s="297"/>
      <c r="K336" s="297"/>
      <c r="L336" s="297"/>
      <c r="M336" s="297"/>
      <c r="N336" s="298"/>
      <c r="R336" s="368"/>
      <c r="S336" s="368"/>
      <c r="T336" s="368"/>
      <c r="U336" s="368"/>
      <c r="V336" s="368"/>
      <c r="W336" s="368"/>
      <c r="X336" s="368"/>
      <c r="Y336" s="368"/>
      <c r="Z336" s="368"/>
    </row>
    <row r="337" spans="2:26" ht="15">
      <c r="B337" s="374">
        <v>-1</v>
      </c>
      <c r="C337" s="378">
        <v>-1</v>
      </c>
      <c r="D337" s="379">
        <v>-1</v>
      </c>
      <c r="E337" s="379">
        <v>1</v>
      </c>
      <c r="F337" s="372">
        <v>173</v>
      </c>
      <c r="H337" s="299" t="s">
        <v>118</v>
      </c>
      <c r="I337" s="300"/>
      <c r="N337" s="119"/>
      <c r="R337" s="368"/>
      <c r="S337" s="368"/>
      <c r="T337" s="368"/>
      <c r="U337" s="368"/>
      <c r="V337" s="368"/>
      <c r="W337" s="368"/>
      <c r="X337" s="368"/>
      <c r="Y337" s="368"/>
      <c r="Z337" s="368"/>
    </row>
    <row r="338" spans="2:26" ht="15">
      <c r="B338" s="374">
        <v>1</v>
      </c>
      <c r="C338" s="378">
        <v>-1</v>
      </c>
      <c r="D338" s="379">
        <v>-1</v>
      </c>
      <c r="E338" s="379">
        <v>1</v>
      </c>
      <c r="F338" s="372">
        <v>242</v>
      </c>
      <c r="H338" s="299" t="s">
        <v>235</v>
      </c>
      <c r="I338" s="300"/>
      <c r="J338" s="121"/>
      <c r="K338" s="121"/>
      <c r="L338" s="121"/>
      <c r="M338" s="121"/>
      <c r="N338" s="119"/>
      <c r="R338" s="370"/>
      <c r="S338" s="370"/>
      <c r="T338" s="370"/>
      <c r="U338" s="370"/>
      <c r="V338" s="370"/>
      <c r="W338" s="370"/>
      <c r="X338" s="368"/>
      <c r="Y338" s="368"/>
      <c r="Z338" s="368"/>
    </row>
    <row r="339" spans="2:26" ht="15">
      <c r="B339" s="374">
        <v>-1</v>
      </c>
      <c r="C339" s="378">
        <v>1</v>
      </c>
      <c r="D339" s="379">
        <v>-1</v>
      </c>
      <c r="E339" s="379">
        <v>-1</v>
      </c>
      <c r="F339" s="372">
        <v>210</v>
      </c>
      <c r="H339" s="301" t="s">
        <v>104</v>
      </c>
      <c r="I339" s="302"/>
      <c r="J339" s="126">
        <f>L332</f>
        <v>9.260259984140724</v>
      </c>
      <c r="K339" s="128" t="s">
        <v>108</v>
      </c>
      <c r="L339" s="128"/>
      <c r="M339" s="121"/>
      <c r="N339" s="119"/>
      <c r="R339" s="367"/>
      <c r="S339" s="367"/>
      <c r="T339" s="367"/>
      <c r="U339" s="367"/>
      <c r="V339" s="367"/>
      <c r="W339" s="367"/>
      <c r="X339" s="368"/>
      <c r="Y339" s="368"/>
      <c r="Z339" s="368"/>
    </row>
    <row r="340" spans="2:26" ht="15">
      <c r="B340" s="374">
        <v>1</v>
      </c>
      <c r="C340" s="378">
        <v>1</v>
      </c>
      <c r="D340" s="379">
        <v>-1</v>
      </c>
      <c r="E340" s="379">
        <v>-1</v>
      </c>
      <c r="F340" s="373">
        <v>271</v>
      </c>
      <c r="H340" s="301" t="s">
        <v>232</v>
      </c>
      <c r="I340" s="302"/>
      <c r="J340" s="126">
        <f>M332</f>
        <v>3.2591667269012485</v>
      </c>
      <c r="K340" s="128"/>
      <c r="L340" s="128"/>
      <c r="N340" s="122"/>
      <c r="R340" s="367"/>
      <c r="S340" s="367"/>
      <c r="T340" s="367"/>
      <c r="U340" s="367"/>
      <c r="V340" s="367"/>
      <c r="W340" s="367"/>
      <c r="X340" s="368"/>
      <c r="Y340" s="368"/>
      <c r="Z340" s="368"/>
    </row>
    <row r="341" spans="2:26" ht="15.75" thickBot="1">
      <c r="B341" s="374">
        <v>-1</v>
      </c>
      <c r="C341" s="378">
        <v>-1</v>
      </c>
      <c r="D341" s="379">
        <v>1</v>
      </c>
      <c r="E341" s="379">
        <v>-1</v>
      </c>
      <c r="F341" s="372">
        <v>420</v>
      </c>
      <c r="H341" s="303" t="s">
        <v>107</v>
      </c>
      <c r="I341" s="304"/>
      <c r="J341" s="127">
        <f>N332</f>
        <v>1.1874059196863573E-3</v>
      </c>
      <c r="K341" s="129" t="s">
        <v>120</v>
      </c>
      <c r="L341" s="129"/>
      <c r="M341" s="123"/>
      <c r="N341" s="124"/>
      <c r="R341" s="367"/>
      <c r="S341" s="367"/>
      <c r="T341" s="367"/>
      <c r="U341" s="367"/>
      <c r="V341" s="367"/>
      <c r="W341" s="367"/>
      <c r="X341" s="368"/>
      <c r="Y341" s="368"/>
      <c r="Z341" s="368"/>
    </row>
    <row r="342" spans="2:26">
      <c r="B342" s="374">
        <v>1</v>
      </c>
      <c r="C342" s="378">
        <v>-1</v>
      </c>
      <c r="D342" s="379">
        <v>1</v>
      </c>
      <c r="E342" s="379">
        <v>-1</v>
      </c>
      <c r="F342" s="372">
        <v>767</v>
      </c>
      <c r="R342" s="368"/>
      <c r="S342" s="368"/>
      <c r="T342" s="368"/>
      <c r="U342" s="368"/>
      <c r="V342" s="368"/>
      <c r="W342" s="368"/>
      <c r="X342" s="368"/>
      <c r="Y342" s="368"/>
      <c r="Z342" s="368"/>
    </row>
    <row r="343" spans="2:26" ht="15" customHeight="1">
      <c r="B343" s="374">
        <v>-1</v>
      </c>
      <c r="C343" s="378">
        <v>1</v>
      </c>
      <c r="D343" s="379">
        <v>1</v>
      </c>
      <c r="E343" s="379">
        <v>1</v>
      </c>
      <c r="F343" s="373">
        <v>1139</v>
      </c>
      <c r="R343" s="370"/>
      <c r="S343" s="370"/>
      <c r="T343" s="370"/>
      <c r="U343" s="370"/>
      <c r="V343" s="370"/>
      <c r="W343" s="370"/>
      <c r="X343" s="370"/>
      <c r="Y343" s="370"/>
      <c r="Z343" s="370"/>
    </row>
    <row r="344" spans="2:26" ht="15" thickBot="1">
      <c r="B344" s="380">
        <v>1</v>
      </c>
      <c r="C344" s="381">
        <v>1</v>
      </c>
      <c r="D344" s="382">
        <v>1</v>
      </c>
      <c r="E344" s="382">
        <v>1</v>
      </c>
      <c r="F344" s="383">
        <v>1119</v>
      </c>
      <c r="H344" s="285" t="s">
        <v>234</v>
      </c>
      <c r="I344" s="286"/>
      <c r="J344" s="286"/>
      <c r="K344" s="286"/>
      <c r="L344" s="286"/>
      <c r="M344" s="287"/>
      <c r="R344" s="367"/>
      <c r="S344" s="367"/>
      <c r="T344" s="367"/>
      <c r="U344" s="367"/>
      <c r="V344" s="367"/>
      <c r="W344" s="367"/>
      <c r="X344" s="367"/>
      <c r="Y344" s="367"/>
      <c r="Z344" s="367"/>
    </row>
    <row r="345" spans="2:26">
      <c r="B345" s="9">
        <v>0</v>
      </c>
      <c r="C345" s="130">
        <v>0</v>
      </c>
      <c r="D345" s="47">
        <v>0</v>
      </c>
      <c r="E345" s="105">
        <v>0</v>
      </c>
      <c r="F345" s="131">
        <v>150</v>
      </c>
      <c r="H345" s="288"/>
      <c r="I345" s="289"/>
      <c r="J345" s="289"/>
      <c r="K345" s="289"/>
      <c r="L345" s="289"/>
      <c r="M345" s="290"/>
      <c r="R345" s="367"/>
      <c r="S345" s="367"/>
      <c r="T345" s="367"/>
      <c r="U345" s="367"/>
      <c r="V345" s="367"/>
      <c r="W345" s="367"/>
      <c r="X345" s="367"/>
      <c r="Y345" s="367"/>
      <c r="Z345" s="367"/>
    </row>
    <row r="346" spans="2:26">
      <c r="B346" s="14">
        <v>0</v>
      </c>
      <c r="C346" s="132">
        <v>0</v>
      </c>
      <c r="D346" s="49">
        <v>0</v>
      </c>
      <c r="E346" s="78">
        <v>0</v>
      </c>
      <c r="F346" s="133">
        <v>167</v>
      </c>
      <c r="H346" s="288"/>
      <c r="I346" s="289"/>
      <c r="J346" s="289"/>
      <c r="K346" s="289"/>
      <c r="L346" s="289"/>
      <c r="M346" s="290"/>
      <c r="R346" s="367"/>
      <c r="S346" s="367"/>
      <c r="T346" s="367"/>
      <c r="U346" s="367"/>
      <c r="V346" s="367"/>
      <c r="W346" s="367"/>
      <c r="X346" s="367"/>
      <c r="Y346" s="367"/>
      <c r="Z346" s="367"/>
    </row>
    <row r="347" spans="2:26">
      <c r="B347" s="14">
        <v>0</v>
      </c>
      <c r="C347" s="132">
        <v>0</v>
      </c>
      <c r="D347" s="49">
        <v>0</v>
      </c>
      <c r="E347" s="78">
        <v>0</v>
      </c>
      <c r="F347" s="133">
        <v>201</v>
      </c>
      <c r="H347" s="288"/>
      <c r="I347" s="289"/>
      <c r="J347" s="289"/>
      <c r="K347" s="289"/>
      <c r="L347" s="289"/>
      <c r="M347" s="290"/>
      <c r="R347" s="367"/>
      <c r="S347" s="367"/>
      <c r="T347" s="367"/>
      <c r="U347" s="367"/>
      <c r="V347" s="367"/>
      <c r="W347" s="367"/>
      <c r="X347" s="367"/>
      <c r="Y347" s="367"/>
      <c r="Z347" s="367"/>
    </row>
    <row r="348" spans="2:26">
      <c r="B348" s="14">
        <v>0</v>
      </c>
      <c r="C348" s="132">
        <v>0</v>
      </c>
      <c r="D348" s="49">
        <v>0</v>
      </c>
      <c r="E348" s="78">
        <v>0</v>
      </c>
      <c r="F348" s="133">
        <v>222</v>
      </c>
      <c r="H348" s="288"/>
      <c r="I348" s="289"/>
      <c r="J348" s="289"/>
      <c r="K348" s="289"/>
      <c r="L348" s="289"/>
      <c r="M348" s="290"/>
      <c r="R348" s="367"/>
      <c r="S348" s="367"/>
      <c r="T348" s="367"/>
      <c r="U348" s="367"/>
      <c r="V348" s="367"/>
      <c r="W348" s="367"/>
      <c r="X348" s="367"/>
      <c r="Y348" s="367"/>
      <c r="Z348" s="367"/>
    </row>
    <row r="349" spans="2:26" ht="15" thickBot="1">
      <c r="B349" s="20">
        <v>0</v>
      </c>
      <c r="C349" s="134">
        <v>0</v>
      </c>
      <c r="D349" s="51">
        <v>0</v>
      </c>
      <c r="E349" s="79">
        <v>0</v>
      </c>
      <c r="F349" s="135">
        <v>421</v>
      </c>
      <c r="H349" s="291"/>
      <c r="I349" s="292"/>
      <c r="J349" s="292"/>
      <c r="K349" s="292"/>
      <c r="L349" s="292"/>
      <c r="M349" s="293"/>
      <c r="R349" s="368"/>
      <c r="S349" s="368"/>
      <c r="T349" s="368"/>
      <c r="U349" s="368"/>
      <c r="V349" s="368"/>
      <c r="W349" s="368"/>
      <c r="X349" s="368"/>
      <c r="Y349" s="368"/>
      <c r="Z349" s="368"/>
    </row>
    <row r="350" spans="2:26">
      <c r="R350" s="368"/>
      <c r="S350" s="368"/>
      <c r="T350" s="368"/>
      <c r="U350" s="368"/>
      <c r="V350" s="368"/>
      <c r="W350" s="368"/>
      <c r="X350" s="368"/>
      <c r="Y350" s="368"/>
      <c r="Z350" s="368"/>
    </row>
    <row r="351" spans="2:26" ht="15" thickBot="1">
      <c r="R351" s="368"/>
      <c r="S351" s="368"/>
      <c r="T351" s="368"/>
      <c r="U351" s="368"/>
      <c r="V351" s="368"/>
      <c r="W351" s="368"/>
      <c r="X351" s="368"/>
      <c r="Y351" s="368"/>
      <c r="Z351" s="368"/>
    </row>
    <row r="352" spans="2:26" ht="15.75" thickBot="1">
      <c r="B352" s="81" t="s">
        <v>112</v>
      </c>
      <c r="C352" s="83" t="s">
        <v>113</v>
      </c>
      <c r="F352" s="136" t="s">
        <v>111</v>
      </c>
    </row>
    <row r="353" spans="1:18">
      <c r="B353" s="85">
        <f>DEVSQ(F329,F337)</f>
        <v>84.5</v>
      </c>
      <c r="C353" s="106">
        <v>1</v>
      </c>
    </row>
    <row r="354" spans="1:18">
      <c r="B354" s="48">
        <f>DEVSQ(F330,F338)</f>
        <v>0</v>
      </c>
      <c r="C354" s="78">
        <v>1</v>
      </c>
    </row>
    <row r="355" spans="1:18">
      <c r="B355" s="48">
        <f>DEVSQ(F331,F339)</f>
        <v>1300.5</v>
      </c>
      <c r="C355" s="78">
        <v>1</v>
      </c>
    </row>
    <row r="356" spans="1:18">
      <c r="B356" s="48">
        <f>DEVSQ(F344,F336)</f>
        <v>4050</v>
      </c>
      <c r="C356" s="78">
        <v>1</v>
      </c>
    </row>
    <row r="357" spans="1:18">
      <c r="B357" s="48">
        <f>DEVSQ(F341,F333)</f>
        <v>392</v>
      </c>
      <c r="C357" s="78">
        <v>1</v>
      </c>
    </row>
    <row r="358" spans="1:18">
      <c r="B358" s="48">
        <f>DEVSQ(F343,F335)</f>
        <v>41472</v>
      </c>
      <c r="C358" s="78">
        <v>1</v>
      </c>
    </row>
    <row r="359" spans="1:18">
      <c r="B359" s="48">
        <f>DEVSQ(F342,F334)</f>
        <v>8192</v>
      </c>
      <c r="C359" s="78">
        <v>1</v>
      </c>
    </row>
    <row r="360" spans="1:18">
      <c r="B360" s="374">
        <f>DEVSQ(F332,F340)</f>
        <v>512</v>
      </c>
      <c r="C360" s="78">
        <v>1</v>
      </c>
    </row>
    <row r="361" spans="1:18" ht="15" thickBot="1">
      <c r="B361" s="137">
        <f>DEVSQ(F345:F349)</f>
        <v>47730.799999999996</v>
      </c>
      <c r="C361" s="138">
        <v>4</v>
      </c>
    </row>
    <row r="362" spans="1:18" ht="15" thickBot="1">
      <c r="B362" s="98">
        <f>SUM(B353:B361)</f>
        <v>103733.79999999999</v>
      </c>
      <c r="C362" s="139">
        <f>SUM(C353:C361)</f>
        <v>12</v>
      </c>
    </row>
    <row r="365" spans="1:18" ht="19.5" thickBot="1">
      <c r="A365" s="267" t="s">
        <v>121</v>
      </c>
      <c r="B365" s="261"/>
      <c r="C365" s="261"/>
      <c r="D365" s="261"/>
      <c r="E365" s="261"/>
      <c r="F365" s="261"/>
      <c r="G365" s="261"/>
      <c r="H365" s="261"/>
      <c r="I365" s="261"/>
      <c r="J365" s="261"/>
      <c r="K365" s="261"/>
      <c r="L365" s="261"/>
      <c r="M365" s="261"/>
      <c r="N365" s="261"/>
      <c r="O365" s="261"/>
      <c r="P365" s="261"/>
      <c r="Q365" s="261"/>
      <c r="R365" s="261"/>
    </row>
    <row r="366" spans="1:18" ht="15" thickTop="1"/>
    <row r="367" spans="1:18" ht="15">
      <c r="B367" s="142" t="s">
        <v>122</v>
      </c>
    </row>
    <row r="368" spans="1:18" ht="15" thickBot="1"/>
    <row r="369" spans="2:16" ht="15.75" thickBot="1">
      <c r="B369" s="81" t="s">
        <v>13</v>
      </c>
      <c r="C369" s="95" t="s">
        <v>14</v>
      </c>
      <c r="D369" s="82" t="s">
        <v>15</v>
      </c>
      <c r="E369" s="82" t="s">
        <v>25</v>
      </c>
      <c r="F369" s="84" t="s">
        <v>49</v>
      </c>
      <c r="J369" s="296" t="s">
        <v>125</v>
      </c>
      <c r="K369" s="297"/>
      <c r="L369" s="297"/>
      <c r="M369" s="297"/>
      <c r="N369" s="297"/>
      <c r="O369" s="297"/>
      <c r="P369" s="298"/>
    </row>
    <row r="370" spans="2:16" ht="15">
      <c r="B370" s="85">
        <v>-1</v>
      </c>
      <c r="C370" s="87">
        <v>-1</v>
      </c>
      <c r="D370" s="86">
        <v>-1</v>
      </c>
      <c r="E370" s="86">
        <v>1</v>
      </c>
      <c r="F370" s="32">
        <v>186</v>
      </c>
      <c r="J370" s="299" t="s">
        <v>118</v>
      </c>
      <c r="K370" s="300"/>
      <c r="P370" s="119"/>
    </row>
    <row r="371" spans="2:16" ht="15">
      <c r="B371" s="48">
        <v>1</v>
      </c>
      <c r="C371" s="88">
        <v>-1</v>
      </c>
      <c r="D371" s="49">
        <v>-1</v>
      </c>
      <c r="E371" s="49">
        <v>1</v>
      </c>
      <c r="F371" s="33">
        <v>242</v>
      </c>
      <c r="J371" s="299"/>
      <c r="K371" s="300"/>
      <c r="L371" s="300"/>
      <c r="M371" s="300"/>
      <c r="N371" s="300"/>
      <c r="O371" s="300"/>
      <c r="P371" s="119"/>
    </row>
    <row r="372" spans="2:16" ht="15">
      <c r="B372" s="48">
        <v>-1</v>
      </c>
      <c r="C372" s="88">
        <v>1</v>
      </c>
      <c r="D372" s="49">
        <v>-1</v>
      </c>
      <c r="E372" s="49">
        <v>-1</v>
      </c>
      <c r="F372" s="33">
        <v>159</v>
      </c>
      <c r="J372" s="301" t="s">
        <v>119</v>
      </c>
      <c r="K372" s="302"/>
      <c r="L372" s="120">
        <f>_xlfn.F.INV(0.95,1,16)</f>
        <v>4.4939984776663584</v>
      </c>
      <c r="O372" s="121" t="s">
        <v>126</v>
      </c>
      <c r="P372" s="119"/>
    </row>
    <row r="373" spans="2:16" ht="15.75" thickBot="1">
      <c r="B373" s="48">
        <v>1</v>
      </c>
      <c r="C373" s="88">
        <v>1</v>
      </c>
      <c r="D373" s="49">
        <v>-1</v>
      </c>
      <c r="E373" s="49">
        <v>-1</v>
      </c>
      <c r="F373" s="33">
        <v>239</v>
      </c>
      <c r="J373" s="303" t="s">
        <v>107</v>
      </c>
      <c r="K373" s="304"/>
      <c r="L373" s="91">
        <f>1-_xlfn.F.DIST(H393,1,16,1)</f>
        <v>0.11854059472015599</v>
      </c>
      <c r="M373" s="91" t="s">
        <v>127</v>
      </c>
      <c r="N373" s="91"/>
      <c r="O373" s="123" t="s">
        <v>128</v>
      </c>
      <c r="P373" s="124"/>
    </row>
    <row r="374" spans="2:16">
      <c r="B374" s="48">
        <v>-1</v>
      </c>
      <c r="C374" s="88">
        <v>-1</v>
      </c>
      <c r="D374" s="49">
        <v>1</v>
      </c>
      <c r="E374" s="49">
        <v>-1</v>
      </c>
      <c r="F374" s="33">
        <v>448</v>
      </c>
    </row>
    <row r="375" spans="2:16">
      <c r="B375" s="48">
        <v>1</v>
      </c>
      <c r="C375" s="88">
        <v>-1</v>
      </c>
      <c r="D375" s="49">
        <v>1</v>
      </c>
      <c r="E375" s="49">
        <v>-1</v>
      </c>
      <c r="F375" s="34">
        <v>639</v>
      </c>
      <c r="J375" s="285" t="s">
        <v>130</v>
      </c>
      <c r="K375" s="286"/>
      <c r="L375" s="286"/>
      <c r="M375" s="286"/>
      <c r="N375" s="286"/>
      <c r="O375" s="287"/>
    </row>
    <row r="376" spans="2:16">
      <c r="B376" s="48">
        <v>-1</v>
      </c>
      <c r="C376" s="88">
        <v>1</v>
      </c>
      <c r="D376" s="49">
        <v>1</v>
      </c>
      <c r="E376" s="49">
        <v>1</v>
      </c>
      <c r="F376" s="33">
        <v>851</v>
      </c>
      <c r="J376" s="288"/>
      <c r="K376" s="289"/>
      <c r="L376" s="289"/>
      <c r="M376" s="289"/>
      <c r="N376" s="289"/>
      <c r="O376" s="290"/>
    </row>
    <row r="377" spans="2:16">
      <c r="B377" s="48">
        <v>1</v>
      </c>
      <c r="C377" s="88">
        <v>1</v>
      </c>
      <c r="D377" s="49">
        <v>1</v>
      </c>
      <c r="E377" s="49">
        <v>1</v>
      </c>
      <c r="F377" s="33">
        <v>1029</v>
      </c>
      <c r="J377" s="288"/>
      <c r="K377" s="289"/>
      <c r="L377" s="289"/>
      <c r="M377" s="289"/>
      <c r="N377" s="289"/>
      <c r="O377" s="290"/>
    </row>
    <row r="378" spans="2:16">
      <c r="B378" s="48">
        <v>-1</v>
      </c>
      <c r="C378" s="88">
        <v>-1</v>
      </c>
      <c r="D378" s="49">
        <v>-1</v>
      </c>
      <c r="E378" s="49">
        <v>1</v>
      </c>
      <c r="F378" s="33">
        <v>173</v>
      </c>
      <c r="J378" s="288"/>
      <c r="K378" s="289"/>
      <c r="L378" s="289"/>
      <c r="M378" s="289"/>
      <c r="N378" s="289"/>
      <c r="O378" s="290"/>
    </row>
    <row r="379" spans="2:16">
      <c r="B379" s="48">
        <v>1</v>
      </c>
      <c r="C379" s="88">
        <v>-1</v>
      </c>
      <c r="D379" s="49">
        <v>-1</v>
      </c>
      <c r="E379" s="49">
        <v>1</v>
      </c>
      <c r="F379" s="33">
        <v>242</v>
      </c>
      <c r="J379" s="291"/>
      <c r="K379" s="292"/>
      <c r="L379" s="292"/>
      <c r="M379" s="292"/>
      <c r="N379" s="292"/>
      <c r="O379" s="293"/>
    </row>
    <row r="380" spans="2:16">
      <c r="B380" s="48">
        <v>-1</v>
      </c>
      <c r="C380" s="88">
        <v>1</v>
      </c>
      <c r="D380" s="49">
        <v>-1</v>
      </c>
      <c r="E380" s="49">
        <v>-1</v>
      </c>
      <c r="F380" s="33">
        <v>210</v>
      </c>
    </row>
    <row r="381" spans="2:16">
      <c r="B381" s="48">
        <v>1</v>
      </c>
      <c r="C381" s="88">
        <v>1</v>
      </c>
      <c r="D381" s="49">
        <v>-1</v>
      </c>
      <c r="E381" s="49">
        <v>-1</v>
      </c>
      <c r="F381" s="34">
        <v>271</v>
      </c>
    </row>
    <row r="382" spans="2:16">
      <c r="B382" s="48">
        <v>-1</v>
      </c>
      <c r="C382" s="88">
        <v>-1</v>
      </c>
      <c r="D382" s="49">
        <v>1</v>
      </c>
      <c r="E382" s="49">
        <v>-1</v>
      </c>
      <c r="F382" s="33">
        <v>420</v>
      </c>
    </row>
    <row r="383" spans="2:16">
      <c r="B383" s="48">
        <v>1</v>
      </c>
      <c r="C383" s="88">
        <v>-1</v>
      </c>
      <c r="D383" s="49">
        <v>1</v>
      </c>
      <c r="E383" s="49">
        <v>-1</v>
      </c>
      <c r="F383" s="33">
        <v>767</v>
      </c>
    </row>
    <row r="384" spans="2:16" ht="15" thickBot="1">
      <c r="B384" s="48">
        <v>-1</v>
      </c>
      <c r="C384" s="88">
        <v>1</v>
      </c>
      <c r="D384" s="49">
        <v>1</v>
      </c>
      <c r="E384" s="49">
        <v>1</v>
      </c>
      <c r="F384" s="34">
        <v>1139</v>
      </c>
    </row>
    <row r="385" spans="2:8" ht="15" thickBot="1">
      <c r="B385" s="50">
        <v>1</v>
      </c>
      <c r="C385" s="89">
        <v>1</v>
      </c>
      <c r="D385" s="51">
        <v>1</v>
      </c>
      <c r="E385" s="51">
        <v>1</v>
      </c>
      <c r="F385" s="35">
        <v>1119</v>
      </c>
      <c r="G385" s="143">
        <f>AVERAGE(F370:F385)</f>
        <v>508.375</v>
      </c>
      <c r="H385" s="144">
        <v>16</v>
      </c>
    </row>
    <row r="386" spans="2:8">
      <c r="B386" s="9">
        <v>0</v>
      </c>
      <c r="C386" s="130">
        <v>0</v>
      </c>
      <c r="D386" s="47">
        <v>0</v>
      </c>
      <c r="E386" s="105">
        <v>0</v>
      </c>
      <c r="F386" s="131">
        <v>150</v>
      </c>
    </row>
    <row r="387" spans="2:8">
      <c r="B387" s="14">
        <v>0</v>
      </c>
      <c r="C387" s="132">
        <v>0</v>
      </c>
      <c r="D387" s="49">
        <v>0</v>
      </c>
      <c r="E387" s="78">
        <v>0</v>
      </c>
      <c r="F387" s="133">
        <v>167</v>
      </c>
    </row>
    <row r="388" spans="2:8">
      <c r="B388" s="14">
        <v>0</v>
      </c>
      <c r="C388" s="132">
        <v>0</v>
      </c>
      <c r="D388" s="49">
        <v>0</v>
      </c>
      <c r="E388" s="78">
        <v>0</v>
      </c>
      <c r="F388" s="133">
        <v>201</v>
      </c>
    </row>
    <row r="389" spans="2:8" ht="15" thickBot="1">
      <c r="B389" s="14">
        <v>0</v>
      </c>
      <c r="C389" s="132">
        <v>0</v>
      </c>
      <c r="D389" s="49">
        <v>0</v>
      </c>
      <c r="E389" s="78">
        <v>0</v>
      </c>
      <c r="F389" s="133">
        <v>222</v>
      </c>
    </row>
    <row r="390" spans="2:8" ht="15" thickBot="1">
      <c r="B390" s="20">
        <v>0</v>
      </c>
      <c r="C390" s="134">
        <v>0</v>
      </c>
      <c r="D390" s="51">
        <v>0</v>
      </c>
      <c r="E390" s="79">
        <v>0</v>
      </c>
      <c r="F390" s="135">
        <v>421</v>
      </c>
      <c r="G390" s="143">
        <f>AVERAGE(F386:F390)</f>
        <v>232.2</v>
      </c>
      <c r="H390" s="144">
        <v>5</v>
      </c>
    </row>
    <row r="391" spans="2:8" ht="15" thickBot="1"/>
    <row r="392" spans="2:8" ht="15.75" thickBot="1">
      <c r="C392" s="81" t="s">
        <v>112</v>
      </c>
      <c r="D392" s="83" t="s">
        <v>113</v>
      </c>
      <c r="G392" s="2" t="s">
        <v>123</v>
      </c>
      <c r="H392" s="145">
        <f>((H385*H390*(G385-G390)^2))/(H385+H390)</f>
        <v>290562.40238095238</v>
      </c>
    </row>
    <row r="393" spans="2:8" ht="17.25" thickBot="1">
      <c r="C393" s="85">
        <f>DEVSQ(F370,F374,F378,F382)</f>
        <v>65246.75</v>
      </c>
      <c r="D393" s="106">
        <v>3</v>
      </c>
      <c r="G393" s="146" t="s">
        <v>129</v>
      </c>
      <c r="H393" s="147">
        <f>H392/(C398/16)</f>
        <v>2.7207868584342565</v>
      </c>
    </row>
    <row r="394" spans="2:8">
      <c r="C394" s="48">
        <f>DEVSQ(F371,F375,F379,F383)</f>
        <v>220713</v>
      </c>
      <c r="D394" s="78">
        <v>3</v>
      </c>
    </row>
    <row r="395" spans="2:8">
      <c r="C395" s="48">
        <f>DEVSQ(F372,F376,F380,F384)</f>
        <v>699682.75</v>
      </c>
      <c r="D395" s="78">
        <v>3</v>
      </c>
    </row>
    <row r="396" spans="2:8">
      <c r="C396" s="48">
        <f>DEVSQ(F373,F377,F381,F385)</f>
        <v>675323</v>
      </c>
      <c r="D396" s="78">
        <v>3</v>
      </c>
    </row>
    <row r="397" spans="2:8" ht="15" thickBot="1">
      <c r="C397" s="137">
        <f>DEVSQ(F386:F390)</f>
        <v>47730.799999999996</v>
      </c>
      <c r="D397" s="138">
        <v>4</v>
      </c>
    </row>
    <row r="398" spans="2:8" ht="15" thickBot="1">
      <c r="C398" s="98">
        <f>SUM(C393:C397)</f>
        <v>1708696.3</v>
      </c>
      <c r="D398" s="139">
        <f>SUM(D393:D397)</f>
        <v>16</v>
      </c>
    </row>
    <row r="401" spans="1:12" ht="19.5" thickBot="1">
      <c r="A401" s="261" t="s">
        <v>132</v>
      </c>
      <c r="B401" s="261"/>
      <c r="C401" s="261"/>
      <c r="D401" s="261"/>
      <c r="E401" s="261"/>
      <c r="F401" s="261"/>
      <c r="G401" s="261"/>
      <c r="H401" s="261"/>
      <c r="I401" s="261"/>
      <c r="J401" s="261"/>
      <c r="K401" s="261"/>
      <c r="L401" s="261"/>
    </row>
    <row r="402" spans="1:12" ht="15" thickTop="1"/>
    <row r="403" spans="1:12" ht="15">
      <c r="B403" s="148" t="s">
        <v>75</v>
      </c>
    </row>
    <row r="405" spans="1:12" ht="15" thickBot="1">
      <c r="B405" s="305" t="s">
        <v>97</v>
      </c>
      <c r="C405" s="305"/>
      <c r="I405" s="305" t="s">
        <v>98</v>
      </c>
      <c r="J405" s="305"/>
    </row>
    <row r="406" spans="1:12" ht="15" thickTop="1"/>
    <row r="432" spans="1:18" ht="19.5" thickBot="1">
      <c r="A432" s="267" t="s">
        <v>133</v>
      </c>
      <c r="B432" s="261"/>
      <c r="C432" s="261"/>
      <c r="D432" s="261"/>
      <c r="E432" s="261"/>
      <c r="F432" s="261"/>
      <c r="G432" s="261"/>
      <c r="H432" s="261"/>
      <c r="I432" s="261"/>
      <c r="J432" s="261"/>
      <c r="K432" s="261"/>
      <c r="L432" s="261"/>
      <c r="M432" s="261"/>
      <c r="N432" s="261"/>
      <c r="O432" s="261"/>
      <c r="P432" s="261"/>
      <c r="Q432" s="261"/>
      <c r="R432" s="261"/>
    </row>
    <row r="433" spans="1:18" ht="15" thickTop="1"/>
    <row r="435" spans="1:18" ht="19.5" thickBot="1">
      <c r="A435" s="267" t="s">
        <v>131</v>
      </c>
      <c r="B435" s="261"/>
      <c r="C435" s="261"/>
      <c r="D435" s="261"/>
      <c r="E435" s="261"/>
      <c r="F435" s="261"/>
      <c r="G435" s="261"/>
      <c r="H435" s="261"/>
      <c r="I435" s="261"/>
      <c r="J435" s="261"/>
      <c r="K435" s="261"/>
      <c r="L435" s="261"/>
      <c r="M435" s="261"/>
      <c r="N435" s="261"/>
      <c r="O435" s="261"/>
      <c r="P435" s="261"/>
      <c r="Q435" s="261"/>
      <c r="R435" s="261"/>
    </row>
    <row r="436" spans="1:18" ht="15" thickTop="1"/>
    <row r="437" spans="1:18">
      <c r="B437" s="295" t="s">
        <v>122</v>
      </c>
      <c r="C437" s="295"/>
      <c r="D437" s="295"/>
      <c r="E437" s="295"/>
      <c r="F437" s="295"/>
    </row>
    <row r="438" spans="1:18" ht="15" thickBot="1"/>
    <row r="439" spans="1:18" ht="17.25" thickBot="1">
      <c r="B439" s="81" t="s">
        <v>13</v>
      </c>
      <c r="C439" s="95" t="s">
        <v>14</v>
      </c>
      <c r="D439" s="82" t="s">
        <v>15</v>
      </c>
      <c r="E439" s="82" t="s">
        <v>25</v>
      </c>
      <c r="F439" s="81" t="s">
        <v>138</v>
      </c>
      <c r="G439" s="82" t="s">
        <v>139</v>
      </c>
      <c r="H439" s="82" t="s">
        <v>140</v>
      </c>
      <c r="I439" s="83" t="s">
        <v>141</v>
      </c>
    </row>
    <row r="440" spans="1:18">
      <c r="B440" s="85">
        <v>-1</v>
      </c>
      <c r="C440" s="87">
        <v>-1</v>
      </c>
      <c r="D440" s="86">
        <v>-1</v>
      </c>
      <c r="E440" s="86">
        <v>1</v>
      </c>
      <c r="F440" s="149">
        <f>$C$458+$C$459*B440+$C$460*C440+$C$461*D440+$C$462*E440</f>
        <v>150.62500000000006</v>
      </c>
      <c r="G440" s="150">
        <f>$D$458+$D$460*C440+$D$461*D440+$D$462*E440</f>
        <v>210.75000000000011</v>
      </c>
      <c r="H440" s="150">
        <f>(F440-$C$458)^2</f>
        <v>127985.06249999996</v>
      </c>
      <c r="I440" s="151">
        <f>(G440-$D$458)^2</f>
        <v>88580.640624999927</v>
      </c>
    </row>
    <row r="441" spans="1:18">
      <c r="B441" s="48">
        <v>1</v>
      </c>
      <c r="C441" s="88">
        <v>-1</v>
      </c>
      <c r="D441" s="49">
        <v>-1</v>
      </c>
      <c r="E441" s="49">
        <v>1</v>
      </c>
      <c r="F441" s="149">
        <f t="shared" ref="F441:F455" si="18">$C$458+$C$459*B441+$C$460*C441+$C$461*D441+$C$462*E441</f>
        <v>270.87500000000011</v>
      </c>
      <c r="G441" s="150">
        <f t="shared" ref="G441:G455" si="19">$D$458+$D$460*C441+$D$461*D441+$D$462*E441</f>
        <v>210.75000000000011</v>
      </c>
      <c r="H441" s="150">
        <f t="shared" ref="H441:H455" si="20">(F441-$C$458)^2</f>
        <v>56406.249999999949</v>
      </c>
      <c r="I441" s="151">
        <f t="shared" ref="I441:I455" si="21">(G441-$D$458)^2</f>
        <v>88580.640624999927</v>
      </c>
    </row>
    <row r="442" spans="1:18">
      <c r="B442" s="48">
        <v>-1</v>
      </c>
      <c r="C442" s="88">
        <v>1</v>
      </c>
      <c r="D442" s="49">
        <v>-1</v>
      </c>
      <c r="E442" s="49">
        <v>-1</v>
      </c>
      <c r="F442" s="149">
        <f t="shared" si="18"/>
        <v>159.62500000000006</v>
      </c>
      <c r="G442" s="150">
        <f t="shared" si="19"/>
        <v>219.75000000000017</v>
      </c>
      <c r="H442" s="150">
        <f t="shared" si="20"/>
        <v>121626.56249999996</v>
      </c>
      <c r="I442" s="151">
        <f t="shared" si="21"/>
        <v>83304.390624999898</v>
      </c>
    </row>
    <row r="443" spans="1:18">
      <c r="B443" s="48">
        <v>1</v>
      </c>
      <c r="C443" s="88">
        <v>1</v>
      </c>
      <c r="D443" s="49">
        <v>-1</v>
      </c>
      <c r="E443" s="49">
        <v>-1</v>
      </c>
      <c r="F443" s="149">
        <f t="shared" si="18"/>
        <v>279.87500000000017</v>
      </c>
      <c r="G443" s="150">
        <f t="shared" si="19"/>
        <v>219.75000000000017</v>
      </c>
      <c r="H443" s="150">
        <f t="shared" si="20"/>
        <v>52212.24999999992</v>
      </c>
      <c r="I443" s="151">
        <f t="shared" si="21"/>
        <v>83304.390624999898</v>
      </c>
    </row>
    <row r="444" spans="1:18">
      <c r="B444" s="48">
        <v>-1</v>
      </c>
      <c r="C444" s="88">
        <v>-1</v>
      </c>
      <c r="D444" s="49">
        <v>1</v>
      </c>
      <c r="E444" s="49">
        <v>-1</v>
      </c>
      <c r="F444" s="149">
        <f t="shared" si="18"/>
        <v>508.37499999999994</v>
      </c>
      <c r="G444" s="150">
        <f t="shared" si="19"/>
        <v>568.50000000000011</v>
      </c>
      <c r="H444" s="150">
        <f t="shared" si="20"/>
        <v>3.2311742677852644E-27</v>
      </c>
      <c r="I444" s="151">
        <f t="shared" si="21"/>
        <v>3615.0156250000136</v>
      </c>
    </row>
    <row r="445" spans="1:18">
      <c r="B445" s="48">
        <v>1</v>
      </c>
      <c r="C445" s="88">
        <v>-1</v>
      </c>
      <c r="D445" s="49">
        <v>1</v>
      </c>
      <c r="E445" s="49">
        <v>-1</v>
      </c>
      <c r="F445" s="149">
        <f t="shared" si="18"/>
        <v>628.62500000000011</v>
      </c>
      <c r="G445" s="150">
        <f t="shared" si="19"/>
        <v>568.50000000000011</v>
      </c>
      <c r="H445" s="150">
        <f t="shared" si="20"/>
        <v>14460.062500000027</v>
      </c>
      <c r="I445" s="151">
        <f t="shared" si="21"/>
        <v>3615.0156250000136</v>
      </c>
    </row>
    <row r="446" spans="1:18">
      <c r="B446" s="48">
        <v>-1</v>
      </c>
      <c r="C446" s="88">
        <v>1</v>
      </c>
      <c r="D446" s="49">
        <v>1</v>
      </c>
      <c r="E446" s="49">
        <v>1</v>
      </c>
      <c r="F446" s="149">
        <f t="shared" si="18"/>
        <v>974.37499999999966</v>
      </c>
      <c r="G446" s="150">
        <f t="shared" si="19"/>
        <v>1034.4999999999998</v>
      </c>
      <c r="H446" s="150">
        <f t="shared" si="20"/>
        <v>217155.99999999968</v>
      </c>
      <c r="I446" s="151">
        <f t="shared" si="21"/>
        <v>276807.51562499977</v>
      </c>
    </row>
    <row r="447" spans="1:18">
      <c r="B447" s="48">
        <v>1</v>
      </c>
      <c r="C447" s="88">
        <v>1</v>
      </c>
      <c r="D447" s="49">
        <v>1</v>
      </c>
      <c r="E447" s="49">
        <v>1</v>
      </c>
      <c r="F447" s="149">
        <f t="shared" si="18"/>
        <v>1094.6249999999998</v>
      </c>
      <c r="G447" s="150">
        <f t="shared" si="19"/>
        <v>1034.4999999999998</v>
      </c>
      <c r="H447" s="150">
        <f t="shared" si="20"/>
        <v>343689.06249999971</v>
      </c>
      <c r="I447" s="151">
        <f t="shared" si="21"/>
        <v>276807.51562499977</v>
      </c>
    </row>
    <row r="448" spans="1:18">
      <c r="B448" s="48">
        <v>-1</v>
      </c>
      <c r="C448" s="88">
        <v>-1</v>
      </c>
      <c r="D448" s="49">
        <v>-1</v>
      </c>
      <c r="E448" s="49">
        <v>1</v>
      </c>
      <c r="F448" s="149">
        <f t="shared" si="18"/>
        <v>150.62500000000006</v>
      </c>
      <c r="G448" s="150">
        <f t="shared" si="19"/>
        <v>210.75000000000011</v>
      </c>
      <c r="H448" s="150">
        <f t="shared" si="20"/>
        <v>127985.06249999996</v>
      </c>
      <c r="I448" s="151">
        <f t="shared" si="21"/>
        <v>88580.640624999927</v>
      </c>
    </row>
    <row r="449" spans="2:40">
      <c r="B449" s="48">
        <v>1</v>
      </c>
      <c r="C449" s="88">
        <v>-1</v>
      </c>
      <c r="D449" s="49">
        <v>-1</v>
      </c>
      <c r="E449" s="49">
        <v>1</v>
      </c>
      <c r="F449" s="149">
        <f t="shared" si="18"/>
        <v>270.87500000000011</v>
      </c>
      <c r="G449" s="150">
        <f t="shared" si="19"/>
        <v>210.75000000000011</v>
      </c>
      <c r="H449" s="150">
        <f t="shared" si="20"/>
        <v>56406.249999999949</v>
      </c>
      <c r="I449" s="151">
        <f t="shared" si="21"/>
        <v>88580.640624999927</v>
      </c>
    </row>
    <row r="450" spans="2:40">
      <c r="B450" s="48">
        <v>-1</v>
      </c>
      <c r="C450" s="88">
        <v>1</v>
      </c>
      <c r="D450" s="49">
        <v>-1</v>
      </c>
      <c r="E450" s="49">
        <v>-1</v>
      </c>
      <c r="F450" s="149">
        <f t="shared" si="18"/>
        <v>159.62500000000006</v>
      </c>
      <c r="G450" s="150">
        <f t="shared" si="19"/>
        <v>219.75000000000017</v>
      </c>
      <c r="H450" s="150">
        <f t="shared" si="20"/>
        <v>121626.56249999996</v>
      </c>
      <c r="I450" s="151">
        <f t="shared" si="21"/>
        <v>83304.390624999898</v>
      </c>
    </row>
    <row r="451" spans="2:40">
      <c r="B451" s="48">
        <v>1</v>
      </c>
      <c r="C451" s="88">
        <v>1</v>
      </c>
      <c r="D451" s="49">
        <v>-1</v>
      </c>
      <c r="E451" s="49">
        <v>-1</v>
      </c>
      <c r="F451" s="149">
        <f t="shared" si="18"/>
        <v>279.87500000000017</v>
      </c>
      <c r="G451" s="150">
        <f t="shared" si="19"/>
        <v>219.75000000000017</v>
      </c>
      <c r="H451" s="150">
        <f t="shared" si="20"/>
        <v>52212.24999999992</v>
      </c>
      <c r="I451" s="151">
        <f t="shared" si="21"/>
        <v>83304.390624999898</v>
      </c>
    </row>
    <row r="452" spans="2:40">
      <c r="B452" s="48">
        <v>-1</v>
      </c>
      <c r="C452" s="88">
        <v>-1</v>
      </c>
      <c r="D452" s="49">
        <v>1</v>
      </c>
      <c r="E452" s="49">
        <v>-1</v>
      </c>
      <c r="F452" s="149">
        <f t="shared" si="18"/>
        <v>508.37499999999994</v>
      </c>
      <c r="G452" s="150">
        <f t="shared" si="19"/>
        <v>568.50000000000011</v>
      </c>
      <c r="H452" s="150">
        <f t="shared" si="20"/>
        <v>3.2311742677852644E-27</v>
      </c>
      <c r="I452" s="151">
        <f t="shared" si="21"/>
        <v>3615.0156250000136</v>
      </c>
    </row>
    <row r="453" spans="2:40">
      <c r="B453" s="48">
        <v>1</v>
      </c>
      <c r="C453" s="88">
        <v>-1</v>
      </c>
      <c r="D453" s="49">
        <v>1</v>
      </c>
      <c r="E453" s="49">
        <v>-1</v>
      </c>
      <c r="F453" s="149">
        <f t="shared" si="18"/>
        <v>628.62500000000011</v>
      </c>
      <c r="G453" s="150">
        <f t="shared" si="19"/>
        <v>568.50000000000011</v>
      </c>
      <c r="H453" s="150">
        <f t="shared" si="20"/>
        <v>14460.062500000027</v>
      </c>
      <c r="I453" s="151">
        <f t="shared" si="21"/>
        <v>3615.0156250000136</v>
      </c>
    </row>
    <row r="454" spans="2:40">
      <c r="B454" s="48">
        <v>-1</v>
      </c>
      <c r="C454" s="88">
        <v>1</v>
      </c>
      <c r="D454" s="49">
        <v>1</v>
      </c>
      <c r="E454" s="49">
        <v>1</v>
      </c>
      <c r="F454" s="149">
        <f t="shared" si="18"/>
        <v>974.37499999999966</v>
      </c>
      <c r="G454" s="150">
        <f t="shared" si="19"/>
        <v>1034.4999999999998</v>
      </c>
      <c r="H454" s="150">
        <f t="shared" si="20"/>
        <v>217155.99999999968</v>
      </c>
      <c r="I454" s="151">
        <f t="shared" si="21"/>
        <v>276807.51562499977</v>
      </c>
    </row>
    <row r="455" spans="2:40" ht="15" thickBot="1">
      <c r="B455" s="50">
        <v>1</v>
      </c>
      <c r="C455" s="89">
        <v>1</v>
      </c>
      <c r="D455" s="51">
        <v>1</v>
      </c>
      <c r="E455" s="51">
        <v>1</v>
      </c>
      <c r="F455" s="153">
        <f t="shared" si="18"/>
        <v>1094.6249999999998</v>
      </c>
      <c r="G455" s="154">
        <f t="shared" si="19"/>
        <v>1034.4999999999998</v>
      </c>
      <c r="H455" s="154">
        <f t="shared" si="20"/>
        <v>343689.06249999971</v>
      </c>
      <c r="I455" s="157">
        <f t="shared" si="21"/>
        <v>276807.51562499977</v>
      </c>
    </row>
    <row r="456" spans="2:40" ht="15" thickBot="1">
      <c r="H456" s="153">
        <f>SUM(H440:H455)</f>
        <v>1867070.4999999988</v>
      </c>
      <c r="I456" s="156">
        <f>SUM(I440:I455)</f>
        <v>1809230.2499999986</v>
      </c>
    </row>
    <row r="457" spans="2:40" ht="15" thickBot="1">
      <c r="B457" s="92"/>
      <c r="C457" s="92" t="s">
        <v>66</v>
      </c>
      <c r="D457" s="92" t="s">
        <v>66</v>
      </c>
    </row>
    <row r="458" spans="2:40" ht="15" thickBot="1">
      <c r="B458" t="s">
        <v>73</v>
      </c>
      <c r="C458">
        <v>508.375</v>
      </c>
      <c r="D458">
        <v>508.375</v>
      </c>
      <c r="H458" s="155" t="s">
        <v>137</v>
      </c>
      <c r="I458" s="158">
        <f>H456-I456</f>
        <v>57840.250000000233</v>
      </c>
    </row>
    <row r="459" spans="2:40">
      <c r="B459" t="s">
        <v>13</v>
      </c>
      <c r="C459">
        <v>60.12500000000005</v>
      </c>
    </row>
    <row r="460" spans="2:40" ht="15" thickBot="1">
      <c r="B460" t="s">
        <v>14</v>
      </c>
      <c r="C460">
        <v>118.74999999999996</v>
      </c>
      <c r="D460">
        <v>118.74999999999996</v>
      </c>
    </row>
    <row r="461" spans="2:40" ht="15.75" thickBot="1">
      <c r="B461" t="s">
        <v>15</v>
      </c>
      <c r="C461">
        <v>293.12499999999989</v>
      </c>
      <c r="D461">
        <v>293.12499999999989</v>
      </c>
      <c r="AN461" s="84" t="s">
        <v>49</v>
      </c>
    </row>
    <row r="462" spans="2:40" ht="15" thickBot="1">
      <c r="B462" s="109" t="s">
        <v>25</v>
      </c>
      <c r="C462" s="91">
        <v>114.24999999999993</v>
      </c>
      <c r="D462" s="91">
        <v>114.24999999999993</v>
      </c>
      <c r="AN462" s="32">
        <v>186</v>
      </c>
    </row>
    <row r="463" spans="2:40">
      <c r="AN463" s="33">
        <v>242</v>
      </c>
    </row>
    <row r="464" spans="2:40" ht="15" thickBot="1">
      <c r="B464" t="s">
        <v>57</v>
      </c>
      <c r="AN464" s="33">
        <v>159</v>
      </c>
    </row>
    <row r="465" spans="2:40">
      <c r="B465" s="92"/>
      <c r="C465" s="92" t="s">
        <v>58</v>
      </c>
      <c r="D465" s="92" t="s">
        <v>59</v>
      </c>
      <c r="E465" s="92" t="s">
        <v>60</v>
      </c>
      <c r="F465" s="92" t="s">
        <v>61</v>
      </c>
      <c r="G465" s="92" t="s">
        <v>62</v>
      </c>
      <c r="AN465" s="33">
        <v>239</v>
      </c>
    </row>
    <row r="466" spans="2:40">
      <c r="B466" t="s">
        <v>63</v>
      </c>
      <c r="C466">
        <v>4</v>
      </c>
      <c r="D466">
        <v>1867070.5</v>
      </c>
      <c r="E466">
        <v>466767.625</v>
      </c>
      <c r="F466">
        <v>59.95293010085679</v>
      </c>
      <c r="G466">
        <v>2.126848852615326E-7</v>
      </c>
      <c r="AN466" s="33">
        <v>448</v>
      </c>
    </row>
    <row r="467" spans="2:40">
      <c r="B467" t="s">
        <v>64</v>
      </c>
      <c r="C467">
        <v>11</v>
      </c>
      <c r="D467">
        <v>85641.249999999971</v>
      </c>
      <c r="E467">
        <v>7785.5681818181793</v>
      </c>
      <c r="AN467" s="34">
        <v>639</v>
      </c>
    </row>
    <row r="468" spans="2:40" ht="15" thickBot="1">
      <c r="B468" s="91" t="s">
        <v>65</v>
      </c>
      <c r="C468" s="91">
        <v>15</v>
      </c>
      <c r="D468" s="91">
        <v>1952711.75</v>
      </c>
      <c r="E468" s="91"/>
      <c r="F468" s="91"/>
      <c r="G468" s="91"/>
      <c r="AN468" s="33">
        <v>851</v>
      </c>
    </row>
    <row r="469" spans="2:40" ht="15" thickBot="1">
      <c r="AN469" s="33">
        <v>1029</v>
      </c>
    </row>
    <row r="470" spans="2:40">
      <c r="B470" s="159" t="s">
        <v>134</v>
      </c>
      <c r="C470" s="145">
        <f>I458</f>
        <v>57840.250000000233</v>
      </c>
      <c r="AN470" s="33">
        <v>173</v>
      </c>
    </row>
    <row r="471" spans="2:40">
      <c r="B471" s="160" t="s">
        <v>135</v>
      </c>
      <c r="C471" s="152">
        <f>D466</f>
        <v>1867070.5</v>
      </c>
      <c r="AN471" s="33">
        <v>242</v>
      </c>
    </row>
    <row r="472" spans="2:40">
      <c r="B472" s="160" t="s">
        <v>136</v>
      </c>
      <c r="C472" s="152">
        <f>D468-C471</f>
        <v>85641.25</v>
      </c>
      <c r="AN472" s="33">
        <v>210</v>
      </c>
    </row>
    <row r="473" spans="2:40" ht="15" thickBot="1">
      <c r="B473" s="161" t="s">
        <v>124</v>
      </c>
      <c r="C473" s="147">
        <f>(C470/1)/(C472/(16-3-1))</f>
        <v>8.1045407440923949</v>
      </c>
      <c r="AN473" s="34">
        <v>271</v>
      </c>
    </row>
    <row r="474" spans="2:40" ht="15" thickBot="1">
      <c r="AN474" s="33">
        <v>420</v>
      </c>
    </row>
    <row r="475" spans="2:40" ht="15">
      <c r="B475" s="296" t="s">
        <v>142</v>
      </c>
      <c r="C475" s="297"/>
      <c r="D475" s="297"/>
      <c r="E475" s="297"/>
      <c r="F475" s="297"/>
      <c r="G475" s="297"/>
      <c r="H475" s="298"/>
      <c r="J475" s="285" t="s">
        <v>148</v>
      </c>
      <c r="K475" s="286"/>
      <c r="L475" s="286"/>
      <c r="M475" s="286"/>
      <c r="N475" s="286"/>
      <c r="O475" s="287"/>
      <c r="AN475" s="33">
        <v>767</v>
      </c>
    </row>
    <row r="476" spans="2:40" ht="15">
      <c r="B476" s="299" t="s">
        <v>143</v>
      </c>
      <c r="C476" s="300"/>
      <c r="H476" s="119"/>
      <c r="J476" s="288"/>
      <c r="K476" s="289"/>
      <c r="L476" s="289"/>
      <c r="M476" s="289"/>
      <c r="N476" s="289"/>
      <c r="O476" s="290"/>
      <c r="AN476" s="34">
        <v>1139</v>
      </c>
    </row>
    <row r="477" spans="2:40" ht="15.75" thickBot="1">
      <c r="B477" s="299"/>
      <c r="C477" s="300"/>
      <c r="D477" s="300"/>
      <c r="E477" s="300"/>
      <c r="F477" s="300"/>
      <c r="G477" s="300"/>
      <c r="H477" s="119"/>
      <c r="J477" s="288"/>
      <c r="K477" s="289"/>
      <c r="L477" s="289"/>
      <c r="M477" s="289"/>
      <c r="N477" s="289"/>
      <c r="O477" s="290"/>
      <c r="AN477" s="35">
        <v>1119</v>
      </c>
    </row>
    <row r="478" spans="2:40" ht="15">
      <c r="B478" s="301" t="s">
        <v>144</v>
      </c>
      <c r="C478" s="302"/>
      <c r="D478" s="126">
        <f>_xlfn.F.INV(0.9,1,12)</f>
        <v>3.176548931022428</v>
      </c>
      <c r="G478" s="121" t="s">
        <v>146</v>
      </c>
      <c r="H478" s="119"/>
      <c r="J478" s="288"/>
      <c r="K478" s="289"/>
      <c r="L478" s="289"/>
      <c r="M478" s="289"/>
      <c r="N478" s="289"/>
      <c r="O478" s="290"/>
    </row>
    <row r="479" spans="2:40" ht="15.75" thickBot="1">
      <c r="B479" s="303" t="s">
        <v>107</v>
      </c>
      <c r="C479" s="304"/>
      <c r="D479" s="91">
        <f>1-_xlfn.F.DIST(C473,1,12,1)</f>
        <v>1.4708589890786161E-2</v>
      </c>
      <c r="E479" s="91" t="s">
        <v>145</v>
      </c>
      <c r="F479" s="91"/>
      <c r="G479" s="123" t="s">
        <v>147</v>
      </c>
      <c r="H479" s="124"/>
      <c r="J479" s="291"/>
      <c r="K479" s="292"/>
      <c r="L479" s="292"/>
      <c r="M479" s="292"/>
      <c r="N479" s="292"/>
      <c r="O479" s="293"/>
    </row>
    <row r="482" spans="1:27" ht="19.5" thickBot="1">
      <c r="A482" s="267" t="s">
        <v>149</v>
      </c>
      <c r="B482" s="261"/>
      <c r="C482" s="261"/>
      <c r="D482" s="261"/>
      <c r="E482" s="261"/>
      <c r="F482" s="261"/>
      <c r="G482" s="261"/>
      <c r="H482" s="261"/>
      <c r="I482" s="261"/>
      <c r="J482" s="261"/>
      <c r="K482" s="261"/>
      <c r="L482" s="261"/>
      <c r="M482" s="261"/>
      <c r="N482" s="261"/>
      <c r="O482" s="261"/>
      <c r="P482" s="261"/>
      <c r="Q482" s="261"/>
      <c r="R482" s="261"/>
    </row>
    <row r="483" spans="1:27" ht="15" thickTop="1"/>
    <row r="484" spans="1:27">
      <c r="B484" s="295" t="s">
        <v>122</v>
      </c>
      <c r="C484" s="295"/>
      <c r="D484" s="295"/>
      <c r="E484" s="295"/>
      <c r="F484" s="295"/>
    </row>
    <row r="485" spans="1:27" ht="15" thickBot="1"/>
    <row r="486" spans="1:27" ht="15.75" thickBot="1">
      <c r="B486" s="81" t="s">
        <v>13</v>
      </c>
      <c r="C486" s="95" t="s">
        <v>14</v>
      </c>
      <c r="D486" s="82" t="s">
        <v>15</v>
      </c>
      <c r="E486" s="82" t="s">
        <v>25</v>
      </c>
      <c r="F486" s="84" t="s">
        <v>49</v>
      </c>
      <c r="G486" s="43"/>
      <c r="H486" s="43"/>
      <c r="I486" s="43"/>
      <c r="J486" s="43"/>
      <c r="K486" s="43"/>
      <c r="L486" s="43"/>
      <c r="M486" s="43"/>
      <c r="N486" s="43"/>
      <c r="O486" s="43"/>
      <c r="P486" s="43"/>
      <c r="Q486" s="43"/>
      <c r="R486" s="43"/>
      <c r="S486" s="43"/>
      <c r="T486" s="43"/>
    </row>
    <row r="487" spans="1:27" ht="15" thickBot="1">
      <c r="B487" s="85">
        <v>-1</v>
      </c>
      <c r="C487" s="87">
        <v>-1</v>
      </c>
      <c r="D487" s="86">
        <v>-1</v>
      </c>
      <c r="E487" s="86">
        <v>1</v>
      </c>
      <c r="F487" s="32">
        <v>186</v>
      </c>
      <c r="G487" s="43"/>
      <c r="H487" s="43"/>
      <c r="I487" s="43"/>
      <c r="J487" s="43"/>
      <c r="K487" s="43"/>
      <c r="L487" s="43"/>
      <c r="M487" s="43"/>
      <c r="N487" s="43"/>
      <c r="O487" s="43"/>
      <c r="P487" s="43"/>
      <c r="Q487" s="43"/>
      <c r="R487" s="43"/>
      <c r="S487" s="43"/>
      <c r="T487" s="43"/>
    </row>
    <row r="488" spans="1:27" ht="16.5">
      <c r="B488" s="48">
        <v>1</v>
      </c>
      <c r="C488" s="88">
        <v>-1</v>
      </c>
      <c r="D488" s="49">
        <v>-1</v>
      </c>
      <c r="E488" s="49">
        <v>1</v>
      </c>
      <c r="F488" s="33">
        <v>242</v>
      </c>
      <c r="G488" s="43"/>
      <c r="H488" s="43"/>
      <c r="I488" s="43"/>
      <c r="J488" s="43"/>
      <c r="K488" s="43"/>
      <c r="L488" s="43"/>
      <c r="M488" s="43"/>
      <c r="N488" s="307" t="s">
        <v>150</v>
      </c>
      <c r="O488" s="308"/>
      <c r="P488" s="308"/>
      <c r="Q488" s="308"/>
      <c r="R488" s="308"/>
      <c r="S488" s="308"/>
      <c r="T488" s="309"/>
      <c r="V488" s="285" t="s">
        <v>182</v>
      </c>
      <c r="W488" s="286"/>
      <c r="X488" s="286"/>
      <c r="Y488" s="286"/>
      <c r="Z488" s="286"/>
      <c r="AA488" s="287"/>
    </row>
    <row r="489" spans="1:27" ht="15">
      <c r="B489" s="48">
        <v>-1</v>
      </c>
      <c r="C489" s="88">
        <v>1</v>
      </c>
      <c r="D489" s="49">
        <v>-1</v>
      </c>
      <c r="E489" s="49">
        <v>-1</v>
      </c>
      <c r="F489" s="33">
        <v>159</v>
      </c>
      <c r="G489" s="43"/>
      <c r="H489" s="43"/>
      <c r="I489" s="43"/>
      <c r="J489" s="43"/>
      <c r="K489" s="43"/>
      <c r="L489" s="43"/>
      <c r="M489" s="43"/>
      <c r="N489" s="299" t="s">
        <v>118</v>
      </c>
      <c r="O489" s="300"/>
      <c r="T489" s="119"/>
      <c r="V489" s="288"/>
      <c r="W489" s="289"/>
      <c r="X489" s="289"/>
      <c r="Y489" s="289"/>
      <c r="Z489" s="289"/>
      <c r="AA489" s="290"/>
    </row>
    <row r="490" spans="1:27" ht="15">
      <c r="B490" s="48">
        <v>1</v>
      </c>
      <c r="C490" s="88">
        <v>1</v>
      </c>
      <c r="D490" s="49">
        <v>-1</v>
      </c>
      <c r="E490" s="49">
        <v>-1</v>
      </c>
      <c r="F490" s="33">
        <v>239</v>
      </c>
      <c r="G490" s="43"/>
      <c r="H490" s="43"/>
      <c r="I490" s="43"/>
      <c r="J490" s="43"/>
      <c r="K490" s="43"/>
      <c r="L490" s="43"/>
      <c r="M490" s="43"/>
      <c r="N490" s="299" t="s">
        <v>151</v>
      </c>
      <c r="O490" s="300"/>
      <c r="T490" s="119"/>
      <c r="V490" s="288"/>
      <c r="W490" s="289"/>
      <c r="X490" s="289"/>
      <c r="Y490" s="289"/>
      <c r="Z490" s="289"/>
      <c r="AA490" s="290"/>
    </row>
    <row r="491" spans="1:27" ht="15">
      <c r="B491" s="48">
        <v>-1</v>
      </c>
      <c r="C491" s="88">
        <v>-1</v>
      </c>
      <c r="D491" s="49">
        <v>1</v>
      </c>
      <c r="E491" s="49">
        <v>-1</v>
      </c>
      <c r="F491" s="33">
        <v>448</v>
      </c>
      <c r="G491" s="43"/>
      <c r="H491" s="43"/>
      <c r="I491" s="43"/>
      <c r="J491" s="43"/>
      <c r="K491" s="43"/>
      <c r="L491" s="43"/>
      <c r="M491" s="43"/>
      <c r="N491" s="299" t="s">
        <v>152</v>
      </c>
      <c r="O491" s="306"/>
      <c r="P491" s="120">
        <f>C522/D522</f>
        <v>2.7256489775375234</v>
      </c>
      <c r="Q491" t="s">
        <v>105</v>
      </c>
      <c r="S491" s="121" t="s">
        <v>153</v>
      </c>
      <c r="T491" s="119" t="s">
        <v>154</v>
      </c>
      <c r="V491" s="288"/>
      <c r="W491" s="289"/>
      <c r="X491" s="289"/>
      <c r="Y491" s="289"/>
      <c r="Z491" s="289"/>
      <c r="AA491" s="290"/>
    </row>
    <row r="492" spans="1:27" ht="15">
      <c r="B492" s="48">
        <v>1</v>
      </c>
      <c r="C492" s="88">
        <v>-1</v>
      </c>
      <c r="D492" s="49">
        <v>1</v>
      </c>
      <c r="E492" s="49">
        <v>-1</v>
      </c>
      <c r="F492" s="34">
        <v>639</v>
      </c>
      <c r="G492" s="43"/>
      <c r="H492" s="43"/>
      <c r="I492" s="43"/>
      <c r="J492" s="43"/>
      <c r="K492" s="43"/>
      <c r="L492" s="43"/>
      <c r="M492" s="43"/>
      <c r="N492" s="299" t="s">
        <v>155</v>
      </c>
      <c r="O492" s="306"/>
      <c r="P492" s="120">
        <f>_xlfn.T.INV(1-0.05/2,12)</f>
        <v>2.178812829667228</v>
      </c>
      <c r="S492" t="s">
        <v>156</v>
      </c>
      <c r="T492" s="122" t="s">
        <v>157</v>
      </c>
      <c r="V492" s="288"/>
      <c r="W492" s="289"/>
      <c r="X492" s="289"/>
      <c r="Y492" s="289"/>
      <c r="Z492" s="289"/>
      <c r="AA492" s="290"/>
    </row>
    <row r="493" spans="1:27" ht="15.75" thickBot="1">
      <c r="B493" s="48">
        <v>-1</v>
      </c>
      <c r="C493" s="88">
        <v>1</v>
      </c>
      <c r="D493" s="49">
        <v>1</v>
      </c>
      <c r="E493" s="49">
        <v>1</v>
      </c>
      <c r="F493" s="33">
        <v>851</v>
      </c>
      <c r="G493" s="43"/>
      <c r="H493" s="43"/>
      <c r="I493" s="43"/>
      <c r="J493" s="43"/>
      <c r="K493" s="43"/>
      <c r="L493" s="43"/>
      <c r="M493" s="43"/>
      <c r="N493" s="299" t="s">
        <v>158</v>
      </c>
      <c r="O493" s="300"/>
      <c r="P493">
        <f>F522</f>
        <v>1.9731212025249488E-2</v>
      </c>
      <c r="Q493" t="s">
        <v>159</v>
      </c>
      <c r="S493" s="121"/>
      <c r="T493" s="119"/>
      <c r="V493" s="288"/>
      <c r="W493" s="289"/>
      <c r="X493" s="289"/>
      <c r="Y493" s="289"/>
      <c r="Z493" s="289"/>
      <c r="AA493" s="290"/>
    </row>
    <row r="494" spans="1:27" ht="15.75" thickBot="1">
      <c r="B494" s="48">
        <v>1</v>
      </c>
      <c r="C494" s="88">
        <v>1</v>
      </c>
      <c r="D494" s="49">
        <v>1</v>
      </c>
      <c r="E494" s="49">
        <v>1</v>
      </c>
      <c r="F494" s="33">
        <v>1029</v>
      </c>
      <c r="G494" s="43"/>
      <c r="H494" s="43"/>
      <c r="I494" s="43"/>
      <c r="J494" s="43"/>
      <c r="K494" s="43"/>
      <c r="L494" s="43"/>
      <c r="M494" s="43"/>
      <c r="N494" s="162"/>
      <c r="O494" s="125">
        <v>0</v>
      </c>
      <c r="P494" s="91" t="s">
        <v>160</v>
      </c>
      <c r="Q494" s="91"/>
      <c r="R494" s="163">
        <f>I522</f>
        <v>11.573541671691501</v>
      </c>
      <c r="S494" s="164">
        <f>J522</f>
        <v>108.6764583283086</v>
      </c>
      <c r="T494" s="124"/>
      <c r="V494" s="291"/>
      <c r="W494" s="292"/>
      <c r="X494" s="292"/>
      <c r="Y494" s="292"/>
      <c r="Z494" s="292"/>
      <c r="AA494" s="293"/>
    </row>
    <row r="495" spans="1:27" ht="15" thickBot="1">
      <c r="B495" s="48">
        <v>-1</v>
      </c>
      <c r="C495" s="88">
        <v>-1</v>
      </c>
      <c r="D495" s="49">
        <v>-1</v>
      </c>
      <c r="E495" s="49">
        <v>1</v>
      </c>
      <c r="F495" s="33">
        <v>173</v>
      </c>
      <c r="G495" s="43"/>
      <c r="H495" s="43"/>
      <c r="I495" s="43"/>
      <c r="J495" s="43"/>
      <c r="K495" s="43"/>
      <c r="L495" s="43"/>
      <c r="M495" s="43"/>
      <c r="N495" s="43"/>
      <c r="O495" s="43"/>
      <c r="P495" s="43"/>
      <c r="Q495" s="43"/>
      <c r="R495" s="43"/>
      <c r="S495" s="43"/>
      <c r="T495" s="43"/>
      <c r="V495" s="108"/>
      <c r="W495" s="108"/>
      <c r="X495" s="108"/>
      <c r="Y495" s="108"/>
      <c r="Z495" s="108"/>
      <c r="AA495" s="108"/>
    </row>
    <row r="496" spans="1:27" ht="16.5">
      <c r="B496" s="48">
        <v>1</v>
      </c>
      <c r="C496" s="88">
        <v>-1</v>
      </c>
      <c r="D496" s="49">
        <v>-1</v>
      </c>
      <c r="E496" s="49">
        <v>1</v>
      </c>
      <c r="F496" s="33">
        <v>242</v>
      </c>
      <c r="G496" s="43"/>
      <c r="H496" s="43"/>
      <c r="I496" s="43"/>
      <c r="J496" s="43"/>
      <c r="K496" s="43"/>
      <c r="L496" s="43"/>
      <c r="M496" s="43"/>
      <c r="N496" s="307" t="s">
        <v>161</v>
      </c>
      <c r="O496" s="308"/>
      <c r="P496" s="308"/>
      <c r="Q496" s="308"/>
      <c r="R496" s="308"/>
      <c r="S496" s="308"/>
      <c r="T496" s="309"/>
      <c r="V496" s="285" t="s">
        <v>181</v>
      </c>
      <c r="W496" s="286"/>
      <c r="X496" s="286"/>
      <c r="Y496" s="286"/>
      <c r="Z496" s="286"/>
      <c r="AA496" s="287"/>
    </row>
    <row r="497" spans="2:27" ht="15">
      <c r="B497" s="48">
        <v>-1</v>
      </c>
      <c r="C497" s="88">
        <v>1</v>
      </c>
      <c r="D497" s="49">
        <v>-1</v>
      </c>
      <c r="E497" s="49">
        <v>-1</v>
      </c>
      <c r="F497" s="33">
        <v>210</v>
      </c>
      <c r="G497" s="43"/>
      <c r="H497" s="43"/>
      <c r="I497" s="43"/>
      <c r="J497" s="43"/>
      <c r="K497" s="43"/>
      <c r="L497" s="43"/>
      <c r="M497" s="43"/>
      <c r="N497" s="299" t="s">
        <v>118</v>
      </c>
      <c r="O497" s="300"/>
      <c r="T497" s="119"/>
      <c r="V497" s="288"/>
      <c r="W497" s="289"/>
      <c r="X497" s="289"/>
      <c r="Y497" s="289"/>
      <c r="Z497" s="289"/>
      <c r="AA497" s="290"/>
    </row>
    <row r="498" spans="2:27" ht="15">
      <c r="B498" s="48">
        <v>1</v>
      </c>
      <c r="C498" s="88">
        <v>1</v>
      </c>
      <c r="D498" s="49">
        <v>-1</v>
      </c>
      <c r="E498" s="49">
        <v>-1</v>
      </c>
      <c r="F498" s="34">
        <v>271</v>
      </c>
      <c r="G498" s="43"/>
      <c r="H498" s="43"/>
      <c r="I498" s="43"/>
      <c r="J498" s="43"/>
      <c r="K498" s="43"/>
      <c r="L498" s="43"/>
      <c r="M498" s="43"/>
      <c r="N498" s="299" t="s">
        <v>162</v>
      </c>
      <c r="O498" s="300"/>
      <c r="T498" s="119"/>
      <c r="V498" s="288"/>
      <c r="W498" s="289"/>
      <c r="X498" s="289"/>
      <c r="Y498" s="289"/>
      <c r="Z498" s="289"/>
      <c r="AA498" s="290"/>
    </row>
    <row r="499" spans="2:27" ht="15">
      <c r="B499" s="48">
        <v>-1</v>
      </c>
      <c r="C499" s="88">
        <v>-1</v>
      </c>
      <c r="D499" s="49">
        <v>1</v>
      </c>
      <c r="E499" s="49">
        <v>-1</v>
      </c>
      <c r="F499" s="33">
        <v>420</v>
      </c>
      <c r="G499" s="43"/>
      <c r="H499" s="43"/>
      <c r="I499" s="43"/>
      <c r="J499" s="43"/>
      <c r="K499" s="43"/>
      <c r="L499" s="43"/>
      <c r="M499" s="43"/>
      <c r="N499" s="299" t="s">
        <v>163</v>
      </c>
      <c r="O499" s="306"/>
      <c r="P499" s="120">
        <f>C523/D523</f>
        <v>5.3832983963838759</v>
      </c>
      <c r="Q499" t="s">
        <v>105</v>
      </c>
      <c r="S499" s="121" t="s">
        <v>164</v>
      </c>
      <c r="T499" s="119" t="s">
        <v>154</v>
      </c>
      <c r="V499" s="288"/>
      <c r="W499" s="289"/>
      <c r="X499" s="289"/>
      <c r="Y499" s="289"/>
      <c r="Z499" s="289"/>
      <c r="AA499" s="290"/>
    </row>
    <row r="500" spans="2:27" ht="15">
      <c r="B500" s="48">
        <v>1</v>
      </c>
      <c r="C500" s="88">
        <v>-1</v>
      </c>
      <c r="D500" s="49">
        <v>1</v>
      </c>
      <c r="E500" s="49">
        <v>-1</v>
      </c>
      <c r="F500" s="33">
        <v>767</v>
      </c>
      <c r="G500" s="43"/>
      <c r="H500" s="43"/>
      <c r="I500" s="43"/>
      <c r="J500" s="43"/>
      <c r="K500" s="43"/>
      <c r="L500" s="43"/>
      <c r="M500" s="43"/>
      <c r="N500" s="299" t="s">
        <v>155</v>
      </c>
      <c r="O500" s="306"/>
      <c r="P500" s="120">
        <f>_xlfn.T.INV(1-0.05/2,12)</f>
        <v>2.178812829667228</v>
      </c>
      <c r="S500" t="s">
        <v>165</v>
      </c>
      <c r="T500" s="122" t="s">
        <v>157</v>
      </c>
      <c r="V500" s="288"/>
      <c r="W500" s="289"/>
      <c r="X500" s="289"/>
      <c r="Y500" s="289"/>
      <c r="Z500" s="289"/>
      <c r="AA500" s="290"/>
    </row>
    <row r="501" spans="2:27" ht="15.75" thickBot="1">
      <c r="B501" s="48">
        <v>-1</v>
      </c>
      <c r="C501" s="88">
        <v>1</v>
      </c>
      <c r="D501" s="49">
        <v>1</v>
      </c>
      <c r="E501" s="49">
        <v>1</v>
      </c>
      <c r="F501" s="34">
        <v>1139</v>
      </c>
      <c r="G501" s="43"/>
      <c r="H501" s="43"/>
      <c r="I501" s="43"/>
      <c r="J501" s="43"/>
      <c r="K501" s="43"/>
      <c r="L501" s="43"/>
      <c r="M501" s="43"/>
      <c r="N501" s="299" t="s">
        <v>166</v>
      </c>
      <c r="O501" s="300"/>
      <c r="P501">
        <f>F523</f>
        <v>2.2223556426522291E-4</v>
      </c>
      <c r="Q501" t="s">
        <v>159</v>
      </c>
      <c r="S501" s="121"/>
      <c r="T501" s="119"/>
      <c r="V501" s="288"/>
      <c r="W501" s="289"/>
      <c r="X501" s="289"/>
      <c r="Y501" s="289"/>
      <c r="Z501" s="289"/>
      <c r="AA501" s="290"/>
    </row>
    <row r="502" spans="2:27" ht="15.75" thickBot="1">
      <c r="B502" s="50">
        <v>1</v>
      </c>
      <c r="C502" s="89">
        <v>1</v>
      </c>
      <c r="D502" s="51">
        <v>1</v>
      </c>
      <c r="E502" s="51">
        <v>1</v>
      </c>
      <c r="F502" s="35">
        <v>1119</v>
      </c>
      <c r="G502" s="43"/>
      <c r="H502" s="43"/>
      <c r="I502" s="43"/>
      <c r="J502" s="43"/>
      <c r="K502" s="43"/>
      <c r="L502" s="43"/>
      <c r="M502" s="43"/>
      <c r="N502" s="162"/>
      <c r="O502" s="125">
        <v>0</v>
      </c>
      <c r="P502" s="91" t="s">
        <v>160</v>
      </c>
      <c r="Q502" s="91"/>
      <c r="R502" s="165">
        <f>I523</f>
        <v>70.198541671691402</v>
      </c>
      <c r="S502" s="166">
        <f>J523</f>
        <v>167.30145832830851</v>
      </c>
      <c r="T502" s="124"/>
      <c r="V502" s="291"/>
      <c r="W502" s="292"/>
      <c r="X502" s="292"/>
      <c r="Y502" s="292"/>
      <c r="Z502" s="292"/>
      <c r="AA502" s="293"/>
    </row>
    <row r="503" spans="2:27" ht="15" thickBot="1">
      <c r="B503" s="43"/>
      <c r="C503" s="43"/>
      <c r="D503" s="43"/>
      <c r="E503" s="43"/>
      <c r="F503" s="43"/>
      <c r="G503" s="43"/>
      <c r="H503" s="43"/>
      <c r="I503" s="43"/>
      <c r="J503" s="43"/>
      <c r="K503" s="43"/>
      <c r="L503" s="43"/>
      <c r="M503" s="43"/>
      <c r="N503" s="43"/>
      <c r="O503" s="43"/>
      <c r="P503" s="43"/>
      <c r="Q503" s="43"/>
      <c r="R503" s="43"/>
      <c r="S503" s="43"/>
      <c r="T503" s="43"/>
      <c r="V503" s="108"/>
      <c r="W503" s="108"/>
      <c r="X503" s="108"/>
      <c r="Y503" s="108"/>
      <c r="Z503" s="108"/>
      <c r="AA503" s="108"/>
    </row>
    <row r="504" spans="2:27" ht="16.5">
      <c r="B504" s="43"/>
      <c r="C504" s="43"/>
      <c r="D504" s="43"/>
      <c r="E504" s="43"/>
      <c r="F504" s="43"/>
      <c r="G504" s="43"/>
      <c r="H504" s="43"/>
      <c r="I504" s="43"/>
      <c r="J504" s="43"/>
      <c r="K504" s="43"/>
      <c r="L504" s="43"/>
      <c r="M504" s="43"/>
      <c r="N504" s="307" t="s">
        <v>167</v>
      </c>
      <c r="O504" s="308"/>
      <c r="P504" s="308"/>
      <c r="Q504" s="308"/>
      <c r="R504" s="308"/>
      <c r="S504" s="308"/>
      <c r="T504" s="309"/>
      <c r="V504" s="285" t="s">
        <v>180</v>
      </c>
      <c r="W504" s="286"/>
      <c r="X504" s="286"/>
      <c r="Y504" s="286"/>
      <c r="Z504" s="286"/>
      <c r="AA504" s="287"/>
    </row>
    <row r="505" spans="2:27" ht="15">
      <c r="B505" t="s">
        <v>50</v>
      </c>
      <c r="K505" s="43"/>
      <c r="L505" s="43"/>
      <c r="M505" s="43"/>
      <c r="N505" s="299" t="s">
        <v>118</v>
      </c>
      <c r="O505" s="300"/>
      <c r="T505" s="119"/>
      <c r="V505" s="288"/>
      <c r="W505" s="289"/>
      <c r="X505" s="289"/>
      <c r="Y505" s="289"/>
      <c r="Z505" s="289"/>
      <c r="AA505" s="290"/>
    </row>
    <row r="506" spans="2:27" ht="15.75" thickBot="1">
      <c r="K506" s="43"/>
      <c r="L506" s="43"/>
      <c r="M506" s="43"/>
      <c r="N506" s="299" t="s">
        <v>168</v>
      </c>
      <c r="O506" s="300"/>
      <c r="T506" s="119"/>
      <c r="V506" s="288"/>
      <c r="W506" s="289"/>
      <c r="X506" s="289"/>
      <c r="Y506" s="289"/>
      <c r="Z506" s="289"/>
      <c r="AA506" s="290"/>
    </row>
    <row r="507" spans="2:27" ht="15">
      <c r="B507" s="90" t="s">
        <v>51</v>
      </c>
      <c r="C507" s="90"/>
      <c r="K507" s="43"/>
      <c r="L507" s="43"/>
      <c r="M507" s="43"/>
      <c r="N507" s="299" t="s">
        <v>169</v>
      </c>
      <c r="O507" s="306"/>
      <c r="P507" s="120">
        <f>C524/D524</f>
        <v>13.288247094231776</v>
      </c>
      <c r="Q507" t="s">
        <v>105</v>
      </c>
      <c r="S507" s="121" t="s">
        <v>170</v>
      </c>
      <c r="T507" s="119" t="s">
        <v>154</v>
      </c>
      <c r="V507" s="288"/>
      <c r="W507" s="289"/>
      <c r="X507" s="289"/>
      <c r="Y507" s="289"/>
      <c r="Z507" s="289"/>
      <c r="AA507" s="290"/>
    </row>
    <row r="508" spans="2:27" ht="15">
      <c r="B508" t="s">
        <v>52</v>
      </c>
      <c r="C508">
        <v>0.97782534249918751</v>
      </c>
      <c r="K508" s="43"/>
      <c r="L508" s="43"/>
      <c r="M508" s="43"/>
      <c r="N508" s="299" t="s">
        <v>155</v>
      </c>
      <c r="O508" s="306"/>
      <c r="P508" s="120">
        <f>_xlfn.T.INV(1-0.05/2,12)</f>
        <v>2.178812829667228</v>
      </c>
      <c r="S508" t="s">
        <v>171</v>
      </c>
      <c r="T508" s="122" t="s">
        <v>157</v>
      </c>
      <c r="V508" s="288"/>
      <c r="W508" s="289"/>
      <c r="X508" s="289"/>
      <c r="Y508" s="289"/>
      <c r="Z508" s="289"/>
      <c r="AA508" s="290"/>
    </row>
    <row r="509" spans="2:27" ht="15.75" thickBot="1">
      <c r="B509" t="s">
        <v>53</v>
      </c>
      <c r="C509">
        <v>0.95614240043365339</v>
      </c>
      <c r="K509" s="43"/>
      <c r="L509" s="43"/>
      <c r="M509" s="43"/>
      <c r="N509" s="317" t="s">
        <v>172</v>
      </c>
      <c r="O509" s="318"/>
      <c r="P509" s="167">
        <f>F524</f>
        <v>4.0514878721525068E-8</v>
      </c>
      <c r="Q509" s="167" t="s">
        <v>159</v>
      </c>
      <c r="R509" s="167"/>
      <c r="S509" s="168"/>
      <c r="T509" s="169"/>
      <c r="V509" s="288"/>
      <c r="W509" s="289"/>
      <c r="X509" s="289"/>
      <c r="Y509" s="289"/>
      <c r="Z509" s="289"/>
      <c r="AA509" s="290"/>
    </row>
    <row r="510" spans="2:27" ht="15.75" thickBot="1">
      <c r="B510" t="s">
        <v>54</v>
      </c>
      <c r="C510">
        <v>0.94019418240952735</v>
      </c>
      <c r="K510" s="43"/>
      <c r="L510" s="43"/>
      <c r="M510" s="43"/>
      <c r="N510" s="162"/>
      <c r="O510" s="125">
        <v>0</v>
      </c>
      <c r="P510" s="91" t="s">
        <v>160</v>
      </c>
      <c r="Q510" s="91"/>
      <c r="R510" s="170">
        <f>I524</f>
        <v>244.57354167169134</v>
      </c>
      <c r="S510" s="171">
        <f>J524</f>
        <v>341.67645832830846</v>
      </c>
      <c r="T510" s="124"/>
      <c r="V510" s="291"/>
      <c r="W510" s="292"/>
      <c r="X510" s="292"/>
      <c r="Y510" s="292"/>
      <c r="Z510" s="292"/>
      <c r="AA510" s="293"/>
    </row>
    <row r="511" spans="2:27" ht="15" thickBot="1">
      <c r="B511" t="s">
        <v>55</v>
      </c>
      <c r="C511">
        <v>88.235866753935042</v>
      </c>
      <c r="K511" s="43"/>
      <c r="L511" s="43"/>
      <c r="M511" s="43"/>
      <c r="N511" s="43"/>
      <c r="O511" s="43"/>
      <c r="P511" s="43"/>
      <c r="Q511" s="43"/>
      <c r="R511" s="43"/>
      <c r="S511" s="43"/>
      <c r="T511" s="43"/>
      <c r="V511" s="108"/>
      <c r="W511" s="108"/>
      <c r="X511" s="108"/>
      <c r="Y511" s="108"/>
      <c r="Z511" s="108"/>
      <c r="AA511" s="108"/>
    </row>
    <row r="512" spans="2:27" ht="17.25" thickBot="1">
      <c r="B512" s="91" t="s">
        <v>56</v>
      </c>
      <c r="C512" s="91">
        <v>16</v>
      </c>
      <c r="K512" s="43"/>
      <c r="L512" s="43"/>
      <c r="M512" s="43"/>
      <c r="N512" s="307" t="s">
        <v>173</v>
      </c>
      <c r="O512" s="308"/>
      <c r="P512" s="308"/>
      <c r="Q512" s="308"/>
      <c r="R512" s="308"/>
      <c r="S512" s="308"/>
      <c r="T512" s="309"/>
      <c r="V512" s="285" t="s">
        <v>179</v>
      </c>
      <c r="W512" s="286"/>
      <c r="X512" s="286"/>
      <c r="Y512" s="286"/>
      <c r="Z512" s="286"/>
      <c r="AA512" s="287"/>
    </row>
    <row r="513" spans="1:27" ht="15">
      <c r="K513" s="43"/>
      <c r="L513" s="43"/>
      <c r="M513" s="43"/>
      <c r="N513" s="299" t="s">
        <v>118</v>
      </c>
      <c r="O513" s="300"/>
      <c r="T513" s="119"/>
      <c r="V513" s="288"/>
      <c r="W513" s="289"/>
      <c r="X513" s="289"/>
      <c r="Y513" s="289"/>
      <c r="Z513" s="289"/>
      <c r="AA513" s="290"/>
    </row>
    <row r="514" spans="1:27" ht="15.75" thickBot="1">
      <c r="B514" t="s">
        <v>57</v>
      </c>
      <c r="K514" s="43"/>
      <c r="L514" s="43"/>
      <c r="M514" s="43"/>
      <c r="N514" s="299" t="s">
        <v>174</v>
      </c>
      <c r="O514" s="300"/>
      <c r="T514" s="119"/>
      <c r="V514" s="288"/>
      <c r="W514" s="289"/>
      <c r="X514" s="289"/>
      <c r="Y514" s="289"/>
      <c r="Z514" s="289"/>
      <c r="AA514" s="290"/>
    </row>
    <row r="515" spans="1:27" ht="15">
      <c r="B515" s="92"/>
      <c r="C515" s="92" t="s">
        <v>58</v>
      </c>
      <c r="D515" s="92" t="s">
        <v>59</v>
      </c>
      <c r="E515" s="92" t="s">
        <v>60</v>
      </c>
      <c r="F515" s="92" t="s">
        <v>61</v>
      </c>
      <c r="G515" s="92" t="s">
        <v>62</v>
      </c>
      <c r="K515" s="43"/>
      <c r="L515" s="43"/>
      <c r="M515" s="43"/>
      <c r="N515" s="299" t="s">
        <v>175</v>
      </c>
      <c r="O515" s="306"/>
      <c r="P515" s="120">
        <f>C525/D525</f>
        <v>5.1792997203103797</v>
      </c>
      <c r="Q515" t="s">
        <v>105</v>
      </c>
      <c r="S515" s="121" t="s">
        <v>176</v>
      </c>
      <c r="T515" s="119" t="s">
        <v>154</v>
      </c>
      <c r="V515" s="288"/>
      <c r="W515" s="289"/>
      <c r="X515" s="289"/>
      <c r="Y515" s="289"/>
      <c r="Z515" s="289"/>
      <c r="AA515" s="290"/>
    </row>
    <row r="516" spans="1:27" ht="15">
      <c r="B516" t="s">
        <v>63</v>
      </c>
      <c r="C516">
        <v>4</v>
      </c>
      <c r="D516">
        <v>1867070.5</v>
      </c>
      <c r="E516">
        <v>466767.625</v>
      </c>
      <c r="F516">
        <v>59.95293010085679</v>
      </c>
      <c r="G516">
        <v>2.126848852615326E-7</v>
      </c>
      <c r="K516" s="43"/>
      <c r="L516" s="43"/>
      <c r="M516" s="43"/>
      <c r="N516" s="299" t="s">
        <v>155</v>
      </c>
      <c r="O516" s="306"/>
      <c r="P516" s="120">
        <f>_xlfn.T.INV(1-0.05/2,12)</f>
        <v>2.178812829667228</v>
      </c>
      <c r="S516" t="s">
        <v>177</v>
      </c>
      <c r="T516" s="122" t="s">
        <v>157</v>
      </c>
      <c r="V516" s="288"/>
      <c r="W516" s="289"/>
      <c r="X516" s="289"/>
      <c r="Y516" s="289"/>
      <c r="Z516" s="289"/>
      <c r="AA516" s="290"/>
    </row>
    <row r="517" spans="1:27" ht="15.75" thickBot="1">
      <c r="B517" t="s">
        <v>64</v>
      </c>
      <c r="C517">
        <v>11</v>
      </c>
      <c r="D517">
        <v>85641.249999999971</v>
      </c>
      <c r="E517">
        <v>7785.5681818181793</v>
      </c>
      <c r="K517" s="43"/>
      <c r="L517" s="43"/>
      <c r="M517" s="43"/>
      <c r="N517" s="317" t="s">
        <v>178</v>
      </c>
      <c r="O517" s="318"/>
      <c r="P517" s="167">
        <f>F525</f>
        <v>3.0408129232274619E-4</v>
      </c>
      <c r="Q517" s="167" t="s">
        <v>159</v>
      </c>
      <c r="R517" s="167"/>
      <c r="S517" s="168"/>
      <c r="T517" s="169"/>
      <c r="V517" s="288"/>
      <c r="W517" s="289"/>
      <c r="X517" s="289"/>
      <c r="Y517" s="289"/>
      <c r="Z517" s="289"/>
      <c r="AA517" s="290"/>
    </row>
    <row r="518" spans="1:27" ht="15.75" thickBot="1">
      <c r="B518" s="91" t="s">
        <v>65</v>
      </c>
      <c r="C518" s="91">
        <v>15</v>
      </c>
      <c r="D518" s="91">
        <v>1952711.75</v>
      </c>
      <c r="E518" s="91"/>
      <c r="F518" s="91"/>
      <c r="G518" s="91"/>
      <c r="K518" s="43"/>
      <c r="L518" s="43"/>
      <c r="M518" s="43"/>
      <c r="N518" s="162"/>
      <c r="O518" s="125">
        <v>0</v>
      </c>
      <c r="P518" s="91" t="s">
        <v>160</v>
      </c>
      <c r="Q518" s="91"/>
      <c r="R518" s="170">
        <f>I525</f>
        <v>65.698541671691373</v>
      </c>
      <c r="S518" s="171">
        <f>J525</f>
        <v>162.80145832830848</v>
      </c>
      <c r="T518" s="124"/>
      <c r="V518" s="291"/>
      <c r="W518" s="292"/>
      <c r="X518" s="292"/>
      <c r="Y518" s="292"/>
      <c r="Z518" s="292"/>
      <c r="AA518" s="293"/>
    </row>
    <row r="519" spans="1:27" ht="15" thickBot="1">
      <c r="K519" s="43"/>
      <c r="L519" s="43"/>
      <c r="M519" s="43"/>
      <c r="N519" s="43"/>
      <c r="O519" s="43"/>
      <c r="P519" s="43"/>
      <c r="Q519" s="43"/>
      <c r="R519" s="43"/>
      <c r="S519" s="43"/>
      <c r="T519" s="43"/>
    </row>
    <row r="520" spans="1:27">
      <c r="B520" s="92"/>
      <c r="C520" s="92" t="s">
        <v>66</v>
      </c>
      <c r="D520" s="92" t="s">
        <v>55</v>
      </c>
      <c r="E520" s="92" t="s">
        <v>67</v>
      </c>
      <c r="F520" s="92" t="s">
        <v>68</v>
      </c>
      <c r="G520" s="92" t="s">
        <v>69</v>
      </c>
      <c r="H520" s="92" t="s">
        <v>70</v>
      </c>
      <c r="I520" s="92" t="s">
        <v>71</v>
      </c>
      <c r="J520" s="92" t="s">
        <v>72</v>
      </c>
      <c r="K520" s="43"/>
      <c r="L520" s="43"/>
      <c r="M520" s="43"/>
      <c r="N520" s="43"/>
      <c r="O520" s="43"/>
      <c r="P520" s="43"/>
      <c r="Q520" s="43"/>
      <c r="R520" s="43"/>
      <c r="S520" s="43"/>
      <c r="T520" s="43"/>
    </row>
    <row r="521" spans="1:27">
      <c r="B521" t="s">
        <v>73</v>
      </c>
      <c r="C521">
        <v>508.375</v>
      </c>
      <c r="D521">
        <v>22.058966688483761</v>
      </c>
      <c r="E521">
        <v>23.046183766413925</v>
      </c>
      <c r="F521">
        <v>1.1621293937234115E-10</v>
      </c>
      <c r="G521">
        <v>459.82354167169143</v>
      </c>
      <c r="H521">
        <v>556.92645832830851</v>
      </c>
      <c r="I521">
        <v>459.82354167169143</v>
      </c>
      <c r="J521">
        <v>556.92645832830851</v>
      </c>
      <c r="K521" s="43"/>
      <c r="L521" s="43"/>
      <c r="M521" s="43"/>
      <c r="N521" s="43"/>
      <c r="O521" s="43"/>
      <c r="P521" s="43"/>
      <c r="Q521" s="43"/>
      <c r="R521" s="43"/>
      <c r="S521" s="43"/>
      <c r="T521" s="43"/>
    </row>
    <row r="522" spans="1:27">
      <c r="B522" t="s">
        <v>13</v>
      </c>
      <c r="C522">
        <v>60.12500000000005</v>
      </c>
      <c r="D522">
        <v>22.058966688483761</v>
      </c>
      <c r="E522">
        <v>2.7256489775375234</v>
      </c>
      <c r="F522">
        <v>1.9731212025249488E-2</v>
      </c>
      <c r="G522">
        <v>11.573541671691501</v>
      </c>
      <c r="H522">
        <v>108.6764583283086</v>
      </c>
      <c r="I522">
        <v>11.573541671691501</v>
      </c>
      <c r="J522">
        <v>108.6764583283086</v>
      </c>
      <c r="K522" s="43"/>
      <c r="L522" s="43"/>
      <c r="M522" s="43"/>
      <c r="N522" s="43"/>
      <c r="O522" s="43"/>
      <c r="P522" s="43"/>
      <c r="Q522" s="43"/>
      <c r="R522" s="43"/>
      <c r="S522" s="43"/>
      <c r="T522" s="43"/>
    </row>
    <row r="523" spans="1:27">
      <c r="B523" t="s">
        <v>14</v>
      </c>
      <c r="C523">
        <v>118.74999999999996</v>
      </c>
      <c r="D523">
        <v>22.058966688483761</v>
      </c>
      <c r="E523">
        <v>5.3832983963838759</v>
      </c>
      <c r="F523">
        <v>2.2223556426522291E-4</v>
      </c>
      <c r="G523">
        <v>70.198541671691402</v>
      </c>
      <c r="H523">
        <v>167.30145832830851</v>
      </c>
      <c r="I523">
        <v>70.198541671691402</v>
      </c>
      <c r="J523">
        <v>167.30145832830851</v>
      </c>
      <c r="K523" s="43"/>
      <c r="L523" s="43"/>
      <c r="M523" s="43"/>
      <c r="N523" s="43"/>
      <c r="O523" s="43"/>
      <c r="P523" s="43"/>
      <c r="Q523" s="43"/>
      <c r="R523" s="43"/>
      <c r="S523" s="43"/>
      <c r="T523" s="43"/>
    </row>
    <row r="524" spans="1:27">
      <c r="B524" t="s">
        <v>15</v>
      </c>
      <c r="C524">
        <v>293.12499999999989</v>
      </c>
      <c r="D524">
        <v>22.058966688483761</v>
      </c>
      <c r="E524">
        <v>13.288247094231776</v>
      </c>
      <c r="F524">
        <v>4.0514878721525068E-8</v>
      </c>
      <c r="G524">
        <v>244.57354167169134</v>
      </c>
      <c r="H524">
        <v>341.67645832830846</v>
      </c>
      <c r="I524">
        <v>244.57354167169134</v>
      </c>
      <c r="J524">
        <v>341.67645832830846</v>
      </c>
      <c r="K524" s="43"/>
      <c r="L524" s="43"/>
      <c r="M524" s="43"/>
      <c r="N524" s="43"/>
      <c r="O524" s="43"/>
      <c r="P524" s="43"/>
      <c r="Q524" s="43"/>
      <c r="R524" s="43"/>
      <c r="S524" s="43"/>
      <c r="T524" s="43"/>
    </row>
    <row r="525" spans="1:27" ht="15" thickBot="1">
      <c r="B525" s="91" t="s">
        <v>25</v>
      </c>
      <c r="C525" s="91">
        <v>114.24999999999993</v>
      </c>
      <c r="D525" s="91">
        <v>22.058966688483761</v>
      </c>
      <c r="E525" s="91">
        <v>5.1792997203103797</v>
      </c>
      <c r="F525" s="91">
        <v>3.0408129232274619E-4</v>
      </c>
      <c r="G525" s="91">
        <v>65.698541671691373</v>
      </c>
      <c r="H525" s="91">
        <v>162.80145832830848</v>
      </c>
      <c r="I525" s="91">
        <v>65.698541671691373</v>
      </c>
      <c r="J525" s="91">
        <v>162.80145832830848</v>
      </c>
      <c r="K525" s="43"/>
      <c r="L525" s="43"/>
      <c r="M525" s="43"/>
      <c r="N525" s="43"/>
      <c r="O525" s="43"/>
      <c r="P525" s="43"/>
      <c r="Q525" s="43"/>
      <c r="R525" s="43"/>
      <c r="S525" s="43"/>
      <c r="T525" s="43"/>
    </row>
    <row r="528" spans="1:27" ht="19.5" thickBot="1">
      <c r="A528" s="267" t="s">
        <v>183</v>
      </c>
      <c r="B528" s="261"/>
      <c r="C528" s="261"/>
      <c r="D528" s="261"/>
      <c r="E528" s="261"/>
      <c r="F528" s="261"/>
      <c r="G528" s="261"/>
      <c r="H528" s="261"/>
      <c r="I528" s="261"/>
      <c r="J528" s="261"/>
      <c r="K528" s="261"/>
      <c r="L528" s="261"/>
      <c r="M528" s="261"/>
      <c r="N528" s="261"/>
      <c r="O528" s="261"/>
      <c r="P528" s="261"/>
      <c r="Q528" s="261"/>
      <c r="R528" s="261"/>
    </row>
    <row r="529" spans="2:23" ht="15.75" thickTop="1" thickBot="1"/>
    <row r="530" spans="2:23" ht="15.75" thickBot="1">
      <c r="F530" s="43"/>
      <c r="G530" s="52" t="s">
        <v>16</v>
      </c>
      <c r="H530" s="53" t="s">
        <v>17</v>
      </c>
    </row>
    <row r="531" spans="2:23" ht="15">
      <c r="B531" s="173" t="s">
        <v>184</v>
      </c>
      <c r="C531" s="174" t="s">
        <v>185</v>
      </c>
      <c r="D531" s="175" t="s">
        <v>186</v>
      </c>
      <c r="F531" s="54" t="s">
        <v>9</v>
      </c>
      <c r="G531" s="55">
        <f>(27+32)/2</f>
        <v>29.5</v>
      </c>
      <c r="H531" s="56">
        <f>(32-27)/2</f>
        <v>2.5</v>
      </c>
    </row>
    <row r="532" spans="2:23" ht="15">
      <c r="B532" s="176" t="s">
        <v>187</v>
      </c>
      <c r="C532" s="172" t="s">
        <v>188</v>
      </c>
      <c r="D532" s="177" t="s">
        <v>189</v>
      </c>
      <c r="F532" s="57" t="s">
        <v>10</v>
      </c>
      <c r="G532" s="58">
        <f>(180+240)/2</f>
        <v>210</v>
      </c>
      <c r="H532" s="59">
        <f>(240-180)/2</f>
        <v>30</v>
      </c>
    </row>
    <row r="533" spans="2:23" ht="15.75" thickBot="1">
      <c r="B533" s="178" t="s">
        <v>190</v>
      </c>
      <c r="C533" s="179" t="s">
        <v>191</v>
      </c>
      <c r="D533" s="180" t="s">
        <v>192</v>
      </c>
      <c r="F533" s="60" t="s">
        <v>11</v>
      </c>
      <c r="G533" s="61">
        <f>(1080+2160)/2</f>
        <v>1620</v>
      </c>
      <c r="H533" s="62">
        <f>(2160-1080)/2</f>
        <v>540</v>
      </c>
    </row>
    <row r="534" spans="2:23" ht="15">
      <c r="F534" s="197"/>
      <c r="G534" s="198"/>
      <c r="H534" s="198"/>
    </row>
    <row r="535" spans="2:23" ht="15">
      <c r="F535" s="199"/>
      <c r="G535" s="200"/>
      <c r="H535" s="200"/>
    </row>
    <row r="536" spans="2:23">
      <c r="B536" s="181"/>
      <c r="C536" s="182"/>
      <c r="D536" s="182"/>
      <c r="E536" s="182"/>
      <c r="F536" s="43"/>
      <c r="G536" s="43"/>
      <c r="H536" s="43"/>
      <c r="I536" s="182"/>
      <c r="J536" s="182"/>
      <c r="K536" s="183"/>
      <c r="L536" s="43"/>
      <c r="W536" s="43"/>
    </row>
    <row r="537" spans="2:23" ht="15">
      <c r="B537" s="184"/>
      <c r="C537" s="185" t="s">
        <v>193</v>
      </c>
      <c r="D537" s="43"/>
      <c r="E537" s="43"/>
      <c r="F537" s="43"/>
      <c r="G537" s="43"/>
      <c r="H537" s="43"/>
      <c r="I537" s="43"/>
      <c r="J537" s="43"/>
      <c r="K537" s="186"/>
      <c r="L537" s="43"/>
      <c r="W537" s="43"/>
    </row>
    <row r="538" spans="2:23" ht="15" thickBot="1">
      <c r="B538" s="184"/>
      <c r="C538" s="43"/>
      <c r="D538" s="43"/>
      <c r="E538" s="43"/>
      <c r="F538" s="43"/>
      <c r="G538" s="43"/>
      <c r="H538" s="43"/>
      <c r="I538" s="43"/>
      <c r="J538" s="43"/>
      <c r="K538" s="186"/>
      <c r="L538" s="43"/>
      <c r="W538" s="43"/>
    </row>
    <row r="539" spans="2:23">
      <c r="B539" s="184"/>
      <c r="C539" s="310" t="s">
        <v>196</v>
      </c>
      <c r="D539" s="9">
        <v>27</v>
      </c>
      <c r="E539" s="187">
        <v>-1</v>
      </c>
      <c r="F539" s="188">
        <f>AVERAGE(AN462,AN464,AN466,AN468,AN470,AN474,AN476)</f>
        <v>482.28571428571428</v>
      </c>
      <c r="G539" s="43"/>
      <c r="H539" s="43"/>
      <c r="I539" s="43"/>
      <c r="J539" s="43"/>
      <c r="K539" s="186"/>
      <c r="L539" s="43"/>
      <c r="W539" s="43"/>
    </row>
    <row r="540" spans="2:23">
      <c r="B540" s="184"/>
      <c r="C540" s="311"/>
      <c r="D540" s="189">
        <v>32</v>
      </c>
      <c r="E540" s="190">
        <v>1</v>
      </c>
      <c r="F540" s="191">
        <f>AVERAGE(AN463,AN465,AN467,AN469,AN471,AN473,AN475,AN477)</f>
        <v>568.5</v>
      </c>
      <c r="G540" s="43"/>
      <c r="H540" s="43"/>
      <c r="I540" s="43"/>
      <c r="J540" s="43"/>
      <c r="K540" s="186"/>
      <c r="L540" s="43"/>
      <c r="W540" s="43"/>
    </row>
    <row r="541" spans="2:23" ht="15" thickBot="1">
      <c r="B541" s="184"/>
      <c r="C541" s="312"/>
      <c r="D541" s="313" t="s">
        <v>199</v>
      </c>
      <c r="E541" s="314"/>
      <c r="F541" s="192">
        <f>F540-F539</f>
        <v>86.214285714285722</v>
      </c>
      <c r="G541" s="43"/>
      <c r="H541" s="43"/>
      <c r="I541" s="43"/>
      <c r="J541" s="43"/>
      <c r="K541" s="186"/>
      <c r="L541" s="43"/>
      <c r="W541" s="43"/>
    </row>
    <row r="542" spans="2:23">
      <c r="B542" s="184"/>
      <c r="C542" s="43"/>
      <c r="D542" s="43"/>
      <c r="E542" s="43"/>
      <c r="F542" s="43"/>
      <c r="G542" s="43"/>
      <c r="H542" s="43"/>
      <c r="I542" s="43"/>
      <c r="J542" s="43"/>
      <c r="K542" s="186"/>
      <c r="L542" s="43"/>
      <c r="W542" s="43"/>
    </row>
    <row r="543" spans="2:23">
      <c r="B543" s="184"/>
      <c r="C543" s="43"/>
      <c r="D543" s="43"/>
      <c r="E543" s="43"/>
      <c r="F543" s="43"/>
      <c r="G543" s="43"/>
      <c r="H543" s="43"/>
      <c r="I543" s="43"/>
      <c r="J543" s="43"/>
      <c r="K543" s="186"/>
      <c r="L543" s="43"/>
      <c r="W543" s="43"/>
    </row>
    <row r="544" spans="2:23">
      <c r="B544" s="184"/>
      <c r="C544" s="43"/>
      <c r="D544" s="43"/>
      <c r="E544" s="43"/>
      <c r="F544" s="43"/>
      <c r="G544" s="43"/>
      <c r="H544" s="43"/>
      <c r="I544" s="43"/>
      <c r="J544" s="43"/>
      <c r="K544" s="186"/>
      <c r="L544" s="43"/>
      <c r="W544" s="43"/>
    </row>
    <row r="545" spans="2:23">
      <c r="B545" s="184"/>
      <c r="C545" s="43"/>
      <c r="D545" s="43"/>
      <c r="E545" s="43"/>
      <c r="F545" s="43"/>
      <c r="G545" s="43"/>
      <c r="H545" s="43"/>
      <c r="I545" s="43"/>
      <c r="J545" s="43"/>
      <c r="K545" s="186"/>
      <c r="L545" s="43"/>
      <c r="W545" s="43"/>
    </row>
    <row r="546" spans="2:23">
      <c r="B546" s="184"/>
      <c r="C546" s="43"/>
      <c r="D546" s="43"/>
      <c r="E546" s="43"/>
      <c r="F546" s="43"/>
      <c r="G546" s="43"/>
      <c r="H546" s="43"/>
      <c r="I546" s="43"/>
      <c r="J546" s="43"/>
      <c r="K546" s="186"/>
      <c r="L546" s="43"/>
      <c r="W546" s="43"/>
    </row>
    <row r="547" spans="2:23">
      <c r="B547" s="184"/>
      <c r="C547" s="43"/>
      <c r="D547" s="43"/>
      <c r="E547" s="43"/>
      <c r="F547" s="43"/>
      <c r="G547" s="43"/>
      <c r="H547" s="43"/>
      <c r="I547" s="43"/>
      <c r="J547" s="43"/>
      <c r="K547" s="186"/>
      <c r="L547" s="43"/>
      <c r="W547" s="43"/>
    </row>
    <row r="548" spans="2:23">
      <c r="B548" s="184"/>
      <c r="C548" s="43"/>
      <c r="D548" s="43"/>
      <c r="E548" s="43"/>
      <c r="F548" s="43"/>
      <c r="G548" s="43"/>
      <c r="H548" s="43"/>
      <c r="I548" s="43"/>
      <c r="J548" s="43"/>
      <c r="K548" s="186"/>
      <c r="L548" s="43"/>
      <c r="W548" s="43"/>
    </row>
    <row r="549" spans="2:23">
      <c r="B549" s="184"/>
      <c r="C549" s="43"/>
      <c r="D549" s="43"/>
      <c r="E549" s="43"/>
      <c r="F549" s="43"/>
      <c r="G549" s="43"/>
      <c r="H549" s="43"/>
      <c r="I549" s="43"/>
      <c r="J549" s="43"/>
      <c r="K549" s="186"/>
      <c r="L549" s="43"/>
      <c r="W549" s="43"/>
    </row>
    <row r="550" spans="2:23">
      <c r="B550" s="184"/>
      <c r="C550" s="43"/>
      <c r="D550" s="43"/>
      <c r="E550" s="43"/>
      <c r="F550" s="43"/>
      <c r="G550" s="43"/>
      <c r="H550" s="43"/>
      <c r="I550" s="43"/>
      <c r="J550" s="43"/>
      <c r="K550" s="186"/>
      <c r="L550" s="43"/>
      <c r="W550" s="43"/>
    </row>
    <row r="551" spans="2:23">
      <c r="B551" s="184"/>
      <c r="C551" s="43"/>
      <c r="D551" s="43"/>
      <c r="E551" s="43"/>
      <c r="F551" s="43"/>
      <c r="G551" s="43"/>
      <c r="H551" s="43"/>
      <c r="I551" s="43"/>
      <c r="J551" s="43"/>
      <c r="K551" s="186"/>
      <c r="L551" s="43"/>
      <c r="W551" s="43"/>
    </row>
    <row r="552" spans="2:23">
      <c r="B552" s="184"/>
      <c r="C552" s="43"/>
      <c r="D552" s="43"/>
      <c r="E552" s="43"/>
      <c r="F552" s="43"/>
      <c r="G552" s="43"/>
      <c r="H552" s="43"/>
      <c r="I552" s="43"/>
      <c r="J552" s="43"/>
      <c r="K552" s="186"/>
      <c r="L552" s="43"/>
      <c r="W552" s="43"/>
    </row>
    <row r="553" spans="2:23">
      <c r="B553" s="184"/>
      <c r="C553" s="43"/>
      <c r="D553" s="43"/>
      <c r="E553" s="43"/>
      <c r="F553" s="43"/>
      <c r="G553" s="43"/>
      <c r="H553" s="43"/>
      <c r="I553" s="43"/>
      <c r="J553" s="43"/>
      <c r="K553" s="186"/>
      <c r="L553" s="43"/>
      <c r="W553" s="43"/>
    </row>
    <row r="554" spans="2:23">
      <c r="B554" s="184"/>
      <c r="C554" s="43"/>
      <c r="D554" s="43"/>
      <c r="E554" s="43"/>
      <c r="F554" s="43"/>
      <c r="G554" s="43"/>
      <c r="H554" s="43"/>
      <c r="I554" s="43"/>
      <c r="J554" s="43"/>
      <c r="K554" s="186"/>
      <c r="L554" s="43"/>
      <c r="W554" s="43"/>
    </row>
    <row r="555" spans="2:23">
      <c r="B555" s="184"/>
      <c r="C555" s="43"/>
      <c r="D555" s="43"/>
      <c r="E555" s="43"/>
      <c r="F555" s="43"/>
      <c r="G555" s="43"/>
      <c r="H555" s="43"/>
      <c r="I555" s="43"/>
      <c r="J555" s="43"/>
      <c r="K555" s="186"/>
      <c r="L555" s="43"/>
      <c r="W555" s="43"/>
    </row>
    <row r="556" spans="2:23">
      <c r="B556" s="184"/>
      <c r="C556" s="43"/>
      <c r="D556" s="43"/>
      <c r="E556" s="43"/>
      <c r="F556" s="43"/>
      <c r="G556" s="43"/>
      <c r="H556" s="43"/>
      <c r="I556" s="43"/>
      <c r="J556" s="43"/>
      <c r="K556" s="186"/>
      <c r="L556" s="43"/>
      <c r="W556" s="43"/>
    </row>
    <row r="557" spans="2:23">
      <c r="B557" s="184"/>
      <c r="C557" s="43"/>
      <c r="D557" s="43"/>
      <c r="E557" s="43"/>
      <c r="F557" s="43"/>
      <c r="G557" s="43"/>
      <c r="H557" s="43"/>
      <c r="I557" s="43"/>
      <c r="J557" s="43"/>
      <c r="K557" s="186"/>
      <c r="L557" s="43"/>
      <c r="W557" s="43"/>
    </row>
    <row r="558" spans="2:23">
      <c r="B558" s="184"/>
      <c r="C558" s="43"/>
      <c r="D558" s="43"/>
      <c r="E558" s="43"/>
      <c r="F558" s="43"/>
      <c r="G558" s="43"/>
      <c r="H558" s="43"/>
      <c r="I558" s="43"/>
      <c r="J558" s="43"/>
      <c r="K558" s="186"/>
      <c r="L558" s="43"/>
      <c r="W558" s="43"/>
    </row>
    <row r="559" spans="2:23">
      <c r="B559" s="184"/>
      <c r="C559" s="43"/>
      <c r="D559" s="43"/>
      <c r="E559" s="43"/>
      <c r="F559" s="43"/>
      <c r="G559" s="43"/>
      <c r="H559" s="43"/>
      <c r="I559" s="43"/>
      <c r="J559" s="43"/>
      <c r="K559" s="186"/>
      <c r="L559" s="43"/>
      <c r="W559" s="43"/>
    </row>
    <row r="560" spans="2:23">
      <c r="B560" s="194"/>
      <c r="C560" s="195"/>
      <c r="D560" s="195"/>
      <c r="E560" s="195"/>
      <c r="F560" s="195"/>
      <c r="G560" s="195"/>
      <c r="H560" s="195"/>
      <c r="I560" s="195"/>
      <c r="J560" s="195"/>
      <c r="K560" s="196"/>
      <c r="L560" s="43"/>
      <c r="W560" s="43"/>
    </row>
    <row r="562" spans="2:11">
      <c r="B562" s="181"/>
      <c r="C562" s="182"/>
      <c r="D562" s="182"/>
      <c r="E562" s="182"/>
      <c r="F562" s="182"/>
      <c r="G562" s="182"/>
      <c r="H562" s="182"/>
      <c r="I562" s="182"/>
      <c r="J562" s="182"/>
      <c r="K562" s="183"/>
    </row>
    <row r="563" spans="2:11" ht="15">
      <c r="B563" s="184"/>
      <c r="C563" s="185" t="s">
        <v>194</v>
      </c>
      <c r="D563" s="43"/>
      <c r="E563" s="43"/>
      <c r="F563" s="43"/>
      <c r="G563" s="43"/>
      <c r="H563" s="43"/>
      <c r="I563" s="43"/>
      <c r="J563" s="43"/>
      <c r="K563" s="186"/>
    </row>
    <row r="564" spans="2:11" ht="15" thickBot="1">
      <c r="B564" s="184"/>
      <c r="C564" s="43"/>
      <c r="D564" s="43"/>
      <c r="E564" s="43"/>
      <c r="F564" s="43"/>
      <c r="G564" s="43"/>
      <c r="H564" s="43"/>
      <c r="I564" s="43"/>
      <c r="J564" s="43"/>
      <c r="K564" s="186"/>
    </row>
    <row r="565" spans="2:11">
      <c r="B565" s="184"/>
      <c r="C565" s="310" t="s">
        <v>197</v>
      </c>
      <c r="D565" s="9">
        <v>180</v>
      </c>
      <c r="E565" s="187">
        <v>-1</v>
      </c>
      <c r="F565" s="188">
        <f>AVERAGE(AN462,AN463,AN466,AN467,AN470,AN471,AN474,AN475)</f>
        <v>389.625</v>
      </c>
      <c r="G565" s="43"/>
      <c r="H565" s="43"/>
      <c r="I565" s="43"/>
      <c r="J565" s="43"/>
      <c r="K565" s="186"/>
    </row>
    <row r="566" spans="2:11">
      <c r="B566" s="184"/>
      <c r="C566" s="311"/>
      <c r="D566" s="189">
        <v>240</v>
      </c>
      <c r="E566" s="190">
        <v>1</v>
      </c>
      <c r="F566" s="191">
        <f>AVERAGE(AN464,AN465,AN468,AN469,AN472,AN473,AN476,AN477)</f>
        <v>627.125</v>
      </c>
      <c r="G566" s="43"/>
      <c r="H566" s="43"/>
      <c r="I566" s="43"/>
      <c r="J566" s="43"/>
      <c r="K566" s="186"/>
    </row>
    <row r="567" spans="2:11" ht="15" thickBot="1">
      <c r="B567" s="184"/>
      <c r="C567" s="312"/>
      <c r="D567" s="315" t="s">
        <v>199</v>
      </c>
      <c r="E567" s="316"/>
      <c r="F567" s="192">
        <f>F566-F565</f>
        <v>237.5</v>
      </c>
      <c r="G567" s="43"/>
      <c r="H567" s="43"/>
      <c r="I567" s="43"/>
      <c r="J567" s="43"/>
      <c r="K567" s="186"/>
    </row>
    <row r="568" spans="2:11">
      <c r="B568" s="184"/>
      <c r="C568" s="43"/>
      <c r="D568" s="43"/>
      <c r="E568" s="43"/>
      <c r="F568" s="43"/>
      <c r="G568" s="43"/>
      <c r="H568" s="43"/>
      <c r="I568" s="43"/>
      <c r="J568" s="43"/>
      <c r="K568" s="186"/>
    </row>
    <row r="569" spans="2:11">
      <c r="B569" s="184"/>
      <c r="C569" s="43"/>
      <c r="D569" s="43"/>
      <c r="E569" s="43"/>
      <c r="F569" s="43"/>
      <c r="G569" s="43"/>
      <c r="H569" s="43"/>
      <c r="I569" s="43"/>
      <c r="J569" s="43"/>
      <c r="K569" s="186"/>
    </row>
    <row r="570" spans="2:11">
      <c r="B570" s="184"/>
      <c r="C570" s="43"/>
      <c r="D570" s="43"/>
      <c r="E570" s="43"/>
      <c r="F570" s="43"/>
      <c r="G570" s="43"/>
      <c r="H570" s="43"/>
      <c r="I570" s="43"/>
      <c r="J570" s="43"/>
      <c r="K570" s="186"/>
    </row>
    <row r="571" spans="2:11">
      <c r="B571" s="184"/>
      <c r="C571" s="43"/>
      <c r="D571" s="43"/>
      <c r="E571" s="43"/>
      <c r="F571" s="43"/>
      <c r="G571" s="43"/>
      <c r="H571" s="43"/>
      <c r="I571" s="43"/>
      <c r="J571" s="43"/>
      <c r="K571" s="186"/>
    </row>
    <row r="572" spans="2:11">
      <c r="B572" s="184"/>
      <c r="C572" s="43"/>
      <c r="D572" s="43"/>
      <c r="E572" s="43"/>
      <c r="F572" s="43"/>
      <c r="G572" s="43"/>
      <c r="H572" s="43"/>
      <c r="I572" s="43"/>
      <c r="J572" s="43"/>
      <c r="K572" s="186"/>
    </row>
    <row r="573" spans="2:11">
      <c r="B573" s="184"/>
      <c r="C573" s="43"/>
      <c r="D573" s="43"/>
      <c r="E573" s="43"/>
      <c r="F573" s="43"/>
      <c r="G573" s="43"/>
      <c r="H573" s="43"/>
      <c r="I573" s="43"/>
      <c r="J573" s="43"/>
      <c r="K573" s="186"/>
    </row>
    <row r="574" spans="2:11">
      <c r="B574" s="184"/>
      <c r="C574" s="43"/>
      <c r="D574" s="43"/>
      <c r="E574" s="43"/>
      <c r="F574" s="43"/>
      <c r="G574" s="43"/>
      <c r="H574" s="43"/>
      <c r="I574" s="43"/>
      <c r="J574" s="43"/>
      <c r="K574" s="186"/>
    </row>
    <row r="575" spans="2:11">
      <c r="B575" s="184"/>
      <c r="C575" s="43"/>
      <c r="D575" s="43"/>
      <c r="E575" s="43"/>
      <c r="F575" s="43"/>
      <c r="G575" s="43"/>
      <c r="H575" s="43"/>
      <c r="I575" s="43"/>
      <c r="J575" s="43"/>
      <c r="K575" s="186"/>
    </row>
    <row r="576" spans="2:11">
      <c r="B576" s="184"/>
      <c r="C576" s="43"/>
      <c r="D576" s="43"/>
      <c r="E576" s="43"/>
      <c r="F576" s="43"/>
      <c r="G576" s="43"/>
      <c r="H576" s="43"/>
      <c r="I576" s="43"/>
      <c r="J576" s="43"/>
      <c r="K576" s="186"/>
    </row>
    <row r="577" spans="2:11">
      <c r="B577" s="184"/>
      <c r="C577" s="43"/>
      <c r="D577" s="43"/>
      <c r="E577" s="43"/>
      <c r="F577" s="43"/>
      <c r="G577" s="43"/>
      <c r="H577" s="43"/>
      <c r="I577" s="43"/>
      <c r="J577" s="43"/>
      <c r="K577" s="186"/>
    </row>
    <row r="578" spans="2:11">
      <c r="B578" s="184"/>
      <c r="C578" s="43"/>
      <c r="D578" s="43"/>
      <c r="E578" s="43"/>
      <c r="F578" s="43"/>
      <c r="G578" s="43"/>
      <c r="H578" s="43"/>
      <c r="I578" s="43"/>
      <c r="J578" s="43"/>
      <c r="K578" s="186"/>
    </row>
    <row r="579" spans="2:11">
      <c r="B579" s="184"/>
      <c r="C579" s="43"/>
      <c r="D579" s="43"/>
      <c r="E579" s="43"/>
      <c r="F579" s="43"/>
      <c r="G579" s="43"/>
      <c r="H579" s="43"/>
      <c r="I579" s="43"/>
      <c r="J579" s="43"/>
      <c r="K579" s="186"/>
    </row>
    <row r="580" spans="2:11">
      <c r="B580" s="184"/>
      <c r="C580" s="43"/>
      <c r="D580" s="43"/>
      <c r="E580" s="43"/>
      <c r="F580" s="43"/>
      <c r="G580" s="43"/>
      <c r="H580" s="43"/>
      <c r="I580" s="43"/>
      <c r="J580" s="43"/>
      <c r="K580" s="186"/>
    </row>
    <row r="581" spans="2:11">
      <c r="B581" s="184"/>
      <c r="C581" s="43"/>
      <c r="D581" s="43"/>
      <c r="E581" s="43"/>
      <c r="F581" s="43"/>
      <c r="G581" s="43"/>
      <c r="H581" s="43"/>
      <c r="I581" s="43"/>
      <c r="J581" s="43"/>
      <c r="K581" s="186"/>
    </row>
    <row r="582" spans="2:11">
      <c r="B582" s="184"/>
      <c r="C582" s="43"/>
      <c r="D582" s="43"/>
      <c r="E582" s="43"/>
      <c r="F582" s="43"/>
      <c r="G582" s="43"/>
      <c r="H582" s="43"/>
      <c r="I582" s="43"/>
      <c r="J582" s="43"/>
      <c r="K582" s="186"/>
    </row>
    <row r="583" spans="2:11">
      <c r="B583" s="184"/>
      <c r="C583" s="43"/>
      <c r="D583" s="43"/>
      <c r="E583" s="43"/>
      <c r="F583" s="43"/>
      <c r="G583" s="43"/>
      <c r="H583" s="43"/>
      <c r="I583" s="43"/>
      <c r="J583" s="43"/>
      <c r="K583" s="186"/>
    </row>
    <row r="584" spans="2:11">
      <c r="B584" s="184"/>
      <c r="C584" s="43"/>
      <c r="D584" s="43"/>
      <c r="E584" s="43"/>
      <c r="F584" s="43"/>
      <c r="G584" s="43"/>
      <c r="H584" s="43"/>
      <c r="I584" s="43"/>
      <c r="J584" s="43"/>
      <c r="K584" s="186"/>
    </row>
    <row r="585" spans="2:11">
      <c r="B585" s="184"/>
      <c r="C585" s="43"/>
      <c r="D585" s="43"/>
      <c r="E585" s="43"/>
      <c r="F585" s="43"/>
      <c r="G585" s="43"/>
      <c r="H585" s="43"/>
      <c r="I585" s="43"/>
      <c r="J585" s="43"/>
      <c r="K585" s="186"/>
    </row>
    <row r="586" spans="2:11">
      <c r="B586" s="194"/>
      <c r="C586" s="195"/>
      <c r="D586" s="195"/>
      <c r="E586" s="195"/>
      <c r="F586" s="195"/>
      <c r="G586" s="195"/>
      <c r="H586" s="195"/>
      <c r="I586" s="195"/>
      <c r="J586" s="195"/>
      <c r="K586" s="196"/>
    </row>
    <row r="588" spans="2:11">
      <c r="B588" s="181"/>
      <c r="C588" s="182"/>
      <c r="D588" s="182"/>
      <c r="E588" s="182"/>
      <c r="F588" s="182"/>
      <c r="G588" s="182"/>
      <c r="H588" s="182"/>
      <c r="I588" s="182"/>
      <c r="J588" s="182"/>
      <c r="K588" s="183"/>
    </row>
    <row r="589" spans="2:11" ht="15">
      <c r="B589" s="184"/>
      <c r="C589" s="185" t="s">
        <v>195</v>
      </c>
      <c r="D589" s="43"/>
      <c r="E589" s="43"/>
      <c r="F589" s="43"/>
      <c r="G589" s="43"/>
      <c r="H589" s="43"/>
      <c r="I589" s="43"/>
      <c r="J589" s="43"/>
      <c r="K589" s="186"/>
    </row>
    <row r="590" spans="2:11" ht="15" thickBot="1">
      <c r="B590" s="184"/>
      <c r="C590" s="43"/>
      <c r="D590" s="43"/>
      <c r="E590" s="43"/>
      <c r="F590" s="43"/>
      <c r="G590" s="43"/>
      <c r="H590" s="43"/>
      <c r="I590" s="43"/>
      <c r="J590" s="43"/>
      <c r="K590" s="186"/>
    </row>
    <row r="591" spans="2:11">
      <c r="B591" s="184"/>
      <c r="C591" s="310" t="s">
        <v>198</v>
      </c>
      <c r="D591" s="9">
        <v>1080</v>
      </c>
      <c r="E591" s="187">
        <v>-1</v>
      </c>
      <c r="F591" s="188">
        <f>AVERAGE(AN462,AN463,AN464,AN465,AN470,AN471,AN472,AN473)</f>
        <v>215.25</v>
      </c>
      <c r="G591" s="43"/>
      <c r="H591" s="43"/>
      <c r="I591" s="43"/>
      <c r="J591" s="43"/>
      <c r="K591" s="186"/>
    </row>
    <row r="592" spans="2:11">
      <c r="B592" s="184"/>
      <c r="C592" s="311"/>
      <c r="D592" s="189">
        <v>2160</v>
      </c>
      <c r="E592" s="190">
        <v>1</v>
      </c>
      <c r="F592" s="191">
        <f>AVERAGE(AN466,AN467,AN468,AN469,AN474,AN475,AN476,AN477)</f>
        <v>801.5</v>
      </c>
      <c r="G592" s="43"/>
      <c r="H592" s="43"/>
      <c r="I592" s="43"/>
      <c r="J592" s="43"/>
      <c r="K592" s="186"/>
    </row>
    <row r="593" spans="2:11" ht="15" thickBot="1">
      <c r="B593" s="184"/>
      <c r="C593" s="312"/>
      <c r="D593" s="315" t="s">
        <v>199</v>
      </c>
      <c r="E593" s="316"/>
      <c r="F593" s="192">
        <f>F592-F591</f>
        <v>586.25</v>
      </c>
      <c r="G593" s="43"/>
      <c r="H593" s="43"/>
      <c r="I593" s="43"/>
      <c r="J593" s="43"/>
      <c r="K593" s="186"/>
    </row>
    <row r="594" spans="2:11">
      <c r="B594" s="184"/>
      <c r="C594" s="43"/>
      <c r="D594" s="43"/>
      <c r="E594" s="43"/>
      <c r="F594" s="43"/>
      <c r="G594" s="43"/>
      <c r="H594" s="43"/>
      <c r="I594" s="43"/>
      <c r="J594" s="43"/>
      <c r="K594" s="186"/>
    </row>
    <row r="595" spans="2:11">
      <c r="B595" s="184"/>
      <c r="C595" s="43"/>
      <c r="D595" s="43"/>
      <c r="E595" s="43"/>
      <c r="F595" s="43"/>
      <c r="G595" s="43"/>
      <c r="H595" s="43"/>
      <c r="I595" s="43"/>
      <c r="J595" s="43"/>
      <c r="K595" s="186"/>
    </row>
    <row r="596" spans="2:11">
      <c r="B596" s="184"/>
      <c r="C596" s="43"/>
      <c r="D596" s="43"/>
      <c r="E596" s="43"/>
      <c r="F596" s="43"/>
      <c r="G596" s="43"/>
      <c r="H596" s="43"/>
      <c r="I596" s="43"/>
      <c r="J596" s="43"/>
      <c r="K596" s="186"/>
    </row>
    <row r="597" spans="2:11">
      <c r="B597" s="184"/>
      <c r="C597" s="43"/>
      <c r="D597" s="43"/>
      <c r="E597" s="43"/>
      <c r="F597" s="43"/>
      <c r="G597" s="43"/>
      <c r="H597" s="43"/>
      <c r="I597" s="43"/>
      <c r="J597" s="43"/>
      <c r="K597" s="186"/>
    </row>
    <row r="598" spans="2:11">
      <c r="B598" s="184"/>
      <c r="C598" s="43"/>
      <c r="D598" s="43"/>
      <c r="E598" s="43"/>
      <c r="F598" s="43"/>
      <c r="G598" s="43"/>
      <c r="H598" s="43"/>
      <c r="I598" s="43"/>
      <c r="J598" s="43"/>
      <c r="K598" s="186"/>
    </row>
    <row r="599" spans="2:11">
      <c r="B599" s="184"/>
      <c r="C599" s="43"/>
      <c r="D599" s="43"/>
      <c r="E599" s="43"/>
      <c r="F599" s="43"/>
      <c r="G599" s="43"/>
      <c r="H599" s="43"/>
      <c r="I599" s="43"/>
      <c r="J599" s="43"/>
      <c r="K599" s="186"/>
    </row>
    <row r="600" spans="2:11">
      <c r="B600" s="184"/>
      <c r="C600" s="43"/>
      <c r="D600" s="43"/>
      <c r="E600" s="43"/>
      <c r="F600" s="43"/>
      <c r="G600" s="43"/>
      <c r="H600" s="43"/>
      <c r="I600" s="43"/>
      <c r="J600" s="43"/>
      <c r="K600" s="186"/>
    </row>
    <row r="601" spans="2:11">
      <c r="B601" s="184"/>
      <c r="C601" s="43"/>
      <c r="D601" s="43"/>
      <c r="E601" s="43"/>
      <c r="F601" s="43"/>
      <c r="G601" s="43"/>
      <c r="H601" s="43"/>
      <c r="I601" s="43"/>
      <c r="J601" s="43"/>
      <c r="K601" s="186"/>
    </row>
    <row r="602" spans="2:11">
      <c r="B602" s="184"/>
      <c r="C602" s="43"/>
      <c r="D602" s="43"/>
      <c r="E602" s="43"/>
      <c r="F602" s="43"/>
      <c r="G602" s="43"/>
      <c r="H602" s="43"/>
      <c r="I602" s="43"/>
      <c r="J602" s="43"/>
      <c r="K602" s="186"/>
    </row>
    <row r="603" spans="2:11">
      <c r="B603" s="184"/>
      <c r="C603" s="43"/>
      <c r="D603" s="43"/>
      <c r="E603" s="43"/>
      <c r="F603" s="43"/>
      <c r="G603" s="43"/>
      <c r="H603" s="43"/>
      <c r="I603" s="43"/>
      <c r="J603" s="43"/>
      <c r="K603" s="186"/>
    </row>
    <row r="604" spans="2:11">
      <c r="B604" s="184"/>
      <c r="C604" s="43"/>
      <c r="D604" s="43"/>
      <c r="E604" s="43"/>
      <c r="F604" s="43"/>
      <c r="G604" s="43"/>
      <c r="H604" s="43"/>
      <c r="I604" s="43"/>
      <c r="J604" s="43"/>
      <c r="K604" s="186"/>
    </row>
    <row r="605" spans="2:11">
      <c r="B605" s="184"/>
      <c r="C605" s="43"/>
      <c r="D605" s="43"/>
      <c r="E605" s="43"/>
      <c r="F605" s="43"/>
      <c r="G605" s="43"/>
      <c r="H605" s="43"/>
      <c r="I605" s="43"/>
      <c r="J605" s="43"/>
      <c r="K605" s="186"/>
    </row>
    <row r="606" spans="2:11">
      <c r="B606" s="184"/>
      <c r="C606" s="43"/>
      <c r="D606" s="43"/>
      <c r="E606" s="43"/>
      <c r="F606" s="43"/>
      <c r="G606" s="43"/>
      <c r="H606" s="43"/>
      <c r="I606" s="43"/>
      <c r="J606" s="43"/>
      <c r="K606" s="186"/>
    </row>
    <row r="607" spans="2:11">
      <c r="B607" s="184"/>
      <c r="C607" s="43"/>
      <c r="D607" s="43"/>
      <c r="E607" s="43"/>
      <c r="F607" s="43"/>
      <c r="G607" s="43"/>
      <c r="H607" s="43"/>
      <c r="I607" s="43"/>
      <c r="J607" s="43"/>
      <c r="K607" s="186"/>
    </row>
    <row r="608" spans="2:11">
      <c r="B608" s="184"/>
      <c r="C608" s="43"/>
      <c r="D608" s="43"/>
      <c r="E608" s="43"/>
      <c r="F608" s="43"/>
      <c r="G608" s="43"/>
      <c r="H608" s="43"/>
      <c r="I608" s="43"/>
      <c r="J608" s="43"/>
      <c r="K608" s="186"/>
    </row>
    <row r="609" spans="1:18">
      <c r="B609" s="184"/>
      <c r="C609" s="43"/>
      <c r="D609" s="43"/>
      <c r="E609" s="43"/>
      <c r="F609" s="43"/>
      <c r="G609" s="43"/>
      <c r="H609" s="43"/>
      <c r="I609" s="43"/>
      <c r="J609" s="43"/>
      <c r="K609" s="186"/>
    </row>
    <row r="610" spans="1:18">
      <c r="B610" s="184"/>
      <c r="C610" s="43"/>
      <c r="D610" s="43"/>
      <c r="E610" s="43"/>
      <c r="F610" s="43"/>
      <c r="G610" s="43"/>
      <c r="H610" s="43"/>
      <c r="I610" s="43"/>
      <c r="J610" s="43"/>
      <c r="K610" s="186"/>
    </row>
    <row r="611" spans="1:18">
      <c r="B611" s="184"/>
      <c r="C611" s="43"/>
      <c r="D611" s="43"/>
      <c r="E611" s="43"/>
      <c r="F611" s="43"/>
      <c r="G611" s="43"/>
      <c r="H611" s="43"/>
      <c r="I611" s="43"/>
      <c r="J611" s="43"/>
      <c r="K611" s="186"/>
    </row>
    <row r="612" spans="1:18">
      <c r="B612" s="194"/>
      <c r="C612" s="195"/>
      <c r="D612" s="195"/>
      <c r="E612" s="195"/>
      <c r="F612" s="195"/>
      <c r="G612" s="195"/>
      <c r="H612" s="195"/>
      <c r="I612" s="195"/>
      <c r="J612" s="195"/>
      <c r="K612" s="196"/>
    </row>
    <row r="614" spans="1:18">
      <c r="B614" s="328" t="s">
        <v>200</v>
      </c>
      <c r="C614" s="329"/>
      <c r="D614" s="329"/>
      <c r="E614" s="329"/>
      <c r="F614" s="329"/>
      <c r="G614" s="330"/>
    </row>
    <row r="615" spans="1:18">
      <c r="B615" s="331"/>
      <c r="C615" s="332"/>
      <c r="D615" s="332"/>
      <c r="E615" s="332"/>
      <c r="F615" s="332"/>
      <c r="G615" s="333"/>
    </row>
    <row r="616" spans="1:18">
      <c r="B616" s="334"/>
      <c r="C616" s="335"/>
      <c r="D616" s="335"/>
      <c r="E616" s="335"/>
      <c r="F616" s="335"/>
      <c r="G616" s="336"/>
    </row>
    <row r="619" spans="1:18" ht="19.5" thickBot="1">
      <c r="A619" s="267" t="s">
        <v>201</v>
      </c>
      <c r="B619" s="261"/>
      <c r="C619" s="261"/>
      <c r="D619" s="261"/>
      <c r="E619" s="261"/>
      <c r="F619" s="261"/>
      <c r="G619" s="261"/>
      <c r="H619" s="261"/>
      <c r="I619" s="261"/>
      <c r="J619" s="261"/>
      <c r="K619" s="261"/>
      <c r="L619" s="261"/>
      <c r="M619" s="261"/>
      <c r="N619" s="261"/>
      <c r="O619" s="261"/>
      <c r="P619" s="261"/>
      <c r="Q619" s="261"/>
      <c r="R619" s="261"/>
    </row>
    <row r="620" spans="1:18" ht="15.75" thickTop="1" thickBot="1"/>
    <row r="621" spans="1:18" ht="15.75" thickBot="1">
      <c r="G621" s="43"/>
      <c r="H621" s="52" t="s">
        <v>16</v>
      </c>
      <c r="I621" s="53" t="s">
        <v>17</v>
      </c>
    </row>
    <row r="622" spans="1:18" ht="15">
      <c r="B622" s="173" t="s">
        <v>184</v>
      </c>
      <c r="C622" s="174" t="s">
        <v>185</v>
      </c>
      <c r="D622" s="175" t="s">
        <v>186</v>
      </c>
      <c r="G622" s="54" t="s">
        <v>9</v>
      </c>
      <c r="H622" s="55">
        <f>(27+32)/2</f>
        <v>29.5</v>
      </c>
      <c r="I622" s="56">
        <f>(32-27)/2</f>
        <v>2.5</v>
      </c>
    </row>
    <row r="623" spans="1:18" ht="15">
      <c r="B623" s="176" t="s">
        <v>187</v>
      </c>
      <c r="C623" s="172" t="s">
        <v>188</v>
      </c>
      <c r="D623" s="177" t="s">
        <v>189</v>
      </c>
      <c r="G623" s="57" t="s">
        <v>10</v>
      </c>
      <c r="H623" s="58">
        <f>(180+240)/2</f>
        <v>210</v>
      </c>
      <c r="I623" s="59">
        <f>(240-180)/2</f>
        <v>30</v>
      </c>
    </row>
    <row r="624" spans="1:18" ht="15.75" thickBot="1">
      <c r="B624" s="178" t="s">
        <v>190</v>
      </c>
      <c r="C624" s="179" t="s">
        <v>191</v>
      </c>
      <c r="D624" s="180" t="s">
        <v>192</v>
      </c>
      <c r="G624" s="60" t="s">
        <v>11</v>
      </c>
      <c r="H624" s="61">
        <f>(1080+2160)/2</f>
        <v>1620</v>
      </c>
      <c r="I624" s="62">
        <f>(2160-1080)/2</f>
        <v>540</v>
      </c>
    </row>
    <row r="626" spans="2:38" ht="15.75" thickBot="1">
      <c r="B626" s="319" t="s">
        <v>202</v>
      </c>
      <c r="C626" s="320"/>
      <c r="D626" s="320"/>
      <c r="E626" s="182"/>
      <c r="F626" s="182"/>
      <c r="G626" s="182"/>
      <c r="H626" s="182"/>
      <c r="I626" s="182"/>
      <c r="J626" s="183"/>
      <c r="L626" s="319" t="s">
        <v>203</v>
      </c>
      <c r="M626" s="320"/>
      <c r="N626" s="320"/>
      <c r="O626" s="182"/>
      <c r="P626" s="182"/>
      <c r="Q626" s="182"/>
      <c r="R626" s="182"/>
      <c r="S626" s="182"/>
      <c r="T626" s="183"/>
      <c r="V626" s="319" t="s">
        <v>204</v>
      </c>
      <c r="W626" s="320"/>
      <c r="X626" s="320"/>
      <c r="Y626" s="182"/>
      <c r="Z626" s="182"/>
      <c r="AA626" s="182"/>
      <c r="AB626" s="182"/>
      <c r="AC626" s="182"/>
      <c r="AD626" s="183"/>
    </row>
    <row r="627" spans="2:38">
      <c r="B627" s="184"/>
      <c r="C627" s="43"/>
      <c r="D627" s="43"/>
      <c r="E627" s="43"/>
      <c r="F627" s="321" t="s">
        <v>196</v>
      </c>
      <c r="G627" s="322"/>
      <c r="H627" s="43"/>
      <c r="I627" s="43"/>
      <c r="J627" s="186"/>
      <c r="L627" s="184"/>
      <c r="M627" s="43"/>
      <c r="N627" s="43"/>
      <c r="O627" s="43"/>
      <c r="P627" s="321" t="s">
        <v>196</v>
      </c>
      <c r="Q627" s="322"/>
      <c r="R627" s="43"/>
      <c r="S627" s="43"/>
      <c r="T627" s="186"/>
      <c r="V627" s="184"/>
      <c r="W627" s="43"/>
      <c r="X627" s="43"/>
      <c r="Y627" s="43"/>
      <c r="Z627" s="321" t="s">
        <v>197</v>
      </c>
      <c r="AA627" s="322"/>
      <c r="AB627" s="43"/>
      <c r="AC627" s="43"/>
      <c r="AD627" s="186"/>
    </row>
    <row r="628" spans="2:38" ht="15" thickBot="1">
      <c r="B628" s="184"/>
      <c r="C628" s="43"/>
      <c r="D628" s="43"/>
      <c r="E628" s="43"/>
      <c r="F628" s="323"/>
      <c r="G628" s="324"/>
      <c r="H628" s="43"/>
      <c r="I628" s="43"/>
      <c r="J628" s="186"/>
      <c r="L628" s="184"/>
      <c r="M628" s="43"/>
      <c r="N628" s="43"/>
      <c r="O628" s="43"/>
      <c r="P628" s="323"/>
      <c r="Q628" s="324"/>
      <c r="R628" s="43"/>
      <c r="S628" s="43"/>
      <c r="T628" s="186"/>
      <c r="V628" s="184"/>
      <c r="W628" s="43"/>
      <c r="X628" s="43"/>
      <c r="Y628" s="43"/>
      <c r="Z628" s="323"/>
      <c r="AA628" s="324"/>
      <c r="AB628" s="43"/>
      <c r="AC628" s="43"/>
      <c r="AD628" s="186"/>
    </row>
    <row r="629" spans="2:38">
      <c r="B629" s="184"/>
      <c r="C629" s="43"/>
      <c r="D629" s="43"/>
      <c r="E629" s="43"/>
      <c r="F629" s="80">
        <v>27</v>
      </c>
      <c r="G629" s="201">
        <v>32</v>
      </c>
      <c r="H629" s="43"/>
      <c r="I629" s="43"/>
      <c r="J629" s="186"/>
      <c r="L629" s="184"/>
      <c r="M629" s="43"/>
      <c r="N629" s="43"/>
      <c r="O629" s="43"/>
      <c r="P629" s="80">
        <v>27</v>
      </c>
      <c r="Q629" s="201">
        <v>32</v>
      </c>
      <c r="R629" s="43"/>
      <c r="S629" s="43"/>
      <c r="T629" s="186"/>
      <c r="V629" s="184"/>
      <c r="W629" s="43"/>
      <c r="X629" s="43"/>
      <c r="Y629" s="43"/>
      <c r="Z629" s="80">
        <v>180</v>
      </c>
      <c r="AA629" s="201">
        <v>240</v>
      </c>
      <c r="AB629" s="43"/>
      <c r="AC629" s="43"/>
      <c r="AD629" s="186"/>
    </row>
    <row r="630" spans="2:38" ht="15" thickBot="1">
      <c r="B630" s="202"/>
      <c r="C630" s="43"/>
      <c r="D630" s="43"/>
      <c r="E630" s="43"/>
      <c r="F630" s="203">
        <v>-1</v>
      </c>
      <c r="G630" s="204">
        <v>1</v>
      </c>
      <c r="H630" s="43"/>
      <c r="I630" s="43"/>
      <c r="J630" s="186"/>
      <c r="L630" s="202"/>
      <c r="M630" s="43"/>
      <c r="N630" s="43"/>
      <c r="O630" s="43"/>
      <c r="P630" s="203">
        <v>-1</v>
      </c>
      <c r="Q630" s="204">
        <v>1</v>
      </c>
      <c r="R630" s="43"/>
      <c r="S630" s="43"/>
      <c r="T630" s="186"/>
      <c r="V630" s="202"/>
      <c r="W630" s="43"/>
      <c r="X630" s="43"/>
      <c r="Y630" s="43"/>
      <c r="Z630" s="203">
        <v>-1</v>
      </c>
      <c r="AA630" s="204">
        <v>1</v>
      </c>
      <c r="AB630" s="43"/>
      <c r="AC630" s="43"/>
      <c r="AD630" s="186"/>
    </row>
    <row r="631" spans="2:38">
      <c r="B631" s="184"/>
      <c r="C631" s="325" t="s">
        <v>197</v>
      </c>
      <c r="D631" s="205">
        <v>180</v>
      </c>
      <c r="E631" s="187">
        <v>-1</v>
      </c>
      <c r="F631" s="206">
        <f>AVERAGE(AL636,AL640,AL644,AL648)</f>
        <v>306.75</v>
      </c>
      <c r="G631" s="212">
        <f>AVERAGE(AL638,AL642,AL646,AL650)</f>
        <v>589.75</v>
      </c>
      <c r="H631" s="213"/>
      <c r="I631" s="43"/>
      <c r="J631" s="186"/>
      <c r="L631" s="184"/>
      <c r="M631" s="325" t="s">
        <v>198</v>
      </c>
      <c r="N631" s="210">
        <v>1080</v>
      </c>
      <c r="O631" s="187">
        <v>-1</v>
      </c>
      <c r="P631" s="206">
        <f>AVERAGE(AL636,AL638,AL644,AL646)</f>
        <v>182</v>
      </c>
      <c r="Q631" s="207">
        <f>AVERAGE(AL637,AL639,AL645,AL647)</f>
        <v>248.5</v>
      </c>
      <c r="R631" s="43"/>
      <c r="S631" s="43"/>
      <c r="T631" s="186"/>
      <c r="V631" s="184"/>
      <c r="W631" s="325" t="s">
        <v>198</v>
      </c>
      <c r="X631" s="205">
        <v>1080</v>
      </c>
      <c r="Y631" s="187">
        <v>-1</v>
      </c>
      <c r="Z631" s="206">
        <f>AVERAGE(AL636,AL637,AL644,AL645)</f>
        <v>210.75</v>
      </c>
      <c r="AA631" s="207">
        <f>AVERAGE(AL638,AL639,AL646,AL647)</f>
        <v>219.75</v>
      </c>
      <c r="AB631" s="43"/>
      <c r="AC631" s="43"/>
      <c r="AD631" s="186"/>
    </row>
    <row r="632" spans="2:38" ht="15" thickBot="1">
      <c r="B632" s="184"/>
      <c r="C632" s="326"/>
      <c r="D632" s="193">
        <v>240</v>
      </c>
      <c r="E632" s="208">
        <v>1</v>
      </c>
      <c r="F632" s="209">
        <f>AVERAGE(AL637,AL641,AL645,AL649)</f>
        <v>472.5</v>
      </c>
      <c r="G632" s="192">
        <f>AVERAGE(AL639,AL643,AL647,AL651)</f>
        <v>664.5</v>
      </c>
      <c r="H632" s="213"/>
      <c r="I632" s="43"/>
      <c r="J632" s="186"/>
      <c r="L632" s="184"/>
      <c r="M632" s="326"/>
      <c r="N632" s="193">
        <v>2160</v>
      </c>
      <c r="O632" s="208">
        <v>1</v>
      </c>
      <c r="P632" s="209">
        <f>AVERAGE(AL640,AL642,AL648,AL650)</f>
        <v>714.5</v>
      </c>
      <c r="Q632" s="192">
        <f>AVERAGE(AL641,AL643,AL649,AL651)</f>
        <v>888.5</v>
      </c>
      <c r="R632" s="43"/>
      <c r="S632" s="43"/>
      <c r="T632" s="186"/>
      <c r="V632" s="184"/>
      <c r="W632" s="326"/>
      <c r="X632" s="193">
        <v>2160</v>
      </c>
      <c r="Y632" s="208">
        <v>1</v>
      </c>
      <c r="Z632" s="209">
        <f>AVERAGE(AL640,AL641,AL648,AL649)</f>
        <v>568.5</v>
      </c>
      <c r="AA632" s="192">
        <f>AVERAGE(AL642,AL643,AL650,AL651)</f>
        <v>1034.5</v>
      </c>
      <c r="AB632" s="43"/>
      <c r="AC632" s="43"/>
      <c r="AD632" s="186"/>
    </row>
    <row r="633" spans="2:38">
      <c r="B633" s="202"/>
      <c r="C633" s="43"/>
      <c r="D633" s="43"/>
      <c r="E633" s="43"/>
      <c r="F633" s="211"/>
      <c r="G633" s="43"/>
      <c r="H633" s="43"/>
      <c r="I633" s="43"/>
      <c r="J633" s="186"/>
      <c r="L633" s="202"/>
      <c r="M633" s="43"/>
      <c r="N633" s="43"/>
      <c r="O633" s="43"/>
      <c r="P633" s="43"/>
      <c r="Q633" s="43"/>
      <c r="R633" s="43"/>
      <c r="S633" s="43"/>
      <c r="T633" s="186"/>
      <c r="V633" s="202"/>
      <c r="W633" s="43"/>
      <c r="X633" s="43"/>
      <c r="Y633" s="43"/>
      <c r="Z633" s="43"/>
      <c r="AA633" s="43"/>
      <c r="AB633" s="43"/>
      <c r="AC633" s="43"/>
      <c r="AD633" s="186"/>
    </row>
    <row r="634" spans="2:38" ht="15" thickBot="1">
      <c r="B634" s="184"/>
      <c r="C634" s="43"/>
      <c r="D634" s="43"/>
      <c r="E634" s="43"/>
      <c r="F634" s="211"/>
      <c r="G634" s="43"/>
      <c r="H634" s="43"/>
      <c r="I634" s="43"/>
      <c r="J634" s="186"/>
      <c r="L634" s="184"/>
      <c r="M634" s="43"/>
      <c r="N634" s="43"/>
      <c r="O634" s="43"/>
      <c r="P634" s="43"/>
      <c r="Q634" s="43"/>
      <c r="R634" s="43"/>
      <c r="S634" s="43"/>
      <c r="T634" s="186"/>
      <c r="V634" s="184"/>
      <c r="W634" s="43"/>
      <c r="X634" s="43"/>
      <c r="Y634" s="43"/>
      <c r="Z634" s="43"/>
      <c r="AA634" s="43"/>
      <c r="AB634" s="43"/>
      <c r="AC634" s="43"/>
      <c r="AD634" s="186"/>
    </row>
    <row r="635" spans="2:38" ht="15.75" thickBot="1">
      <c r="B635" s="184"/>
      <c r="C635" s="43"/>
      <c r="D635" s="43"/>
      <c r="E635" s="43"/>
      <c r="F635" s="43"/>
      <c r="G635" s="43"/>
      <c r="H635" s="43"/>
      <c r="I635" s="43"/>
      <c r="J635" s="186"/>
      <c r="L635" s="184"/>
      <c r="M635" s="43"/>
      <c r="N635" s="43"/>
      <c r="O635" s="43"/>
      <c r="P635" s="43"/>
      <c r="Q635" s="43"/>
      <c r="R635" s="43"/>
      <c r="S635" s="43"/>
      <c r="T635" s="186"/>
      <c r="V635" s="184"/>
      <c r="W635" s="43"/>
      <c r="X635" s="43"/>
      <c r="Y635" s="43"/>
      <c r="Z635" s="43"/>
      <c r="AA635" s="43"/>
      <c r="AB635" s="43"/>
      <c r="AC635" s="43"/>
      <c r="AD635" s="186"/>
      <c r="AL635" s="84" t="s">
        <v>49</v>
      </c>
    </row>
    <row r="636" spans="2:38">
      <c r="B636" s="184"/>
      <c r="C636" s="43"/>
      <c r="D636" s="43"/>
      <c r="E636" s="43"/>
      <c r="F636" s="43"/>
      <c r="G636" s="43"/>
      <c r="H636" s="43"/>
      <c r="I636" s="43"/>
      <c r="J636" s="186"/>
      <c r="L636" s="184"/>
      <c r="M636" s="43"/>
      <c r="N636" s="43"/>
      <c r="O636" s="43"/>
      <c r="P636" s="43"/>
      <c r="Q636" s="43"/>
      <c r="R636" s="43"/>
      <c r="S636" s="43"/>
      <c r="T636" s="186"/>
      <c r="V636" s="184"/>
      <c r="W636" s="43"/>
      <c r="X636" s="43"/>
      <c r="Y636" s="43"/>
      <c r="Z636" s="43"/>
      <c r="AA636" s="43"/>
      <c r="AB636" s="43"/>
      <c r="AC636" s="43"/>
      <c r="AD636" s="186"/>
      <c r="AL636" s="32">
        <v>186</v>
      </c>
    </row>
    <row r="637" spans="2:38">
      <c r="B637" s="184"/>
      <c r="C637" s="43"/>
      <c r="D637" s="43"/>
      <c r="E637" s="43"/>
      <c r="F637" s="43"/>
      <c r="G637" s="43"/>
      <c r="H637" s="43"/>
      <c r="I637" s="43"/>
      <c r="J637" s="186"/>
      <c r="L637" s="184"/>
      <c r="M637" s="43"/>
      <c r="N637" s="43"/>
      <c r="O637" s="43"/>
      <c r="P637" s="43"/>
      <c r="Q637" s="43"/>
      <c r="R637" s="43"/>
      <c r="S637" s="43"/>
      <c r="T637" s="186"/>
      <c r="V637" s="184"/>
      <c r="W637" s="43"/>
      <c r="X637" s="43"/>
      <c r="Y637" s="43"/>
      <c r="Z637" s="43"/>
      <c r="AA637" s="43"/>
      <c r="AB637" s="43"/>
      <c r="AC637" s="43"/>
      <c r="AD637" s="186"/>
      <c r="AL637" s="33">
        <v>242</v>
      </c>
    </row>
    <row r="638" spans="2:38">
      <c r="B638" s="184"/>
      <c r="C638" s="43"/>
      <c r="D638" s="43"/>
      <c r="E638" s="43"/>
      <c r="F638" s="43"/>
      <c r="G638" s="43"/>
      <c r="H638" s="43"/>
      <c r="I638" s="43"/>
      <c r="J638" s="186"/>
      <c r="L638" s="184"/>
      <c r="M638" s="43"/>
      <c r="N638" s="43"/>
      <c r="O638" s="43"/>
      <c r="P638" s="43"/>
      <c r="Q638" s="43"/>
      <c r="R638" s="43"/>
      <c r="S638" s="43"/>
      <c r="T638" s="186"/>
      <c r="V638" s="184"/>
      <c r="W638" s="43"/>
      <c r="X638" s="43"/>
      <c r="Y638" s="43"/>
      <c r="Z638" s="43"/>
      <c r="AA638" s="43"/>
      <c r="AB638" s="43"/>
      <c r="AC638" s="43"/>
      <c r="AD638" s="186"/>
      <c r="AL638" s="33">
        <v>159</v>
      </c>
    </row>
    <row r="639" spans="2:38">
      <c r="B639" s="184"/>
      <c r="C639" s="43"/>
      <c r="D639" s="43"/>
      <c r="E639" s="43"/>
      <c r="F639" s="43"/>
      <c r="G639" s="43"/>
      <c r="H639" s="43"/>
      <c r="I639" s="43"/>
      <c r="J639" s="186"/>
      <c r="L639" s="184"/>
      <c r="M639" s="43"/>
      <c r="N639" s="43"/>
      <c r="O639" s="43"/>
      <c r="P639" s="43"/>
      <c r="Q639" s="43"/>
      <c r="R639" s="43"/>
      <c r="S639" s="43"/>
      <c r="T639" s="186"/>
      <c r="V639" s="184"/>
      <c r="W639" s="43"/>
      <c r="X639" s="43"/>
      <c r="Y639" s="43"/>
      <c r="Z639" s="43"/>
      <c r="AA639" s="43"/>
      <c r="AB639" s="43"/>
      <c r="AC639" s="43"/>
      <c r="AD639" s="186"/>
      <c r="AL639" s="33">
        <v>239</v>
      </c>
    </row>
    <row r="640" spans="2:38">
      <c r="B640" s="184"/>
      <c r="C640" s="43"/>
      <c r="D640" s="43"/>
      <c r="E640" s="43"/>
      <c r="F640" s="43"/>
      <c r="G640" s="43"/>
      <c r="H640" s="43"/>
      <c r="I640" s="43"/>
      <c r="J640" s="186"/>
      <c r="L640" s="184"/>
      <c r="M640" s="43"/>
      <c r="N640" s="43"/>
      <c r="O640" s="43"/>
      <c r="P640" s="43"/>
      <c r="Q640" s="43"/>
      <c r="R640" s="43"/>
      <c r="S640" s="43"/>
      <c r="T640" s="186"/>
      <c r="V640" s="184"/>
      <c r="W640" s="43"/>
      <c r="X640" s="43"/>
      <c r="Y640" s="43"/>
      <c r="Z640" s="43"/>
      <c r="AA640" s="43"/>
      <c r="AB640" s="43"/>
      <c r="AC640" s="43"/>
      <c r="AD640" s="186"/>
      <c r="AL640" s="33">
        <v>448</v>
      </c>
    </row>
    <row r="641" spans="2:38">
      <c r="B641" s="184"/>
      <c r="C641" s="43"/>
      <c r="D641" s="43"/>
      <c r="E641" s="43"/>
      <c r="F641" s="43"/>
      <c r="G641" s="43"/>
      <c r="H641" s="43"/>
      <c r="I641" s="43"/>
      <c r="J641" s="186"/>
      <c r="L641" s="184"/>
      <c r="M641" s="43"/>
      <c r="N641" s="43"/>
      <c r="O641" s="43"/>
      <c r="P641" s="43"/>
      <c r="Q641" s="43"/>
      <c r="R641" s="43"/>
      <c r="S641" s="43"/>
      <c r="T641" s="186"/>
      <c r="V641" s="184"/>
      <c r="W641" s="43"/>
      <c r="X641" s="43"/>
      <c r="Y641" s="43"/>
      <c r="Z641" s="43"/>
      <c r="AA641" s="43"/>
      <c r="AB641" s="43"/>
      <c r="AC641" s="43"/>
      <c r="AD641" s="186"/>
      <c r="AL641" s="34">
        <v>639</v>
      </c>
    </row>
    <row r="642" spans="2:38">
      <c r="B642" s="184"/>
      <c r="C642" s="43"/>
      <c r="D642" s="43"/>
      <c r="E642" s="43"/>
      <c r="F642" s="43"/>
      <c r="G642" s="43"/>
      <c r="H642" s="43"/>
      <c r="I642" s="43"/>
      <c r="J642" s="186"/>
      <c r="L642" s="184"/>
      <c r="M642" s="43"/>
      <c r="N642" s="43"/>
      <c r="O642" s="43"/>
      <c r="P642" s="43"/>
      <c r="Q642" s="43"/>
      <c r="R642" s="43"/>
      <c r="S642" s="43"/>
      <c r="T642" s="186"/>
      <c r="V642" s="184"/>
      <c r="W642" s="43"/>
      <c r="X642" s="43"/>
      <c r="Y642" s="43"/>
      <c r="Z642" s="43"/>
      <c r="AA642" s="43"/>
      <c r="AB642" s="43"/>
      <c r="AC642" s="43"/>
      <c r="AD642" s="186"/>
      <c r="AL642" s="33">
        <v>851</v>
      </c>
    </row>
    <row r="643" spans="2:38">
      <c r="B643" s="184"/>
      <c r="C643" s="43"/>
      <c r="D643" s="43"/>
      <c r="E643" s="43"/>
      <c r="F643" s="43"/>
      <c r="G643" s="43"/>
      <c r="H643" s="43"/>
      <c r="I643" s="43"/>
      <c r="J643" s="186"/>
      <c r="L643" s="184"/>
      <c r="M643" s="43"/>
      <c r="N643" s="43"/>
      <c r="O643" s="43"/>
      <c r="P643" s="43"/>
      <c r="Q643" s="43"/>
      <c r="R643" s="43"/>
      <c r="S643" s="43"/>
      <c r="T643" s="186"/>
      <c r="V643" s="184"/>
      <c r="W643" s="43"/>
      <c r="X643" s="43"/>
      <c r="Y643" s="43"/>
      <c r="Z643" s="43"/>
      <c r="AA643" s="43"/>
      <c r="AB643" s="43"/>
      <c r="AC643" s="43"/>
      <c r="AD643" s="186"/>
      <c r="AL643" s="33">
        <v>1029</v>
      </c>
    </row>
    <row r="644" spans="2:38">
      <c r="B644" s="184"/>
      <c r="C644" s="43"/>
      <c r="D644" s="43"/>
      <c r="E644" s="43"/>
      <c r="F644" s="43"/>
      <c r="G644" s="43"/>
      <c r="H644" s="43"/>
      <c r="I644" s="43"/>
      <c r="J644" s="186"/>
      <c r="L644" s="184"/>
      <c r="M644" s="43"/>
      <c r="N644" s="43"/>
      <c r="O644" s="43"/>
      <c r="P644" s="43"/>
      <c r="Q644" s="43"/>
      <c r="R644" s="43"/>
      <c r="S644" s="43"/>
      <c r="T644" s="186"/>
      <c r="V644" s="184"/>
      <c r="W644" s="43"/>
      <c r="X644" s="43"/>
      <c r="Y644" s="43"/>
      <c r="Z644" s="43"/>
      <c r="AA644" s="43"/>
      <c r="AB644" s="43"/>
      <c r="AC644" s="43"/>
      <c r="AD644" s="186"/>
      <c r="AL644" s="33">
        <v>173</v>
      </c>
    </row>
    <row r="645" spans="2:38">
      <c r="B645" s="184"/>
      <c r="C645" s="43"/>
      <c r="D645" s="43"/>
      <c r="E645" s="43"/>
      <c r="F645" s="43"/>
      <c r="G645" s="43"/>
      <c r="H645" s="43"/>
      <c r="I645" s="43"/>
      <c r="J645" s="186"/>
      <c r="L645" s="184"/>
      <c r="M645" s="43"/>
      <c r="N645" s="43"/>
      <c r="O645" s="43"/>
      <c r="P645" s="43"/>
      <c r="Q645" s="43"/>
      <c r="R645" s="43"/>
      <c r="S645" s="43"/>
      <c r="T645" s="186"/>
      <c r="V645" s="184"/>
      <c r="W645" s="43"/>
      <c r="X645" s="43"/>
      <c r="Y645" s="43"/>
      <c r="Z645" s="43"/>
      <c r="AA645" s="43"/>
      <c r="AB645" s="43"/>
      <c r="AC645" s="43"/>
      <c r="AD645" s="186"/>
      <c r="AL645" s="33">
        <v>242</v>
      </c>
    </row>
    <row r="646" spans="2:38">
      <c r="B646" s="184"/>
      <c r="C646" s="43"/>
      <c r="D646" s="43"/>
      <c r="E646" s="43"/>
      <c r="F646" s="43"/>
      <c r="G646" s="43"/>
      <c r="H646" s="43"/>
      <c r="I646" s="43"/>
      <c r="J646" s="186"/>
      <c r="L646" s="184"/>
      <c r="M646" s="43"/>
      <c r="N646" s="43"/>
      <c r="O646" s="43"/>
      <c r="P646" s="43"/>
      <c r="Q646" s="43"/>
      <c r="R646" s="43"/>
      <c r="S646" s="43"/>
      <c r="T646" s="186"/>
      <c r="V646" s="184"/>
      <c r="W646" s="43"/>
      <c r="X646" s="43"/>
      <c r="Y646" s="43"/>
      <c r="Z646" s="43"/>
      <c r="AA646" s="43"/>
      <c r="AB646" s="43"/>
      <c r="AC646" s="43"/>
      <c r="AD646" s="186"/>
      <c r="AL646" s="33">
        <v>210</v>
      </c>
    </row>
    <row r="647" spans="2:38">
      <c r="B647" s="184"/>
      <c r="C647" s="43"/>
      <c r="D647" s="43"/>
      <c r="E647" s="43"/>
      <c r="F647" s="43"/>
      <c r="G647" s="43"/>
      <c r="H647" s="43"/>
      <c r="I647" s="43"/>
      <c r="J647" s="186"/>
      <c r="L647" s="184"/>
      <c r="M647" s="43"/>
      <c r="N647" s="43"/>
      <c r="O647" s="43"/>
      <c r="P647" s="43"/>
      <c r="Q647" s="43"/>
      <c r="R647" s="43"/>
      <c r="S647" s="43"/>
      <c r="T647" s="186"/>
      <c r="V647" s="184"/>
      <c r="W647" s="43"/>
      <c r="X647" s="43"/>
      <c r="Y647" s="43"/>
      <c r="Z647" s="43"/>
      <c r="AA647" s="43"/>
      <c r="AB647" s="43"/>
      <c r="AC647" s="43"/>
      <c r="AD647" s="186"/>
      <c r="AL647" s="34">
        <v>271</v>
      </c>
    </row>
    <row r="648" spans="2:38">
      <c r="B648" s="184"/>
      <c r="C648" s="43"/>
      <c r="D648" s="43"/>
      <c r="E648" s="43"/>
      <c r="F648" s="43"/>
      <c r="G648" s="43"/>
      <c r="H648" s="43"/>
      <c r="I648" s="43"/>
      <c r="J648" s="186"/>
      <c r="L648" s="184"/>
      <c r="M648" s="43"/>
      <c r="N648" s="43"/>
      <c r="O648" s="43"/>
      <c r="P648" s="43"/>
      <c r="Q648" s="43"/>
      <c r="R648" s="43"/>
      <c r="S648" s="43"/>
      <c r="T648" s="186"/>
      <c r="V648" s="184"/>
      <c r="W648" s="43"/>
      <c r="X648" s="43"/>
      <c r="Y648" s="43"/>
      <c r="Z648" s="43"/>
      <c r="AA648" s="43"/>
      <c r="AB648" s="43"/>
      <c r="AC648" s="43"/>
      <c r="AD648" s="186"/>
      <c r="AL648" s="33">
        <v>420</v>
      </c>
    </row>
    <row r="649" spans="2:38">
      <c r="B649" s="184"/>
      <c r="C649" s="43"/>
      <c r="D649" s="43"/>
      <c r="E649" s="43"/>
      <c r="F649" s="43"/>
      <c r="G649" s="43"/>
      <c r="H649" s="43"/>
      <c r="I649" s="43"/>
      <c r="J649" s="186"/>
      <c r="L649" s="184"/>
      <c r="M649" s="43"/>
      <c r="N649" s="43"/>
      <c r="O649" s="43"/>
      <c r="P649" s="43"/>
      <c r="Q649" s="43"/>
      <c r="R649" s="43"/>
      <c r="S649" s="43"/>
      <c r="T649" s="186"/>
      <c r="V649" s="184"/>
      <c r="W649" s="43"/>
      <c r="X649" s="43"/>
      <c r="Y649" s="43"/>
      <c r="Z649" s="43"/>
      <c r="AA649" s="43"/>
      <c r="AB649" s="43"/>
      <c r="AC649" s="43"/>
      <c r="AD649" s="186"/>
      <c r="AL649" s="33">
        <v>767</v>
      </c>
    </row>
    <row r="650" spans="2:38">
      <c r="B650" s="184"/>
      <c r="C650" s="43"/>
      <c r="D650" s="43"/>
      <c r="E650" s="43"/>
      <c r="F650" s="43"/>
      <c r="G650" s="43"/>
      <c r="H650" s="43"/>
      <c r="I650" s="43"/>
      <c r="J650" s="186"/>
      <c r="L650" s="184"/>
      <c r="M650" s="43"/>
      <c r="N650" s="43"/>
      <c r="O650" s="43"/>
      <c r="P650" s="43"/>
      <c r="Q650" s="43"/>
      <c r="R650" s="43"/>
      <c r="S650" s="43"/>
      <c r="T650" s="186"/>
      <c r="V650" s="184"/>
      <c r="W650" s="43"/>
      <c r="X650" s="43"/>
      <c r="Y650" s="43"/>
      <c r="Z650" s="43"/>
      <c r="AA650" s="43"/>
      <c r="AB650" s="43"/>
      <c r="AC650" s="43"/>
      <c r="AD650" s="186"/>
      <c r="AL650" s="34">
        <v>1139</v>
      </c>
    </row>
    <row r="651" spans="2:38" ht="15" thickBot="1">
      <c r="B651" s="184"/>
      <c r="C651" s="43"/>
      <c r="D651" s="43"/>
      <c r="E651" s="43"/>
      <c r="F651" s="43"/>
      <c r="G651" s="43"/>
      <c r="H651" s="43"/>
      <c r="I651" s="43"/>
      <c r="J651" s="186"/>
      <c r="L651" s="184"/>
      <c r="M651" s="43"/>
      <c r="N651" s="43"/>
      <c r="O651" s="43"/>
      <c r="P651" s="43"/>
      <c r="Q651" s="43"/>
      <c r="R651" s="43"/>
      <c r="S651" s="43"/>
      <c r="T651" s="186"/>
      <c r="V651" s="184"/>
      <c r="W651" s="43"/>
      <c r="X651" s="43"/>
      <c r="Y651" s="43"/>
      <c r="Z651" s="43"/>
      <c r="AA651" s="43"/>
      <c r="AB651" s="43"/>
      <c r="AC651" s="43"/>
      <c r="AD651" s="186"/>
      <c r="AL651" s="35">
        <v>1119</v>
      </c>
    </row>
    <row r="652" spans="2:38">
      <c r="B652" s="184"/>
      <c r="C652" s="43"/>
      <c r="D652" s="43"/>
      <c r="E652" s="43"/>
      <c r="F652" s="43"/>
      <c r="G652" s="43"/>
      <c r="H652" s="43"/>
      <c r="I652" s="43"/>
      <c r="J652" s="186"/>
      <c r="L652" s="184"/>
      <c r="M652" s="43"/>
      <c r="N652" s="43"/>
      <c r="O652" s="43"/>
      <c r="P652" s="43"/>
      <c r="Q652" s="43"/>
      <c r="R652" s="43"/>
      <c r="S652" s="43"/>
      <c r="T652" s="186"/>
      <c r="V652" s="184"/>
      <c r="W652" s="43"/>
      <c r="X652" s="43"/>
      <c r="Y652" s="43"/>
      <c r="Z652" s="43"/>
      <c r="AA652" s="43"/>
      <c r="AB652" s="43"/>
      <c r="AC652" s="43"/>
      <c r="AD652" s="186"/>
    </row>
    <row r="653" spans="2:38">
      <c r="B653" s="184"/>
      <c r="C653" s="43"/>
      <c r="D653" s="43"/>
      <c r="E653" s="43"/>
      <c r="F653" s="43"/>
      <c r="G653" s="43"/>
      <c r="H653" s="43"/>
      <c r="I653" s="43"/>
      <c r="J653" s="186"/>
      <c r="L653" s="184"/>
      <c r="M653" s="43"/>
      <c r="N653" s="43"/>
      <c r="O653" s="43"/>
      <c r="P653" s="43"/>
      <c r="Q653" s="43"/>
      <c r="R653" s="43"/>
      <c r="S653" s="43"/>
      <c r="T653" s="186"/>
      <c r="V653" s="184"/>
      <c r="W653" s="43"/>
      <c r="X653" s="43"/>
      <c r="Y653" s="43"/>
      <c r="Z653" s="43"/>
      <c r="AA653" s="43"/>
      <c r="AB653" s="43"/>
      <c r="AC653" s="43"/>
      <c r="AD653" s="186"/>
    </row>
    <row r="654" spans="2:38">
      <c r="B654" s="184"/>
      <c r="C654" s="43"/>
      <c r="D654" s="43"/>
      <c r="E654" s="43"/>
      <c r="F654" s="43"/>
      <c r="G654" s="43"/>
      <c r="H654" s="43"/>
      <c r="I654" s="43"/>
      <c r="J654" s="186"/>
      <c r="L654" s="184"/>
      <c r="M654" s="43"/>
      <c r="N654" s="43"/>
      <c r="O654" s="43"/>
      <c r="P654" s="43"/>
      <c r="Q654" s="43"/>
      <c r="R654" s="43"/>
      <c r="S654" s="43"/>
      <c r="T654" s="186"/>
      <c r="V654" s="184"/>
      <c r="W654" s="43"/>
      <c r="X654" s="43"/>
      <c r="Y654" s="43"/>
      <c r="Z654" s="43"/>
      <c r="AA654" s="43"/>
      <c r="AB654" s="43"/>
      <c r="AC654" s="43"/>
      <c r="AD654" s="186"/>
    </row>
    <row r="655" spans="2:38">
      <c r="B655" s="184"/>
      <c r="C655" s="43"/>
      <c r="D655" s="43"/>
      <c r="E655" s="43"/>
      <c r="F655" s="43"/>
      <c r="G655" s="43"/>
      <c r="H655" s="43"/>
      <c r="I655" s="43"/>
      <c r="J655" s="186"/>
      <c r="L655" s="184"/>
      <c r="M655" s="43"/>
      <c r="N655" s="43"/>
      <c r="O655" s="43"/>
      <c r="P655" s="43"/>
      <c r="Q655" s="43"/>
      <c r="R655" s="43"/>
      <c r="S655" s="43"/>
      <c r="T655" s="186"/>
      <c r="V655" s="184"/>
      <c r="W655" s="43"/>
      <c r="X655" s="43"/>
      <c r="Y655" s="43"/>
      <c r="Z655" s="43"/>
      <c r="AA655" s="43"/>
      <c r="AB655" s="43"/>
      <c r="AC655" s="43"/>
      <c r="AD655" s="186"/>
    </row>
    <row r="656" spans="2:38">
      <c r="B656" s="184"/>
      <c r="C656" s="43"/>
      <c r="D656" s="43"/>
      <c r="E656" s="43"/>
      <c r="F656" s="43"/>
      <c r="G656" s="43"/>
      <c r="H656" s="43"/>
      <c r="I656" s="43"/>
      <c r="J656" s="186"/>
      <c r="L656" s="184"/>
      <c r="M656" s="43"/>
      <c r="N656" s="43"/>
      <c r="O656" s="43"/>
      <c r="P656" s="43"/>
      <c r="Q656" s="43"/>
      <c r="R656" s="43"/>
      <c r="S656" s="43"/>
      <c r="T656" s="186"/>
      <c r="V656" s="184"/>
      <c r="W656" s="43"/>
      <c r="X656" s="43"/>
      <c r="Y656" s="43"/>
      <c r="Z656" s="43"/>
      <c r="AA656" s="43"/>
      <c r="AB656" s="43"/>
      <c r="AC656" s="43"/>
      <c r="AD656" s="186"/>
    </row>
    <row r="657" spans="2:30">
      <c r="B657" s="184"/>
      <c r="C657" s="43"/>
      <c r="D657" s="43"/>
      <c r="E657" s="43"/>
      <c r="F657" s="43"/>
      <c r="G657" s="43"/>
      <c r="H657" s="43"/>
      <c r="I657" s="43"/>
      <c r="J657" s="186"/>
      <c r="L657" s="184"/>
      <c r="M657" s="43"/>
      <c r="N657" s="43"/>
      <c r="O657" s="43"/>
      <c r="P657" s="43"/>
      <c r="Q657" s="43"/>
      <c r="R657" s="43"/>
      <c r="S657" s="43"/>
      <c r="T657" s="186"/>
      <c r="V657" s="184"/>
      <c r="W657" s="43"/>
      <c r="X657" s="43"/>
      <c r="Y657" s="43"/>
      <c r="Z657" s="43"/>
      <c r="AA657" s="43"/>
      <c r="AB657" s="43"/>
      <c r="AC657" s="43"/>
      <c r="AD657" s="186"/>
    </row>
    <row r="658" spans="2:30">
      <c r="B658" s="184"/>
      <c r="C658" s="43"/>
      <c r="D658" s="43"/>
      <c r="E658" s="43"/>
      <c r="F658" s="43"/>
      <c r="G658" s="43"/>
      <c r="H658" s="43"/>
      <c r="I658" s="43"/>
      <c r="J658" s="186"/>
      <c r="L658" s="184"/>
      <c r="M658" s="43"/>
      <c r="N658" s="43"/>
      <c r="O658" s="43"/>
      <c r="P658" s="43"/>
      <c r="Q658" s="43"/>
      <c r="R658" s="43"/>
      <c r="S658" s="43"/>
      <c r="T658" s="186"/>
      <c r="V658" s="184"/>
      <c r="W658" s="43"/>
      <c r="X658" s="43"/>
      <c r="Y658" s="43"/>
      <c r="Z658" s="43"/>
      <c r="AA658" s="43"/>
      <c r="AB658" s="43"/>
      <c r="AC658" s="43"/>
      <c r="AD658" s="186"/>
    </row>
    <row r="659" spans="2:30">
      <c r="B659" s="184"/>
      <c r="C659" s="43"/>
      <c r="D659" s="43"/>
      <c r="E659" s="43"/>
      <c r="F659" s="43"/>
      <c r="G659" s="43"/>
      <c r="H659" s="43"/>
      <c r="I659" s="43"/>
      <c r="J659" s="186"/>
      <c r="L659" s="184"/>
      <c r="M659" s="43"/>
      <c r="N659" s="43"/>
      <c r="O659" s="43"/>
      <c r="P659" s="43"/>
      <c r="Q659" s="43"/>
      <c r="R659" s="43"/>
      <c r="S659" s="43"/>
      <c r="T659" s="186"/>
      <c r="V659" s="184"/>
      <c r="W659" s="43"/>
      <c r="X659" s="43"/>
      <c r="Y659" s="43"/>
      <c r="Z659" s="43"/>
      <c r="AA659" s="43"/>
      <c r="AB659" s="43"/>
      <c r="AC659" s="43"/>
      <c r="AD659" s="186"/>
    </row>
    <row r="660" spans="2:30">
      <c r="B660" s="184"/>
      <c r="C660" s="43"/>
      <c r="D660" s="43"/>
      <c r="E660" s="43"/>
      <c r="F660" s="43"/>
      <c r="G660" s="43"/>
      <c r="H660" s="43"/>
      <c r="I660" s="43"/>
      <c r="J660" s="186"/>
      <c r="L660" s="184"/>
      <c r="M660" s="43"/>
      <c r="N660" s="43"/>
      <c r="O660" s="43"/>
      <c r="P660" s="43"/>
      <c r="Q660" s="43"/>
      <c r="R660" s="43"/>
      <c r="S660" s="43"/>
      <c r="T660" s="186"/>
      <c r="V660" s="184"/>
      <c r="W660" s="43"/>
      <c r="X660" s="43"/>
      <c r="Y660" s="43"/>
      <c r="Z660" s="43"/>
      <c r="AA660" s="43"/>
      <c r="AB660" s="43"/>
      <c r="AC660" s="43"/>
      <c r="AD660" s="186"/>
    </row>
    <row r="661" spans="2:30">
      <c r="B661" s="184"/>
      <c r="C661" s="43"/>
      <c r="D661" s="43"/>
      <c r="E661" s="43"/>
      <c r="F661" s="43"/>
      <c r="G661" s="43"/>
      <c r="H661" s="43"/>
      <c r="I661" s="43"/>
      <c r="J661" s="186"/>
      <c r="L661" s="184"/>
      <c r="M661" s="43"/>
      <c r="N661" s="43"/>
      <c r="O661" s="43"/>
      <c r="P661" s="43"/>
      <c r="Q661" s="43"/>
      <c r="R661" s="43"/>
      <c r="S661" s="43"/>
      <c r="T661" s="186"/>
      <c r="V661" s="184"/>
      <c r="W661" s="43"/>
      <c r="X661" s="43"/>
      <c r="Y661" s="43"/>
      <c r="Z661" s="43"/>
      <c r="AA661" s="43"/>
      <c r="AB661" s="43"/>
      <c r="AC661" s="43"/>
      <c r="AD661" s="186"/>
    </row>
    <row r="662" spans="2:30">
      <c r="B662" s="184"/>
      <c r="C662" s="43"/>
      <c r="D662" s="43"/>
      <c r="E662" s="43"/>
      <c r="F662" s="43"/>
      <c r="G662" s="43"/>
      <c r="H662" s="43"/>
      <c r="I662" s="43"/>
      <c r="J662" s="186"/>
      <c r="L662" s="184"/>
      <c r="M662" s="43"/>
      <c r="N662" s="43"/>
      <c r="O662" s="43"/>
      <c r="P662" s="43"/>
      <c r="Q662" s="43"/>
      <c r="R662" s="43"/>
      <c r="S662" s="43"/>
      <c r="T662" s="186"/>
      <c r="V662" s="184"/>
      <c r="W662" s="43"/>
      <c r="X662" s="43"/>
      <c r="Y662" s="43"/>
      <c r="Z662" s="43"/>
      <c r="AA662" s="43"/>
      <c r="AB662" s="43"/>
      <c r="AC662" s="43"/>
      <c r="AD662" s="186"/>
    </row>
    <row r="663" spans="2:30">
      <c r="B663" s="184"/>
      <c r="C663" s="43"/>
      <c r="D663" s="43"/>
      <c r="E663" s="43"/>
      <c r="F663" s="43"/>
      <c r="G663" s="43"/>
      <c r="H663" s="43"/>
      <c r="I663" s="43"/>
      <c r="J663" s="186"/>
      <c r="L663" s="184"/>
      <c r="M663" s="43"/>
      <c r="N663" s="43"/>
      <c r="O663" s="43"/>
      <c r="P663" s="43"/>
      <c r="Q663" s="43"/>
      <c r="R663" s="43"/>
      <c r="S663" s="43"/>
      <c r="T663" s="186"/>
      <c r="V663" s="184"/>
      <c r="W663" s="43"/>
      <c r="X663" s="43"/>
      <c r="Y663" s="43"/>
      <c r="Z663" s="43"/>
      <c r="AA663" s="43"/>
      <c r="AB663" s="43"/>
      <c r="AC663" s="43"/>
      <c r="AD663" s="186"/>
    </row>
    <row r="664" spans="2:30">
      <c r="B664" s="184"/>
      <c r="C664" s="43"/>
      <c r="D664" s="43"/>
      <c r="E664" s="43"/>
      <c r="F664" s="43"/>
      <c r="G664" s="43"/>
      <c r="H664" s="43"/>
      <c r="I664" s="43"/>
      <c r="J664" s="186"/>
      <c r="L664" s="184"/>
      <c r="M664" s="43"/>
      <c r="N664" s="43"/>
      <c r="O664" s="43"/>
      <c r="P664" s="43"/>
      <c r="Q664" s="43"/>
      <c r="R664" s="43"/>
      <c r="S664" s="43"/>
      <c r="T664" s="186"/>
      <c r="V664" s="184"/>
      <c r="W664" s="43"/>
      <c r="X664" s="43"/>
      <c r="Y664" s="43"/>
      <c r="Z664" s="43"/>
      <c r="AA664" s="43"/>
      <c r="AB664" s="43"/>
      <c r="AC664" s="43"/>
      <c r="AD664" s="186"/>
    </row>
    <row r="665" spans="2:30">
      <c r="B665" s="184"/>
      <c r="C665" s="43"/>
      <c r="D665" s="43"/>
      <c r="E665" s="43"/>
      <c r="F665" s="43"/>
      <c r="G665" s="43"/>
      <c r="H665" s="43"/>
      <c r="I665" s="43"/>
      <c r="J665" s="186"/>
      <c r="L665" s="184"/>
      <c r="M665" s="43"/>
      <c r="N665" s="43"/>
      <c r="O665" s="43"/>
      <c r="P665" s="43"/>
      <c r="Q665" s="43"/>
      <c r="R665" s="43"/>
      <c r="S665" s="43"/>
      <c r="T665" s="186"/>
      <c r="V665" s="184"/>
      <c r="W665" s="43"/>
      <c r="X665" s="43"/>
      <c r="Y665" s="43"/>
      <c r="Z665" s="43"/>
      <c r="AA665" s="43"/>
      <c r="AB665" s="43"/>
      <c r="AC665" s="43"/>
      <c r="AD665" s="186"/>
    </row>
    <row r="666" spans="2:30">
      <c r="B666" s="184"/>
      <c r="C666" s="43"/>
      <c r="D666" s="43"/>
      <c r="E666" s="43"/>
      <c r="F666" s="43"/>
      <c r="G666" s="43"/>
      <c r="H666" s="43"/>
      <c r="I666" s="43"/>
      <c r="J666" s="186"/>
      <c r="L666" s="184"/>
      <c r="M666" s="43"/>
      <c r="N666" s="43"/>
      <c r="O666" s="43"/>
      <c r="P666" s="43"/>
      <c r="Q666" s="43"/>
      <c r="R666" s="43"/>
      <c r="S666" s="43"/>
      <c r="T666" s="186"/>
      <c r="V666" s="184"/>
      <c r="W666" s="43"/>
      <c r="X666" s="43"/>
      <c r="Y666" s="43"/>
      <c r="Z666" s="43"/>
      <c r="AA666" s="43"/>
      <c r="AB666" s="43"/>
      <c r="AC666" s="43"/>
      <c r="AD666" s="186"/>
    </row>
    <row r="667" spans="2:30">
      <c r="B667" s="184"/>
      <c r="C667" s="43"/>
      <c r="D667" s="43"/>
      <c r="E667" s="43"/>
      <c r="F667" s="43"/>
      <c r="G667" s="43"/>
      <c r="H667" s="43"/>
      <c r="I667" s="43"/>
      <c r="J667" s="186"/>
      <c r="L667" s="184"/>
      <c r="M667" s="43"/>
      <c r="N667" s="43"/>
      <c r="O667" s="43"/>
      <c r="P667" s="43"/>
      <c r="Q667" s="43"/>
      <c r="R667" s="43"/>
      <c r="S667" s="43"/>
      <c r="T667" s="186"/>
      <c r="V667" s="184"/>
      <c r="W667" s="43"/>
      <c r="X667" s="43"/>
      <c r="Y667" s="43"/>
      <c r="Z667" s="43"/>
      <c r="AA667" s="43"/>
      <c r="AB667" s="43"/>
      <c r="AC667" s="43"/>
      <c r="AD667" s="186"/>
    </row>
    <row r="668" spans="2:30">
      <c r="B668" s="184"/>
      <c r="C668" s="43"/>
      <c r="D668" s="43"/>
      <c r="E668" s="43"/>
      <c r="F668" s="43"/>
      <c r="G668" s="43"/>
      <c r="H668" s="43"/>
      <c r="I668" s="43"/>
      <c r="J668" s="186"/>
      <c r="L668" s="184"/>
      <c r="M668" s="43"/>
      <c r="N668" s="43"/>
      <c r="O668" s="43"/>
      <c r="P668" s="43"/>
      <c r="Q668" s="43"/>
      <c r="R668" s="43"/>
      <c r="S668" s="43"/>
      <c r="T668" s="186"/>
      <c r="V668" s="184"/>
      <c r="W668" s="43"/>
      <c r="X668" s="43"/>
      <c r="Y668" s="43"/>
      <c r="Z668" s="43"/>
      <c r="AA668" s="43"/>
      <c r="AB668" s="43"/>
      <c r="AC668" s="43"/>
      <c r="AD668" s="186"/>
    </row>
    <row r="669" spans="2:30">
      <c r="B669" s="194"/>
      <c r="C669" s="195"/>
      <c r="D669" s="195"/>
      <c r="E669" s="195"/>
      <c r="F669" s="195"/>
      <c r="G669" s="195"/>
      <c r="H669" s="195"/>
      <c r="I669" s="195"/>
      <c r="J669" s="196"/>
      <c r="L669" s="194"/>
      <c r="M669" s="195"/>
      <c r="N669" s="195"/>
      <c r="O669" s="195"/>
      <c r="P669" s="195"/>
      <c r="Q669" s="195"/>
      <c r="R669" s="195"/>
      <c r="S669" s="195"/>
      <c r="T669" s="196"/>
      <c r="V669" s="194"/>
      <c r="W669" s="195"/>
      <c r="X669" s="195"/>
      <c r="Y669" s="195"/>
      <c r="Z669" s="195"/>
      <c r="AA669" s="195"/>
      <c r="AB669" s="195"/>
      <c r="AC669" s="195"/>
      <c r="AD669" s="196"/>
    </row>
    <row r="672" spans="2:30" ht="15">
      <c r="B672" s="214" t="s">
        <v>75</v>
      </c>
    </row>
    <row r="677" spans="11:18" ht="15.75" customHeight="1">
      <c r="K677" s="358" t="s">
        <v>205</v>
      </c>
      <c r="L677" s="359"/>
      <c r="M677" s="359"/>
      <c r="N677" s="359"/>
      <c r="O677" s="359"/>
      <c r="P677" s="360"/>
      <c r="Q677" s="43"/>
      <c r="R677" s="43"/>
    </row>
    <row r="678" spans="11:18" ht="15" customHeight="1">
      <c r="K678" s="361"/>
      <c r="L678" s="362"/>
      <c r="M678" s="362"/>
      <c r="N678" s="362"/>
      <c r="O678" s="362"/>
      <c r="P678" s="363"/>
    </row>
    <row r="679" spans="11:18" ht="15" customHeight="1">
      <c r="K679" s="361"/>
      <c r="L679" s="362"/>
      <c r="M679" s="362"/>
      <c r="N679" s="362"/>
      <c r="O679" s="362"/>
      <c r="P679" s="363"/>
    </row>
    <row r="680" spans="11:18" ht="15" customHeight="1">
      <c r="K680" s="361"/>
      <c r="L680" s="362"/>
      <c r="M680" s="362"/>
      <c r="N680" s="362"/>
      <c r="O680" s="362"/>
      <c r="P680" s="363"/>
    </row>
    <row r="681" spans="11:18">
      <c r="K681" s="364"/>
      <c r="L681" s="365"/>
      <c r="M681" s="365"/>
      <c r="N681" s="365"/>
      <c r="O681" s="365"/>
      <c r="P681" s="366"/>
    </row>
    <row r="705" spans="1:18" ht="19.5" thickBot="1">
      <c r="A705" s="267" t="s">
        <v>206</v>
      </c>
      <c r="B705" s="261"/>
      <c r="C705" s="261"/>
      <c r="D705" s="261"/>
      <c r="E705" s="261"/>
      <c r="F705" s="261"/>
      <c r="G705" s="261"/>
      <c r="H705" s="261"/>
      <c r="I705" s="261"/>
      <c r="J705" s="261"/>
      <c r="K705" s="261"/>
      <c r="L705" s="261"/>
      <c r="M705" s="261"/>
      <c r="N705" s="261"/>
      <c r="O705" s="261"/>
      <c r="P705" s="261"/>
      <c r="Q705" s="261"/>
      <c r="R705" s="261"/>
    </row>
    <row r="706" spans="1:18" ht="15" thickTop="1"/>
    <row r="707" spans="1:18" ht="15">
      <c r="B707" s="223" t="s">
        <v>207</v>
      </c>
      <c r="C707" s="224">
        <v>508.375</v>
      </c>
      <c r="D707" s="225" t="s">
        <v>83</v>
      </c>
      <c r="E707" s="224">
        <v>60.12500000000005</v>
      </c>
      <c r="F707" s="226" t="s">
        <v>208</v>
      </c>
      <c r="G707" s="224">
        <v>118.74999999999996</v>
      </c>
      <c r="H707" s="226" t="s">
        <v>209</v>
      </c>
      <c r="I707" s="224">
        <v>293.12499999999989</v>
      </c>
      <c r="J707" s="226" t="s">
        <v>210</v>
      </c>
      <c r="K707" s="224">
        <v>114.24999999999993</v>
      </c>
      <c r="L707" s="227" t="s">
        <v>211</v>
      </c>
    </row>
    <row r="708" spans="1:18" ht="15.75" thickBot="1">
      <c r="B708" s="233"/>
      <c r="C708" s="234"/>
      <c r="D708" s="235"/>
      <c r="E708" s="234"/>
      <c r="F708" s="233"/>
      <c r="G708" s="234"/>
      <c r="H708" s="233"/>
      <c r="I708" s="234"/>
      <c r="J708" s="233"/>
      <c r="K708" s="234"/>
      <c r="L708" s="233"/>
    </row>
    <row r="709" spans="1:18" ht="15" thickBot="1">
      <c r="E709" s="228">
        <v>508.375</v>
      </c>
      <c r="F709" s="145">
        <v>1</v>
      </c>
    </row>
    <row r="710" spans="1:18">
      <c r="B710" s="216" t="s">
        <v>212</v>
      </c>
      <c r="C710" s="220">
        <f>(27- O7) / P7</f>
        <v>-1</v>
      </c>
      <c r="E710" s="229">
        <v>60.12500000000005</v>
      </c>
      <c r="F710" s="152">
        <f>C710</f>
        <v>-1</v>
      </c>
    </row>
    <row r="711" spans="1:18">
      <c r="B711" s="217" t="s">
        <v>213</v>
      </c>
      <c r="C711" s="221">
        <f>(200- O8) / P8</f>
        <v>-0.33333333333333331</v>
      </c>
      <c r="E711" s="229">
        <v>118.74999999999996</v>
      </c>
      <c r="F711" s="230">
        <f>C711</f>
        <v>-0.33333333333333331</v>
      </c>
    </row>
    <row r="712" spans="1:18">
      <c r="B712" s="217" t="s">
        <v>214</v>
      </c>
      <c r="C712" s="221">
        <f>(1440- O9) / P9</f>
        <v>-0.33333333333333331</v>
      </c>
      <c r="E712" s="229">
        <v>293.12499999999989</v>
      </c>
      <c r="F712" s="230">
        <f>C712</f>
        <v>-0.33333333333333331</v>
      </c>
    </row>
    <row r="713" spans="1:18" ht="15" thickBot="1">
      <c r="B713" s="218" t="s">
        <v>215</v>
      </c>
      <c r="C713" s="222">
        <f>C707+E707*C710+G707*C711+I707*C712+K707*C711*C712</f>
        <v>323.65277777777783</v>
      </c>
      <c r="E713" s="231">
        <v>114.24999999999993</v>
      </c>
      <c r="F713" s="219">
        <f>C711*C712</f>
        <v>0.1111111111111111</v>
      </c>
    </row>
    <row r="714" spans="1:18" ht="15" thickBot="1">
      <c r="E714" s="108"/>
      <c r="F714" s="232">
        <f>SUMPRODUCT(E709:E713,F709:F713)</f>
        <v>323.65277777777783</v>
      </c>
    </row>
    <row r="716" spans="1:18" ht="15">
      <c r="E716" s="215" t="s">
        <v>216</v>
      </c>
      <c r="F716" s="327" t="s">
        <v>217</v>
      </c>
      <c r="G716" s="327"/>
      <c r="H716" s="327"/>
      <c r="I716" s="327"/>
      <c r="J716" s="327"/>
      <c r="K716" s="327"/>
      <c r="L716" s="327"/>
      <c r="M716" s="327"/>
      <c r="N716" s="327"/>
    </row>
    <row r="717" spans="1:18">
      <c r="E717" s="215" t="s">
        <v>218</v>
      </c>
      <c r="F717" s="108">
        <f>F714</f>
        <v>323.65277777777783</v>
      </c>
      <c r="G717" s="108"/>
      <c r="H717" s="108"/>
      <c r="I717" s="108"/>
      <c r="J717" s="108"/>
      <c r="K717" s="108"/>
      <c r="L717" s="108"/>
      <c r="M717" s="108"/>
      <c r="N717" s="108"/>
    </row>
    <row r="719" spans="1:18" ht="15" thickBot="1"/>
    <row r="720" spans="1:18">
      <c r="C720" s="242" t="s">
        <v>73</v>
      </c>
      <c r="D720" s="240">
        <f>483.71</f>
        <v>483.71</v>
      </c>
      <c r="E720" s="237">
        <v>1</v>
      </c>
    </row>
    <row r="721" spans="2:5">
      <c r="C721" s="243" t="s">
        <v>9</v>
      </c>
      <c r="D721" s="114">
        <v>24.05</v>
      </c>
      <c r="E721" s="238">
        <v>27</v>
      </c>
    </row>
    <row r="722" spans="2:5">
      <c r="C722" s="243" t="s">
        <v>10</v>
      </c>
      <c r="D722" s="114">
        <v>-7.4516999999999998</v>
      </c>
      <c r="E722" s="238">
        <v>200</v>
      </c>
    </row>
    <row r="723" spans="2:5">
      <c r="C723" s="243" t="s">
        <v>11</v>
      </c>
      <c r="D723" s="114">
        <v>-0.93710000000000004</v>
      </c>
      <c r="E723" s="238">
        <v>1440</v>
      </c>
    </row>
    <row r="724" spans="2:5" ht="15" thickBot="1">
      <c r="C724" s="244" t="s">
        <v>219</v>
      </c>
      <c r="D724" s="241">
        <v>7.0499999999999998E-3</v>
      </c>
      <c r="E724" s="239">
        <f>E722*E723</f>
        <v>288000</v>
      </c>
    </row>
    <row r="725" spans="2:5" ht="15" thickBot="1">
      <c r="D725" s="236"/>
      <c r="E725" s="232">
        <f>SUMPRODUCT(D720:D724,E720:E724)</f>
        <v>323.69599999999991</v>
      </c>
    </row>
    <row r="727" spans="2:5" ht="15">
      <c r="B727" s="142" t="s">
        <v>220</v>
      </c>
    </row>
    <row r="751" spans="1:18" ht="19.5" thickBot="1">
      <c r="A751" s="267" t="s">
        <v>221</v>
      </c>
      <c r="B751" s="261"/>
      <c r="C751" s="261"/>
      <c r="D751" s="261"/>
      <c r="E751" s="261"/>
      <c r="F751" s="261"/>
      <c r="G751" s="261"/>
      <c r="H751" s="261"/>
      <c r="I751" s="261"/>
      <c r="J751" s="261"/>
      <c r="K751" s="261"/>
      <c r="L751" s="261"/>
      <c r="M751" s="261"/>
      <c r="N751" s="261"/>
      <c r="O751" s="261"/>
      <c r="P751" s="261"/>
      <c r="Q751" s="261"/>
      <c r="R751" s="261"/>
    </row>
    <row r="752" spans="1:18" ht="15" thickTop="1"/>
    <row r="753" spans="2:13" ht="15">
      <c r="B753" s="346" t="s">
        <v>82</v>
      </c>
      <c r="C753" s="347"/>
      <c r="D753" s="110">
        <f>D720</f>
        <v>483.71</v>
      </c>
      <c r="E753" s="111" t="s">
        <v>83</v>
      </c>
      <c r="F753" s="110">
        <f>D721</f>
        <v>24.05</v>
      </c>
      <c r="G753" s="111" t="s">
        <v>84</v>
      </c>
      <c r="H753" s="110">
        <f>D722</f>
        <v>-7.4516999999999998</v>
      </c>
      <c r="I753" s="111" t="s">
        <v>85</v>
      </c>
      <c r="J753" s="110">
        <f>D723</f>
        <v>-0.93710000000000004</v>
      </c>
      <c r="K753" s="111" t="s">
        <v>86</v>
      </c>
      <c r="L753" s="112">
        <f>D724</f>
        <v>7.0499999999999998E-3</v>
      </c>
      <c r="M753" s="113" t="s">
        <v>87</v>
      </c>
    </row>
    <row r="755" spans="2:13" ht="15.75" thickBot="1">
      <c r="B755" s="346" t="s">
        <v>222</v>
      </c>
      <c r="C755" s="347"/>
      <c r="D755" s="248">
        <f>D753+F753*G757+H753*G758+J753*G759+L753*G758*G759</f>
        <v>323.69599999999991</v>
      </c>
    </row>
    <row r="756" spans="2:13" ht="16.5" thickBot="1">
      <c r="F756" s="348" t="s">
        <v>226</v>
      </c>
      <c r="G756" s="349"/>
    </row>
    <row r="757" spans="2:13">
      <c r="F757" s="228" t="s">
        <v>223</v>
      </c>
      <c r="G757" s="245">
        <v>27</v>
      </c>
    </row>
    <row r="758" spans="2:13">
      <c r="F758" s="229" t="s">
        <v>224</v>
      </c>
      <c r="G758" s="246">
        <v>200</v>
      </c>
    </row>
    <row r="759" spans="2:13" ht="15" thickBot="1">
      <c r="F759" s="231" t="s">
        <v>225</v>
      </c>
      <c r="G759" s="247">
        <v>1440</v>
      </c>
    </row>
    <row r="761" spans="2:13">
      <c r="B761" s="337" t="s">
        <v>227</v>
      </c>
      <c r="C761" s="350"/>
      <c r="D761" s="350"/>
      <c r="E761" s="350"/>
      <c r="F761" s="350"/>
      <c r="G761" s="350"/>
      <c r="H761" s="351"/>
    </row>
    <row r="762" spans="2:13" ht="21" customHeight="1">
      <c r="B762" s="352"/>
      <c r="C762" s="353"/>
      <c r="D762" s="353"/>
      <c r="E762" s="353"/>
      <c r="F762" s="353"/>
      <c r="G762" s="353"/>
      <c r="H762" s="354"/>
    </row>
    <row r="763" spans="2:13" ht="20.25" customHeight="1">
      <c r="B763" s="355"/>
      <c r="C763" s="356"/>
      <c r="D763" s="356"/>
      <c r="E763" s="356"/>
      <c r="F763" s="356"/>
      <c r="G763" s="356"/>
      <c r="H763" s="357"/>
    </row>
    <row r="774" spans="1:18" ht="19.5" thickBot="1">
      <c r="A774" s="267" t="s">
        <v>228</v>
      </c>
      <c r="B774" s="261"/>
      <c r="C774" s="261"/>
      <c r="D774" s="261"/>
      <c r="E774" s="261"/>
      <c r="F774" s="261"/>
      <c r="G774" s="261"/>
      <c r="H774" s="261"/>
      <c r="I774" s="261"/>
      <c r="J774" s="261"/>
      <c r="K774" s="261"/>
      <c r="L774" s="261"/>
      <c r="M774" s="261"/>
      <c r="N774" s="261"/>
      <c r="O774" s="261"/>
      <c r="P774" s="261"/>
      <c r="Q774" s="261"/>
      <c r="R774" s="261"/>
    </row>
    <row r="775" spans="1:18" ht="15" thickTop="1"/>
    <row r="776" spans="1:18" ht="15.75">
      <c r="B776" s="97" t="s">
        <v>229</v>
      </c>
      <c r="C776" s="43"/>
    </row>
    <row r="777" spans="1:18">
      <c r="B777" s="249">
        <f>D753</f>
        <v>483.71</v>
      </c>
      <c r="C777" s="77">
        <v>1</v>
      </c>
      <c r="E777" s="337" t="s">
        <v>230</v>
      </c>
      <c r="F777" s="338"/>
      <c r="G777" s="338"/>
      <c r="H777" s="338"/>
      <c r="I777" s="338"/>
      <c r="J777" s="338"/>
      <c r="K777" s="339"/>
    </row>
    <row r="778" spans="1:18">
      <c r="B778" s="249">
        <f>F753</f>
        <v>24.05</v>
      </c>
      <c r="C778" s="250">
        <v>32</v>
      </c>
      <c r="E778" s="340"/>
      <c r="F778" s="341"/>
      <c r="G778" s="341"/>
      <c r="H778" s="341"/>
      <c r="I778" s="341"/>
      <c r="J778" s="341"/>
      <c r="K778" s="342"/>
    </row>
    <row r="779" spans="1:18">
      <c r="B779" s="249">
        <f>H753</f>
        <v>-7.4516999999999998</v>
      </c>
      <c r="C779" s="250">
        <v>240</v>
      </c>
      <c r="E779" s="340"/>
      <c r="F779" s="341"/>
      <c r="G779" s="341"/>
      <c r="H779" s="341"/>
      <c r="I779" s="341"/>
      <c r="J779" s="341"/>
      <c r="K779" s="342"/>
    </row>
    <row r="780" spans="1:18">
      <c r="B780" s="249">
        <f>J753</f>
        <v>-0.93710000000000004</v>
      </c>
      <c r="C780" s="250">
        <v>1371.1723407073782</v>
      </c>
      <c r="E780" s="340"/>
      <c r="F780" s="341"/>
      <c r="G780" s="341"/>
      <c r="H780" s="341"/>
      <c r="I780" s="341"/>
      <c r="J780" s="341"/>
      <c r="K780" s="342"/>
    </row>
    <row r="781" spans="1:18" ht="15" thickBot="1">
      <c r="B781" s="251">
        <f>L753</f>
        <v>7.0499999999999998E-3</v>
      </c>
      <c r="C781" s="252">
        <f>C780*C779</f>
        <v>329081.3617697708</v>
      </c>
      <c r="E781" s="343"/>
      <c r="F781" s="344"/>
      <c r="G781" s="344"/>
      <c r="H781" s="344"/>
      <c r="I781" s="344"/>
      <c r="J781" s="344"/>
      <c r="K781" s="345"/>
    </row>
    <row r="782" spans="1:18" ht="15.75" thickTop="1" thickBot="1">
      <c r="B782" s="43"/>
      <c r="C782" s="253">
        <f>SUMPRODUCT(B777:B781,C777:C781)</f>
        <v>499.99999999999977</v>
      </c>
    </row>
    <row r="783" spans="1:18" ht="15" thickTop="1"/>
  </sheetData>
  <mergeCells count="125">
    <mergeCell ref="E777:K781"/>
    <mergeCell ref="A751:R751"/>
    <mergeCell ref="B753:C753"/>
    <mergeCell ref="B755:C755"/>
    <mergeCell ref="F756:G756"/>
    <mergeCell ref="B761:H763"/>
    <mergeCell ref="A774:R774"/>
    <mergeCell ref="V626:X626"/>
    <mergeCell ref="Z627:AA628"/>
    <mergeCell ref="W631:W632"/>
    <mergeCell ref="K677:P681"/>
    <mergeCell ref="A705:R705"/>
    <mergeCell ref="A619:R619"/>
    <mergeCell ref="B626:D626"/>
    <mergeCell ref="F627:G628"/>
    <mergeCell ref="C631:C632"/>
    <mergeCell ref="L626:N626"/>
    <mergeCell ref="P627:Q628"/>
    <mergeCell ref="M631:M632"/>
    <mergeCell ref="F716:N716"/>
    <mergeCell ref="D593:E593"/>
    <mergeCell ref="B614:G616"/>
    <mergeCell ref="A528:R528"/>
    <mergeCell ref="C539:C541"/>
    <mergeCell ref="C565:C567"/>
    <mergeCell ref="C591:C593"/>
    <mergeCell ref="D541:E541"/>
    <mergeCell ref="D567:E567"/>
    <mergeCell ref="N516:O516"/>
    <mergeCell ref="N517:O517"/>
    <mergeCell ref="V488:AA494"/>
    <mergeCell ref="V496:AA502"/>
    <mergeCell ref="V504:AA510"/>
    <mergeCell ref="V512:AA518"/>
    <mergeCell ref="N506:O506"/>
    <mergeCell ref="N507:O507"/>
    <mergeCell ref="N508:O508"/>
    <mergeCell ref="N509:O509"/>
    <mergeCell ref="N512:T512"/>
    <mergeCell ref="N513:O513"/>
    <mergeCell ref="N488:T488"/>
    <mergeCell ref="N489:O489"/>
    <mergeCell ref="N490:O490"/>
    <mergeCell ref="N491:O491"/>
    <mergeCell ref="N492:O492"/>
    <mergeCell ref="N493:O493"/>
    <mergeCell ref="N514:O514"/>
    <mergeCell ref="N515:O515"/>
    <mergeCell ref="N500:O500"/>
    <mergeCell ref="N501:O501"/>
    <mergeCell ref="N504:T504"/>
    <mergeCell ref="N505:O505"/>
    <mergeCell ref="N496:T496"/>
    <mergeCell ref="N497:O497"/>
    <mergeCell ref="N498:O498"/>
    <mergeCell ref="N499:O499"/>
    <mergeCell ref="A482:R482"/>
    <mergeCell ref="B484:F484"/>
    <mergeCell ref="B475:H475"/>
    <mergeCell ref="B476:C476"/>
    <mergeCell ref="B477:G477"/>
    <mergeCell ref="B478:C478"/>
    <mergeCell ref="B479:C479"/>
    <mergeCell ref="J475:O479"/>
    <mergeCell ref="B405:C405"/>
    <mergeCell ref="I405:J405"/>
    <mergeCell ref="A432:R432"/>
    <mergeCell ref="A435:R435"/>
    <mergeCell ref="B437:F437"/>
    <mergeCell ref="J370:K370"/>
    <mergeCell ref="J371:O371"/>
    <mergeCell ref="J372:K372"/>
    <mergeCell ref="J373:K373"/>
    <mergeCell ref="J375:O379"/>
    <mergeCell ref="A401:L401"/>
    <mergeCell ref="H341:I341"/>
    <mergeCell ref="H344:M349"/>
    <mergeCell ref="H338:I338"/>
    <mergeCell ref="A365:R365"/>
    <mergeCell ref="J369:P369"/>
    <mergeCell ref="A326:R326"/>
    <mergeCell ref="H336:N336"/>
    <mergeCell ref="H337:I337"/>
    <mergeCell ref="H339:I339"/>
    <mergeCell ref="H340:I340"/>
    <mergeCell ref="L313:R313"/>
    <mergeCell ref="L314:M314"/>
    <mergeCell ref="L315:Q315"/>
    <mergeCell ref="L316:M316"/>
    <mergeCell ref="L317:M317"/>
    <mergeCell ref="L318:M318"/>
    <mergeCell ref="L304:Q309"/>
    <mergeCell ref="B290:C290"/>
    <mergeCell ref="E290:G290"/>
    <mergeCell ref="B297:K298"/>
    <mergeCell ref="A301:R301"/>
    <mergeCell ref="A258:R258"/>
    <mergeCell ref="A261:R261"/>
    <mergeCell ref="B263:C263"/>
    <mergeCell ref="I263:J263"/>
    <mergeCell ref="B282:G285"/>
    <mergeCell ref="A288:R288"/>
    <mergeCell ref="B139:C139"/>
    <mergeCell ref="A53:R53"/>
    <mergeCell ref="B58:B73"/>
    <mergeCell ref="L58:L73"/>
    <mergeCell ref="A251:R251"/>
    <mergeCell ref="B253:C253"/>
    <mergeCell ref="B255:C255"/>
    <mergeCell ref="D253:P253"/>
    <mergeCell ref="I169:K169"/>
    <mergeCell ref="B186:D186"/>
    <mergeCell ref="A228:R228"/>
    <mergeCell ref="B230:K231"/>
    <mergeCell ref="B233:O235"/>
    <mergeCell ref="B237:F237"/>
    <mergeCell ref="A1:R1"/>
    <mergeCell ref="B5:B6"/>
    <mergeCell ref="H3:I3"/>
    <mergeCell ref="C24:E24"/>
    <mergeCell ref="B75:B82"/>
    <mergeCell ref="B84:B91"/>
    <mergeCell ref="E84:E91"/>
    <mergeCell ref="A94:R94"/>
    <mergeCell ref="L131:Y13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2</vt:i4>
      </vt:variant>
    </vt:vector>
  </HeadingPairs>
  <TitlesOfParts>
    <vt:vector size="2" baseType="lpstr">
      <vt:lpstr>Zadanie</vt:lpstr>
      <vt:lpstr>Vypracovanie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Kristijan Čapanda</dc:creator>
  <cp:lastModifiedBy>Janette Kotianová</cp:lastModifiedBy>
  <dcterms:created xsi:type="dcterms:W3CDTF">2026-01-04T23:17:08Z</dcterms:created>
  <dcterms:modified xsi:type="dcterms:W3CDTF">2026-02-02T13:59:14Z</dcterms:modified>
</cp:coreProperties>
</file>