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9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10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11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12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13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14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15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6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7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8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hartEx1.xml" ContentType="application/vnd.ms-office.chartex+xml"/>
  <Override PartName="/xl/charts/chartEx2.xml" ContentType="application/vnd.ms-office.chartex+xml"/>
  <Override PartName="/xl/charts/colors12.xml" ContentType="application/vnd.ms-office.chartcolorstyle+xml"/>
  <Override PartName="/xl/charts/style12.xml" ContentType="application/vnd.ms-office.chartstyle+xml"/>
  <Override PartName="/xl/charts/colors13.xml" ContentType="application/vnd.ms-office.chartcolorstyle+xml"/>
  <Override PartName="/xl/charts/style13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otianova\Desktop\stranka mmpve\"/>
    </mc:Choice>
  </mc:AlternateContent>
  <bookViews>
    <workbookView xWindow="0" yWindow="0" windowWidth="28800" windowHeight="12330"/>
  </bookViews>
  <sheets>
    <sheet name="1" sheetId="1" r:id="rId1"/>
    <sheet name="2" sheetId="2" r:id="rId2"/>
  </sheets>
  <definedNames>
    <definedName name="_xlchart.v1.0" hidden="1">'2'!$D$419:$D$439</definedName>
    <definedName name="_xlchart.v1.1" hidden="1">'2'!$E$419:$E$439</definedName>
    <definedName name="_xlchart.v1.2" hidden="1">'2'!$D$419:$D$434</definedName>
    <definedName name="_xlchart.v1.3" hidden="1">'2'!$E$419:$E$434</definedName>
    <definedName name="solver_adj" localSheetId="1" hidden="1">'2'!$D$485:$D$487</definedName>
    <definedName name="solver_cvg" localSheetId="1" hidden="1">"""""""""""""""""""""""""""""""""""""""""""""""""""""""""""""""0.0001"""""""""""""""""""""""""""""""""""""""""""""""""""""""""""""""</definedName>
    <definedName name="solver_drv" localSheetId="1" hidden="1">1</definedName>
    <definedName name="solver_eng" localSheetId="1" hidden="1">1</definedName>
    <definedName name="solver_est" localSheetId="1" hidden="1">1</definedName>
    <definedName name="solver_itr" localSheetId="1" hidden="1">2147483647</definedName>
    <definedName name="solver_lhs1" localSheetId="1" hidden="1">'2'!$D$485</definedName>
    <definedName name="solver_lhs2" localSheetId="1" hidden="1">'2'!$D$485</definedName>
    <definedName name="solver_lhs3" localSheetId="1" hidden="1">'2'!$D$486</definedName>
    <definedName name="solver_lhs4" localSheetId="1" hidden="1">'2'!$D$486</definedName>
    <definedName name="solver_lhs5" localSheetId="1" hidden="1">'2'!$D$487</definedName>
    <definedName name="solver_lhs6" localSheetId="1" hidden="1">'2'!$D$487</definedName>
    <definedName name="solver_mip" localSheetId="1" hidden="1">2147483647</definedName>
    <definedName name="solver_mni" localSheetId="1" hidden="1">30</definedName>
    <definedName name="solver_mrt" localSheetId="1" hidden="1">"""""""""""""""""""""""""""""""""""""""""""""""""""""""""""""""0.075"""""""""""""""""""""""""""""""""""""""""""""""""""""""""""""""</definedName>
    <definedName name="solver_msl" localSheetId="1" hidden="1">2</definedName>
    <definedName name="solver_neg" localSheetId="1" hidden="1">1</definedName>
    <definedName name="solver_nod" localSheetId="1" hidden="1">2147483647</definedName>
    <definedName name="solver_num" localSheetId="1" hidden="1">6</definedName>
    <definedName name="solver_nwt" localSheetId="1" hidden="1">1</definedName>
    <definedName name="solver_opt" localSheetId="1" hidden="1">'2'!$D$488</definedName>
    <definedName name="solver_pre" localSheetId="1" hidden="1">"""""""""""""""""""""""""""""""""""""""""""""""""""""""""""""""0.000001"""""""""""""""""""""""""""""""""""""""""""""""""""""""""""""""</definedName>
    <definedName name="solver_rbv" localSheetId="1" hidden="1">1</definedName>
    <definedName name="solver_rel1" localSheetId="1" hidden="1">1</definedName>
    <definedName name="solver_rel2" localSheetId="1" hidden="1">3</definedName>
    <definedName name="solver_rel3" localSheetId="1" hidden="1">1</definedName>
    <definedName name="solver_rel4" localSheetId="1" hidden="1">3</definedName>
    <definedName name="solver_rel5" localSheetId="1" hidden="1">1</definedName>
    <definedName name="solver_rel6" localSheetId="1" hidden="1">3</definedName>
    <definedName name="solver_rhs1" localSheetId="1" hidden="1">1</definedName>
    <definedName name="solver_rhs2" localSheetId="1" hidden="1">-1</definedName>
    <definedName name="solver_rhs3" localSheetId="1" hidden="1">1</definedName>
    <definedName name="solver_rhs4" localSheetId="1" hidden="1">-1</definedName>
    <definedName name="solver_rhs5" localSheetId="1" hidden="1">1</definedName>
    <definedName name="solver_rhs6" localSheetId="1" hidden="1">-1</definedName>
    <definedName name="solver_rlx" localSheetId="1" hidden="1">2</definedName>
    <definedName name="solver_rsd" localSheetId="1" hidden="1">0</definedName>
    <definedName name="solver_scl" localSheetId="1" hidden="1">1</definedName>
    <definedName name="solver_sho" localSheetId="1" hidden="1">2</definedName>
    <definedName name="solver_ssz" localSheetId="1" hidden="1">100</definedName>
    <definedName name="solver_tim" localSheetId="1" hidden="1">2147483647</definedName>
    <definedName name="solver_tol" localSheetId="1" hidden="1">1</definedName>
    <definedName name="solver_typ" localSheetId="1" hidden="1">3</definedName>
    <definedName name="solver_val" localSheetId="1" hidden="1">100</definedName>
    <definedName name="solver_ver" localSheetId="1" hidden="1">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87" i="2" l="1"/>
  <c r="G486" i="2"/>
  <c r="G485" i="2"/>
  <c r="D488" i="2"/>
  <c r="Q429" i="2"/>
  <c r="P429" i="2"/>
  <c r="Q428" i="2"/>
  <c r="P428" i="2"/>
  <c r="Q427" i="2"/>
  <c r="P427" i="2"/>
  <c r="B136" i="2"/>
  <c r="E420" i="2"/>
  <c r="E421" i="2"/>
  <c r="E422" i="2"/>
  <c r="E423" i="2"/>
  <c r="E424" i="2"/>
  <c r="E425" i="2"/>
  <c r="E426" i="2"/>
  <c r="E427" i="2"/>
  <c r="E428" i="2"/>
  <c r="E429" i="2"/>
  <c r="E430" i="2"/>
  <c r="E431" i="2"/>
  <c r="E432" i="2"/>
  <c r="E433" i="2"/>
  <c r="E434" i="2"/>
  <c r="E435" i="2"/>
  <c r="E436" i="2"/>
  <c r="E437" i="2"/>
  <c r="E438" i="2"/>
  <c r="E439" i="2"/>
  <c r="E419" i="2"/>
  <c r="E404" i="2"/>
  <c r="D404" i="2"/>
  <c r="E403" i="2"/>
  <c r="D403" i="2"/>
  <c r="E396" i="2"/>
  <c r="D396" i="2"/>
  <c r="E395" i="2"/>
  <c r="D395" i="2"/>
  <c r="E388" i="2"/>
  <c r="D388" i="2"/>
  <c r="E387" i="2"/>
  <c r="F388" i="2" s="1"/>
  <c r="D387" i="2"/>
  <c r="G373" i="2"/>
  <c r="G372" i="2"/>
  <c r="G367" i="2"/>
  <c r="G366" i="2"/>
  <c r="G361" i="2"/>
  <c r="G360" i="2"/>
  <c r="D351" i="2"/>
  <c r="D350" i="2"/>
  <c r="D347" i="2"/>
  <c r="C343" i="2"/>
  <c r="D345" i="2" s="1"/>
  <c r="I315" i="2"/>
  <c r="K315" i="2" s="1"/>
  <c r="I316" i="2"/>
  <c r="K316" i="2" s="1"/>
  <c r="I317" i="2"/>
  <c r="K317" i="2" s="1"/>
  <c r="I318" i="2"/>
  <c r="K318" i="2" s="1"/>
  <c r="I319" i="2"/>
  <c r="K319" i="2" s="1"/>
  <c r="I320" i="2"/>
  <c r="K320" i="2" s="1"/>
  <c r="I321" i="2"/>
  <c r="K321" i="2" s="1"/>
  <c r="I322" i="2"/>
  <c r="K322" i="2" s="1"/>
  <c r="I323" i="2"/>
  <c r="K323" i="2" s="1"/>
  <c r="I324" i="2"/>
  <c r="K324" i="2" s="1"/>
  <c r="I325" i="2"/>
  <c r="K325" i="2" s="1"/>
  <c r="I326" i="2"/>
  <c r="K326" i="2" s="1"/>
  <c r="I327" i="2"/>
  <c r="K327" i="2" s="1"/>
  <c r="I328" i="2"/>
  <c r="K328" i="2" s="1"/>
  <c r="I329" i="2"/>
  <c r="K329" i="2" s="1"/>
  <c r="I314" i="2"/>
  <c r="K314" i="2" s="1"/>
  <c r="H315" i="2"/>
  <c r="J315" i="2" s="1"/>
  <c r="H316" i="2"/>
  <c r="J316" i="2" s="1"/>
  <c r="H317" i="2"/>
  <c r="J317" i="2" s="1"/>
  <c r="H318" i="2"/>
  <c r="J318" i="2" s="1"/>
  <c r="H319" i="2"/>
  <c r="J319" i="2" s="1"/>
  <c r="H320" i="2"/>
  <c r="J320" i="2" s="1"/>
  <c r="H321" i="2"/>
  <c r="J321" i="2" s="1"/>
  <c r="H322" i="2"/>
  <c r="J322" i="2" s="1"/>
  <c r="H323" i="2"/>
  <c r="J323" i="2" s="1"/>
  <c r="H324" i="2"/>
  <c r="J324" i="2" s="1"/>
  <c r="H325" i="2"/>
  <c r="J325" i="2" s="1"/>
  <c r="H326" i="2"/>
  <c r="J326" i="2" s="1"/>
  <c r="H327" i="2"/>
  <c r="J327" i="2" s="1"/>
  <c r="H328" i="2"/>
  <c r="J328" i="2" s="1"/>
  <c r="H329" i="2"/>
  <c r="J329" i="2" s="1"/>
  <c r="H314" i="2"/>
  <c r="J314" i="2" s="1"/>
  <c r="J330" i="2" s="1"/>
  <c r="B311" i="2"/>
  <c r="B219" i="2"/>
  <c r="L200" i="2"/>
  <c r="B220" i="2"/>
  <c r="O15" i="2"/>
  <c r="M200" i="2"/>
  <c r="M190" i="2"/>
  <c r="M188" i="2"/>
  <c r="M186" i="2"/>
  <c r="M184" i="2"/>
  <c r="L190" i="2"/>
  <c r="L188" i="2"/>
  <c r="L186" i="2"/>
  <c r="L184" i="2"/>
  <c r="P14" i="2"/>
  <c r="P12" i="2"/>
  <c r="P10" i="2"/>
  <c r="P8" i="2"/>
  <c r="O11" i="2"/>
  <c r="O9" i="2"/>
  <c r="O10" i="2"/>
  <c r="O12" i="2"/>
  <c r="O13" i="2"/>
  <c r="O14" i="2"/>
  <c r="O8" i="2"/>
  <c r="N16" i="2"/>
  <c r="N17" i="2"/>
  <c r="N18" i="2"/>
  <c r="N19" i="2"/>
  <c r="N20" i="2"/>
  <c r="N21" i="2"/>
  <c r="N22" i="2"/>
  <c r="N23" i="2"/>
  <c r="M9" i="2"/>
  <c r="N9" i="2" s="1"/>
  <c r="M10" i="2"/>
  <c r="N10" i="2" s="1"/>
  <c r="M11" i="2"/>
  <c r="N11" i="2" s="1"/>
  <c r="M12" i="2"/>
  <c r="N12" i="2" s="1"/>
  <c r="M13" i="2"/>
  <c r="N13" i="2" s="1"/>
  <c r="M14" i="2"/>
  <c r="N14" i="2" s="1"/>
  <c r="M15" i="2"/>
  <c r="N15" i="2" s="1"/>
  <c r="M8" i="2"/>
  <c r="N8" i="2" s="1"/>
  <c r="D173" i="2"/>
  <c r="B173" i="2"/>
  <c r="C167" i="2"/>
  <c r="C168" i="2" s="1"/>
  <c r="B166" i="2"/>
  <c r="B144" i="2"/>
  <c r="C150" i="2"/>
  <c r="C149" i="2"/>
  <c r="B134" i="2"/>
  <c r="C134" i="2"/>
  <c r="B135" i="2"/>
  <c r="C135" i="2"/>
  <c r="C136" i="2"/>
  <c r="X73" i="2"/>
  <c r="V73" i="2"/>
  <c r="T73" i="2"/>
  <c r="K123" i="2"/>
  <c r="H123" i="2"/>
  <c r="F123" i="2"/>
  <c r="D123" i="2"/>
  <c r="AK93" i="2"/>
  <c r="AI93" i="2"/>
  <c r="AE93" i="2"/>
  <c r="AC93" i="2"/>
  <c r="Y93" i="2"/>
  <c r="W93" i="2"/>
  <c r="S93" i="2"/>
  <c r="Q93" i="2"/>
  <c r="N93" i="2"/>
  <c r="L93" i="2"/>
  <c r="I93" i="2"/>
  <c r="G93" i="2"/>
  <c r="D93" i="2"/>
  <c r="B93" i="2"/>
  <c r="AI88" i="2"/>
  <c r="AC88" i="2"/>
  <c r="W88" i="2"/>
  <c r="Q88" i="2"/>
  <c r="L88" i="2"/>
  <c r="G88" i="2"/>
  <c r="AI83" i="2"/>
  <c r="AC83" i="2"/>
  <c r="W83" i="2"/>
  <c r="Q83" i="2"/>
  <c r="L83" i="2"/>
  <c r="G83" i="2"/>
  <c r="B88" i="2"/>
  <c r="B83" i="2"/>
  <c r="F84" i="2"/>
  <c r="A84" i="2"/>
  <c r="C77" i="2"/>
  <c r="G68" i="2"/>
  <c r="F68" i="2"/>
  <c r="E68" i="2"/>
  <c r="D68" i="2"/>
  <c r="G67" i="2"/>
  <c r="F67" i="2"/>
  <c r="E67" i="2"/>
  <c r="D67" i="2"/>
  <c r="G66" i="2"/>
  <c r="F66" i="2"/>
  <c r="E66" i="2"/>
  <c r="D66" i="2"/>
  <c r="G65" i="2"/>
  <c r="F65" i="2"/>
  <c r="E65" i="2"/>
  <c r="D65" i="2"/>
  <c r="G64" i="2"/>
  <c r="F64" i="2"/>
  <c r="E64" i="2"/>
  <c r="D64" i="2"/>
  <c r="G63" i="2"/>
  <c r="F63" i="2"/>
  <c r="E63" i="2"/>
  <c r="D63" i="2"/>
  <c r="G62" i="2"/>
  <c r="F62" i="2"/>
  <c r="E62" i="2"/>
  <c r="D62" i="2"/>
  <c r="G61" i="2"/>
  <c r="F61" i="2"/>
  <c r="E61" i="2"/>
  <c r="D61" i="2"/>
  <c r="G60" i="2"/>
  <c r="F60" i="2"/>
  <c r="E60" i="2"/>
  <c r="D60" i="2"/>
  <c r="G59" i="2"/>
  <c r="F59" i="2"/>
  <c r="E59" i="2"/>
  <c r="D59" i="2"/>
  <c r="G58" i="2"/>
  <c r="F58" i="2"/>
  <c r="E58" i="2"/>
  <c r="D58" i="2"/>
  <c r="G57" i="2"/>
  <c r="F57" i="2"/>
  <c r="E57" i="2"/>
  <c r="D57" i="2"/>
  <c r="G56" i="2"/>
  <c r="F56" i="2"/>
  <c r="E56" i="2"/>
  <c r="D56" i="2"/>
  <c r="G55" i="2"/>
  <c r="F55" i="2"/>
  <c r="E55" i="2"/>
  <c r="D55" i="2"/>
  <c r="G54" i="2"/>
  <c r="F54" i="2"/>
  <c r="E54" i="2"/>
  <c r="D54" i="2"/>
  <c r="G53" i="2"/>
  <c r="F53" i="2"/>
  <c r="E53" i="2"/>
  <c r="D53" i="2"/>
  <c r="W24" i="2"/>
  <c r="J23" i="2"/>
  <c r="I23" i="2"/>
  <c r="H23" i="2"/>
  <c r="G23" i="2"/>
  <c r="J22" i="2"/>
  <c r="I22" i="2"/>
  <c r="H22" i="2"/>
  <c r="G22" i="2"/>
  <c r="J21" i="2"/>
  <c r="I21" i="2"/>
  <c r="H21" i="2"/>
  <c r="G21" i="2"/>
  <c r="J20" i="2"/>
  <c r="I20" i="2"/>
  <c r="H20" i="2"/>
  <c r="G20" i="2"/>
  <c r="J19" i="2"/>
  <c r="I19" i="2"/>
  <c r="H19" i="2"/>
  <c r="G19" i="2"/>
  <c r="J18" i="2"/>
  <c r="I18" i="2"/>
  <c r="H18" i="2"/>
  <c r="G18" i="2"/>
  <c r="J17" i="2"/>
  <c r="I17" i="2"/>
  <c r="H17" i="2"/>
  <c r="G17" i="2"/>
  <c r="J16" i="2"/>
  <c r="I16" i="2"/>
  <c r="H16" i="2"/>
  <c r="G16" i="2"/>
  <c r="J15" i="2"/>
  <c r="J14" i="2"/>
  <c r="J13" i="2"/>
  <c r="J12" i="2"/>
  <c r="J11" i="2"/>
  <c r="J10" i="2"/>
  <c r="J9" i="2"/>
  <c r="J8" i="2"/>
  <c r="I15" i="2"/>
  <c r="I14" i="2"/>
  <c r="I13" i="2"/>
  <c r="I12" i="2"/>
  <c r="I11" i="2"/>
  <c r="I10" i="2"/>
  <c r="I9" i="2"/>
  <c r="I8" i="2"/>
  <c r="H15" i="2"/>
  <c r="H14" i="2"/>
  <c r="H13" i="2"/>
  <c r="H12" i="2"/>
  <c r="H11" i="2"/>
  <c r="H10" i="2"/>
  <c r="H9" i="2"/>
  <c r="H8" i="2"/>
  <c r="G15" i="2"/>
  <c r="G14" i="2"/>
  <c r="G13" i="2"/>
  <c r="G12" i="2"/>
  <c r="G11" i="2"/>
  <c r="G10" i="2"/>
  <c r="G9" i="2"/>
  <c r="G8" i="2"/>
  <c r="K330" i="2" l="1"/>
  <c r="F420" i="2"/>
  <c r="F422" i="2"/>
  <c r="F423" i="2"/>
  <c r="F424" i="2"/>
  <c r="F425" i="2"/>
  <c r="F426" i="2"/>
  <c r="F427" i="2"/>
  <c r="F428" i="2"/>
  <c r="F429" i="2"/>
  <c r="F430" i="2"/>
  <c r="F431" i="2"/>
  <c r="F432" i="2"/>
  <c r="F433" i="2"/>
  <c r="F434" i="2"/>
  <c r="F435" i="2"/>
  <c r="F437" i="2"/>
  <c r="F438" i="2"/>
  <c r="F439" i="2"/>
  <c r="F419" i="2"/>
  <c r="F421" i="2"/>
  <c r="F436" i="2"/>
  <c r="M205" i="2"/>
  <c r="B196" i="2" s="1"/>
  <c r="B195" i="2" s="1"/>
  <c r="F387" i="2"/>
  <c r="F389" i="2" s="1"/>
  <c r="G374" i="2"/>
  <c r="G368" i="2"/>
  <c r="G362" i="2"/>
  <c r="F403" i="2"/>
  <c r="F404" i="2"/>
  <c r="F396" i="2"/>
  <c r="C340" i="2"/>
  <c r="C341" i="2" s="1"/>
  <c r="J332" i="2"/>
  <c r="C339" i="2" s="1"/>
  <c r="F395" i="2"/>
  <c r="D348" i="2"/>
  <c r="O24" i="2"/>
  <c r="B222" i="2"/>
  <c r="N24" i="2"/>
  <c r="C196" i="2" s="1"/>
  <c r="C195" i="2" s="1"/>
  <c r="L205" i="2"/>
  <c r="B221" i="2" s="1"/>
  <c r="D28" i="2" a="1"/>
  <c r="D28" i="2" s="1"/>
  <c r="D38" i="2" s="1" a="1"/>
  <c r="C151" i="2"/>
  <c r="C89" i="2"/>
  <c r="C90" i="2"/>
  <c r="AJ89" i="2"/>
  <c r="AJ90" i="2"/>
  <c r="AD90" i="2"/>
  <c r="AD89" i="2"/>
  <c r="X89" i="2"/>
  <c r="X90" i="2"/>
  <c r="R89" i="2"/>
  <c r="R90" i="2"/>
  <c r="M90" i="2"/>
  <c r="M89" i="2"/>
  <c r="H90" i="2"/>
  <c r="H89" i="2"/>
  <c r="C88" i="2"/>
  <c r="C78" i="2"/>
  <c r="H88" i="2"/>
  <c r="X88" i="2"/>
  <c r="R88" i="2"/>
  <c r="AJ88" i="2"/>
  <c r="AD88" i="2"/>
  <c r="M88" i="2"/>
  <c r="AJ96" i="2"/>
  <c r="AJ95" i="2"/>
  <c r="AI94" i="2"/>
  <c r="AD95" i="2"/>
  <c r="AC94" i="2"/>
  <c r="AD96" i="2"/>
  <c r="X95" i="2"/>
  <c r="X96" i="2"/>
  <c r="W94" i="2"/>
  <c r="R96" i="2"/>
  <c r="Q94" i="2"/>
  <c r="R95" i="2"/>
  <c r="M96" i="2"/>
  <c r="L94" i="2"/>
  <c r="M95" i="2"/>
  <c r="H95" i="2"/>
  <c r="G94" i="2"/>
  <c r="H96" i="2"/>
  <c r="C96" i="2"/>
  <c r="B94" i="2"/>
  <c r="C95" i="2"/>
  <c r="C342" i="2" l="1"/>
  <c r="C349" i="2" s="1"/>
  <c r="C198" i="2"/>
  <c r="C202" i="2" s="1"/>
  <c r="B224" i="2"/>
  <c r="C226" i="2" s="1"/>
  <c r="F397" i="2"/>
  <c r="F405" i="2"/>
  <c r="B223" i="2"/>
  <c r="B232" i="2" s="1"/>
  <c r="D195" i="2"/>
  <c r="D196" i="2"/>
  <c r="D80" i="2"/>
  <c r="H80" i="2"/>
  <c r="D45" i="2"/>
  <c r="G45" i="2" s="1"/>
  <c r="Z73" i="2" s="1"/>
  <c r="D44" i="2"/>
  <c r="G44" i="2" s="1"/>
  <c r="D43" i="2"/>
  <c r="G43" i="2" s="1"/>
  <c r="D42" i="2"/>
  <c r="G42" i="2" s="1"/>
  <c r="D41" i="2"/>
  <c r="G41" i="2" s="1"/>
  <c r="R73" i="2" s="1"/>
  <c r="D40" i="2"/>
  <c r="G40" i="2" s="1"/>
  <c r="P73" i="2" s="1"/>
  <c r="D39" i="2"/>
  <c r="G39" i="2" s="1"/>
  <c r="N73" i="2" s="1"/>
  <c r="D38" i="2"/>
  <c r="G38" i="2" s="1"/>
  <c r="L73" i="2" s="1"/>
  <c r="C199" i="2" l="1"/>
  <c r="C200" i="2" s="1"/>
  <c r="B208" i="2" s="1"/>
  <c r="C85" i="2"/>
  <c r="C86" i="2"/>
  <c r="B84" i="2"/>
  <c r="H86" i="2"/>
  <c r="M86" i="2"/>
  <c r="X86" i="2"/>
  <c r="AD86" i="2"/>
  <c r="H85" i="2"/>
  <c r="M85" i="2"/>
  <c r="R85" i="2"/>
  <c r="R86" i="2"/>
  <c r="X85" i="2"/>
  <c r="AD85" i="2"/>
  <c r="AJ85" i="2"/>
  <c r="AJ86" i="2"/>
  <c r="L84" i="2"/>
  <c r="Q84" i="2"/>
  <c r="W84" i="2"/>
  <c r="AC84" i="2"/>
  <c r="AI84" i="2"/>
  <c r="G84" i="2"/>
  <c r="S35" i="2"/>
  <c r="R35" i="2"/>
  <c r="Q35" i="2"/>
  <c r="P35" i="2"/>
  <c r="O35" i="2"/>
  <c r="N35" i="2"/>
  <c r="M35" i="2"/>
  <c r="L35" i="2"/>
  <c r="K35" i="2"/>
  <c r="J35" i="2"/>
  <c r="I35" i="2"/>
  <c r="H35" i="2"/>
  <c r="G35" i="2"/>
  <c r="F35" i="2"/>
  <c r="E35" i="2"/>
  <c r="D35" i="2"/>
  <c r="S34" i="2"/>
  <c r="R34" i="2"/>
  <c r="Q34" i="2"/>
  <c r="P34" i="2"/>
  <c r="O34" i="2"/>
  <c r="N34" i="2"/>
  <c r="M34" i="2"/>
  <c r="L34" i="2"/>
  <c r="K34" i="2"/>
  <c r="J34" i="2"/>
  <c r="I34" i="2"/>
  <c r="H34" i="2"/>
  <c r="G34" i="2"/>
  <c r="F34" i="2"/>
  <c r="E34" i="2"/>
  <c r="D34" i="2"/>
  <c r="S33" i="2"/>
  <c r="R33" i="2"/>
  <c r="Q33" i="2"/>
  <c r="P33" i="2"/>
  <c r="O33" i="2"/>
  <c r="N33" i="2"/>
  <c r="M33" i="2"/>
  <c r="L33" i="2"/>
  <c r="K33" i="2"/>
  <c r="J33" i="2"/>
  <c r="I33" i="2"/>
  <c r="H33" i="2"/>
  <c r="G33" i="2"/>
  <c r="F33" i="2"/>
  <c r="E33" i="2"/>
  <c r="D33" i="2"/>
  <c r="S32" i="2"/>
  <c r="R32" i="2"/>
  <c r="Q32" i="2"/>
  <c r="P32" i="2"/>
  <c r="O32" i="2"/>
  <c r="N32" i="2"/>
  <c r="M32" i="2"/>
  <c r="L32" i="2"/>
  <c r="K32" i="2"/>
  <c r="J32" i="2"/>
  <c r="I32" i="2"/>
  <c r="H32" i="2"/>
  <c r="G32" i="2"/>
  <c r="F32" i="2"/>
  <c r="E32" i="2"/>
  <c r="D32" i="2"/>
  <c r="S31" i="2"/>
  <c r="R31" i="2"/>
  <c r="Q31" i="2"/>
  <c r="P31" i="2"/>
  <c r="O31" i="2"/>
  <c r="N31" i="2"/>
  <c r="M31" i="2"/>
  <c r="L31" i="2"/>
  <c r="K31" i="2"/>
  <c r="J31" i="2"/>
  <c r="I31" i="2"/>
  <c r="H31" i="2"/>
  <c r="G31" i="2"/>
  <c r="F31" i="2"/>
  <c r="E31" i="2"/>
  <c r="D31" i="2"/>
  <c r="S30" i="2"/>
  <c r="R30" i="2"/>
  <c r="Q30" i="2"/>
  <c r="P30" i="2"/>
  <c r="O30" i="2"/>
  <c r="N30" i="2"/>
  <c r="M30" i="2"/>
  <c r="L30" i="2"/>
  <c r="K30" i="2"/>
  <c r="J30" i="2"/>
  <c r="I30" i="2"/>
  <c r="H30" i="2"/>
  <c r="G30" i="2"/>
  <c r="F30" i="2"/>
  <c r="E30" i="2"/>
  <c r="D30" i="2"/>
  <c r="S29" i="2"/>
  <c r="R29" i="2"/>
  <c r="Q29" i="2"/>
  <c r="P29" i="2"/>
  <c r="O29" i="2"/>
  <c r="N29" i="2"/>
  <c r="M29" i="2"/>
  <c r="L29" i="2"/>
  <c r="K29" i="2"/>
  <c r="J29" i="2"/>
  <c r="I29" i="2"/>
  <c r="H29" i="2"/>
  <c r="G29" i="2"/>
  <c r="F29" i="2"/>
  <c r="E29" i="2"/>
  <c r="D29" i="2"/>
  <c r="S28" i="2"/>
  <c r="R28" i="2"/>
  <c r="Q28" i="2"/>
  <c r="P28" i="2"/>
  <c r="O28" i="2"/>
  <c r="N28" i="2"/>
  <c r="M28" i="2"/>
  <c r="L28" i="2"/>
  <c r="K28" i="2"/>
  <c r="J28" i="2"/>
  <c r="I28" i="2"/>
  <c r="H28" i="2"/>
  <c r="G28" i="2"/>
  <c r="F28" i="2"/>
  <c r="E28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<sst xmlns="http://schemas.openxmlformats.org/spreadsheetml/2006/main" count="737" uniqueCount="293">
  <si>
    <t>s</t>
  </si>
  <si>
    <t xml:space="preserve">lambda </t>
  </si>
  <si>
    <t>https://www.sciencedirect.com/topics/engineering/full-factorial-design</t>
  </si>
  <si>
    <t>F [kN]</t>
  </si>
  <si>
    <t>n [ot./min]</t>
  </si>
  <si>
    <t>T [°C]</t>
  </si>
  <si>
    <t>t3</t>
  </si>
  <si>
    <t>t2</t>
  </si>
  <si>
    <t>t1</t>
  </si>
  <si>
    <t>Y</t>
  </si>
  <si>
    <t xml:space="preserve">Analyzuje sa vplyv prevádzkových podmienok na životnosť valivého ložiska, vyjadrenú počtom cyklov do poruchy. </t>
  </si>
  <si>
    <t xml:space="preserve">Ako nezávislé premenné sú zvolené zaťaženie ložiska F, otáčky n a prevádzková teplota T, ktoré reprezentujú tri kľúčové faktory ovplyvňujúce únavové poškodenie a opotrebovanie v strojárskej praxi. </t>
  </si>
  <si>
    <t>Závislou premennou je počet cyklov do poruchy ložiska N cyklov</t>
  </si>
  <si>
    <t xml:space="preserve">t2 </t>
  </si>
  <si>
    <t xml:space="preserve">t3 </t>
  </si>
  <si>
    <t>Y-</t>
  </si>
  <si>
    <t>počet cyklov</t>
  </si>
  <si>
    <t>x1</t>
  </si>
  <si>
    <t>Počet</t>
  </si>
  <si>
    <t>x1-</t>
  </si>
  <si>
    <t>x2</t>
  </si>
  <si>
    <t>x3</t>
  </si>
  <si>
    <t>Zaťaženie ložiska (5 až 10 kN)</t>
  </si>
  <si>
    <t xml:space="preserve">x2- </t>
  </si>
  <si>
    <t>otáčky (1000 až 2000 ot./min)</t>
  </si>
  <si>
    <t xml:space="preserve">x3- </t>
  </si>
  <si>
    <t>teplota (60 az 90°C)</t>
  </si>
  <si>
    <t xml:space="preserve">Na hladine významnosti  alfa  = </t>
  </si>
  <si>
    <t xml:space="preserve">metóda najmenších štvorcou </t>
  </si>
  <si>
    <r>
      <rPr>
        <i/>
        <sz val="11"/>
        <color theme="1"/>
        <rFont val="Aptos Narrow"/>
        <family val="2"/>
        <scheme val="minor"/>
      </rPr>
      <t>Y</t>
    </r>
    <r>
      <rPr>
        <sz val="11"/>
        <color theme="1"/>
        <rFont val="Aptos Narrow"/>
        <family val="2"/>
        <scheme val="minor"/>
      </rPr>
      <t>=</t>
    </r>
    <r>
      <rPr>
        <i/>
        <sz val="11"/>
        <color theme="1"/>
        <rFont val="Aptos Narrow"/>
        <family val="2"/>
        <scheme val="minor"/>
      </rPr>
      <t>b</t>
    </r>
    <r>
      <rPr>
        <sz val="7.7"/>
        <color theme="1"/>
        <rFont val="Aptos Narrow"/>
        <family val="2"/>
        <scheme val="minor"/>
      </rPr>
      <t>0</t>
    </r>
    <r>
      <rPr>
        <sz val="11"/>
        <color theme="1"/>
        <rFont val="Aptos Narrow"/>
        <family val="2"/>
        <scheme val="minor"/>
      </rPr>
      <t>+</t>
    </r>
    <r>
      <rPr>
        <i/>
        <sz val="11"/>
        <color theme="1"/>
        <rFont val="Aptos Narrow"/>
        <family val="2"/>
        <scheme val="minor"/>
      </rPr>
      <t>b</t>
    </r>
    <r>
      <rPr>
        <sz val="7.7"/>
        <color theme="1"/>
        <rFont val="Aptos Narrow"/>
        <family val="2"/>
        <scheme val="minor"/>
      </rPr>
      <t>1</t>
    </r>
    <r>
      <rPr>
        <i/>
        <sz val="11"/>
        <color theme="1"/>
        <rFont val="Aptos Narrow"/>
        <family val="2"/>
        <scheme val="minor"/>
      </rPr>
      <t>t</t>
    </r>
    <r>
      <rPr>
        <sz val="7.7"/>
        <color theme="1"/>
        <rFont val="Aptos Narrow"/>
        <family val="2"/>
        <scheme val="minor"/>
      </rPr>
      <t>1</t>
    </r>
    <r>
      <rPr>
        <sz val="11"/>
        <color theme="1"/>
        <rFont val="Aptos Narrow"/>
        <family val="2"/>
        <scheme val="minor"/>
      </rPr>
      <t>+</t>
    </r>
    <r>
      <rPr>
        <i/>
        <sz val="11"/>
        <color theme="1"/>
        <rFont val="Aptos Narrow"/>
        <family val="2"/>
        <scheme val="minor"/>
      </rPr>
      <t>b</t>
    </r>
    <r>
      <rPr>
        <sz val="7.7"/>
        <color theme="1"/>
        <rFont val="Aptos Narrow"/>
        <family val="2"/>
        <scheme val="minor"/>
      </rPr>
      <t>2</t>
    </r>
    <r>
      <rPr>
        <i/>
        <sz val="11"/>
        <color theme="1"/>
        <rFont val="Aptos Narrow"/>
        <family val="2"/>
        <scheme val="minor"/>
      </rPr>
      <t>t</t>
    </r>
    <r>
      <rPr>
        <sz val="7.7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+</t>
    </r>
    <r>
      <rPr>
        <i/>
        <sz val="11"/>
        <color theme="1"/>
        <rFont val="Aptos Narrow"/>
        <family val="2"/>
        <scheme val="minor"/>
      </rPr>
      <t>b</t>
    </r>
    <r>
      <rPr>
        <sz val="7.7"/>
        <color theme="1"/>
        <rFont val="Aptos Narrow"/>
        <family val="2"/>
        <scheme val="minor"/>
      </rPr>
      <t>3</t>
    </r>
    <r>
      <rPr>
        <i/>
        <sz val="11"/>
        <color theme="1"/>
        <rFont val="Aptos Narrow"/>
        <family val="2"/>
        <scheme val="minor"/>
      </rPr>
      <t>t</t>
    </r>
    <r>
      <rPr>
        <sz val="7.7"/>
        <color theme="1"/>
        <rFont val="Aptos Narrow"/>
        <family val="2"/>
        <scheme val="minor"/>
      </rPr>
      <t>3</t>
    </r>
    <r>
      <rPr>
        <sz val="11"/>
        <color theme="1"/>
        <rFont val="Aptos Narrow"/>
        <family val="2"/>
        <scheme val="minor"/>
      </rPr>
      <t>+</t>
    </r>
    <r>
      <rPr>
        <i/>
        <sz val="11"/>
        <color theme="1"/>
        <rFont val="Aptos Narrow"/>
        <family val="2"/>
        <scheme val="minor"/>
      </rPr>
      <t>b</t>
    </r>
    <r>
      <rPr>
        <sz val="7.7"/>
        <color theme="1"/>
        <rFont val="Aptos Narrow"/>
        <family val="2"/>
        <scheme val="minor"/>
      </rPr>
      <t>12</t>
    </r>
    <r>
      <rPr>
        <i/>
        <sz val="11"/>
        <color theme="1"/>
        <rFont val="Aptos Narrow"/>
        <family val="2"/>
        <scheme val="minor"/>
      </rPr>
      <t>t</t>
    </r>
    <r>
      <rPr>
        <sz val="7.7"/>
        <color theme="1"/>
        <rFont val="Aptos Narrow"/>
        <family val="2"/>
        <scheme val="minor"/>
      </rPr>
      <t>1</t>
    </r>
    <r>
      <rPr>
        <i/>
        <sz val="11"/>
        <color theme="1"/>
        <rFont val="Aptos Narrow"/>
        <family val="2"/>
        <scheme val="minor"/>
      </rPr>
      <t>t</t>
    </r>
    <r>
      <rPr>
        <sz val="7.7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+</t>
    </r>
    <r>
      <rPr>
        <i/>
        <sz val="11"/>
        <color theme="1"/>
        <rFont val="Aptos Narrow"/>
        <family val="2"/>
        <scheme val="minor"/>
      </rPr>
      <t>b</t>
    </r>
    <r>
      <rPr>
        <sz val="7.7"/>
        <color theme="1"/>
        <rFont val="Aptos Narrow"/>
        <family val="2"/>
        <scheme val="minor"/>
      </rPr>
      <t>13</t>
    </r>
    <r>
      <rPr>
        <i/>
        <sz val="11"/>
        <color theme="1"/>
        <rFont val="Aptos Narrow"/>
        <family val="2"/>
        <scheme val="minor"/>
      </rPr>
      <t>t</t>
    </r>
    <r>
      <rPr>
        <sz val="7.7"/>
        <color theme="1"/>
        <rFont val="Aptos Narrow"/>
        <family val="2"/>
        <scheme val="minor"/>
      </rPr>
      <t>1</t>
    </r>
    <r>
      <rPr>
        <i/>
        <sz val="11"/>
        <color theme="1"/>
        <rFont val="Aptos Narrow"/>
        <family val="2"/>
        <scheme val="minor"/>
      </rPr>
      <t>t</t>
    </r>
    <r>
      <rPr>
        <sz val="7.7"/>
        <color theme="1"/>
        <rFont val="Aptos Narrow"/>
        <family val="2"/>
        <scheme val="minor"/>
      </rPr>
      <t>3</t>
    </r>
    <r>
      <rPr>
        <sz val="11"/>
        <color theme="1"/>
        <rFont val="Aptos Narrow"/>
        <family val="2"/>
        <scheme val="minor"/>
      </rPr>
      <t>+</t>
    </r>
    <r>
      <rPr>
        <i/>
        <sz val="11"/>
        <color theme="1"/>
        <rFont val="Aptos Narrow"/>
        <family val="2"/>
        <scheme val="minor"/>
      </rPr>
      <t>b</t>
    </r>
    <r>
      <rPr>
        <sz val="7.7"/>
        <color theme="1"/>
        <rFont val="Aptos Narrow"/>
        <family val="2"/>
        <scheme val="minor"/>
      </rPr>
      <t>23</t>
    </r>
    <r>
      <rPr>
        <i/>
        <sz val="11"/>
        <color theme="1"/>
        <rFont val="Aptos Narrow"/>
        <family val="2"/>
        <scheme val="minor"/>
      </rPr>
      <t>t</t>
    </r>
    <r>
      <rPr>
        <sz val="7.7"/>
        <color theme="1"/>
        <rFont val="Aptos Narrow"/>
        <family val="2"/>
        <scheme val="minor"/>
      </rPr>
      <t>2</t>
    </r>
    <r>
      <rPr>
        <i/>
        <sz val="11"/>
        <color theme="1"/>
        <rFont val="Aptos Narrow"/>
        <family val="2"/>
        <scheme val="minor"/>
      </rPr>
      <t>t</t>
    </r>
    <r>
      <rPr>
        <sz val="7.7"/>
        <color theme="1"/>
        <rFont val="Aptos Narrow"/>
        <family val="2"/>
        <scheme val="minor"/>
      </rPr>
      <t>3</t>
    </r>
    <r>
      <rPr>
        <sz val="11"/>
        <color theme="1"/>
        <rFont val="Aptos Narrow"/>
        <family val="2"/>
        <scheme val="minor"/>
      </rPr>
      <t>+</t>
    </r>
    <r>
      <rPr>
        <i/>
        <sz val="11"/>
        <color theme="1"/>
        <rFont val="Aptos Narrow"/>
        <family val="2"/>
        <scheme val="minor"/>
      </rPr>
      <t>b</t>
    </r>
    <r>
      <rPr>
        <sz val="7.7"/>
        <color theme="1"/>
        <rFont val="Aptos Narrow"/>
        <family val="2"/>
        <scheme val="minor"/>
      </rPr>
      <t>123</t>
    </r>
    <r>
      <rPr>
        <i/>
        <sz val="11"/>
        <color theme="1"/>
        <rFont val="Aptos Narrow"/>
        <family val="2"/>
        <scheme val="minor"/>
      </rPr>
      <t>t</t>
    </r>
    <r>
      <rPr>
        <sz val="7.7"/>
        <color theme="1"/>
        <rFont val="Aptos Narrow"/>
        <family val="2"/>
        <scheme val="minor"/>
      </rPr>
      <t>1</t>
    </r>
    <r>
      <rPr>
        <i/>
        <sz val="11"/>
        <color theme="1"/>
        <rFont val="Aptos Narrow"/>
        <family val="2"/>
        <scheme val="minor"/>
      </rPr>
      <t>t</t>
    </r>
    <r>
      <rPr>
        <sz val="7.7"/>
        <color theme="1"/>
        <rFont val="Aptos Narrow"/>
        <family val="2"/>
        <scheme val="minor"/>
      </rPr>
      <t>2</t>
    </r>
    <r>
      <rPr>
        <i/>
        <sz val="11"/>
        <color theme="1"/>
        <rFont val="Aptos Narrow"/>
        <family val="2"/>
        <scheme val="minor"/>
      </rPr>
      <t>t</t>
    </r>
    <r>
      <rPr>
        <sz val="7.7"/>
        <color theme="1"/>
        <rFont val="Aptos Narrow"/>
        <family val="2"/>
        <scheme val="minor"/>
      </rPr>
      <t>3</t>
    </r>
  </si>
  <si>
    <t>t1*t2</t>
  </si>
  <si>
    <t>t1*t3</t>
  </si>
  <si>
    <t>t2*t3</t>
  </si>
  <si>
    <t>t1*t2*t3</t>
  </si>
  <si>
    <t>b0</t>
  </si>
  <si>
    <t>b1</t>
  </si>
  <si>
    <t>b2</t>
  </si>
  <si>
    <t>b3</t>
  </si>
  <si>
    <t>b12</t>
  </si>
  <si>
    <t>b13</t>
  </si>
  <si>
    <t>b23</t>
  </si>
  <si>
    <t>b123</t>
  </si>
  <si>
    <t>X =</t>
  </si>
  <si>
    <t xml:space="preserve">XT = </t>
  </si>
  <si>
    <t xml:space="preserve">transponovaná </t>
  </si>
  <si>
    <t>XT*Y=</t>
  </si>
  <si>
    <t>8X16</t>
  </si>
  <si>
    <t>b0=</t>
  </si>
  <si>
    <t>b1=</t>
  </si>
  <si>
    <t>b2=</t>
  </si>
  <si>
    <t>b3=</t>
  </si>
  <si>
    <t>b12=</t>
  </si>
  <si>
    <t>b13=</t>
  </si>
  <si>
    <t>b23=</t>
  </si>
  <si>
    <t>b123=</t>
  </si>
  <si>
    <t>bodové odhady koeficientov b</t>
  </si>
  <si>
    <t>N cyklov * 10^4</t>
  </si>
  <si>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</si>
  <si>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</si>
  <si>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</si>
  <si>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</si>
  <si>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</si>
  <si>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</si>
  <si>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</si>
  <si>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</si>
  <si>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Regression</t>
  </si>
  <si>
    <t>Residual</t>
  </si>
  <si>
    <t>Total</t>
  </si>
  <si>
    <t>Intercept</t>
  </si>
  <si>
    <t>df</t>
  </si>
  <si>
    <t>SS</t>
  </si>
  <si>
    <t>MS</t>
  </si>
  <si>
    <t>F</t>
  </si>
  <si>
    <t>Significance F</t>
  </si>
  <si>
    <t>Coefficients</t>
  </si>
  <si>
    <t>t Stat</t>
  </si>
  <si>
    <t>P-value</t>
  </si>
  <si>
    <t>Lower 95%</t>
  </si>
  <si>
    <t>Upper 95%</t>
  </si>
  <si>
    <t>Lower 95,0%</t>
  </si>
  <si>
    <t>Upper 95,0%</t>
  </si>
  <si>
    <t>Vsetky faktory a vsetky ich interakcie mozno povazovat na hladine vyznamnosti 0,05 za signifikantne okrem hodnôt váčších ako 0,05, tie nie sú štatisticky vyznamné</t>
  </si>
  <si>
    <t>*t1*t2+</t>
  </si>
  <si>
    <t>*t1*t2*t3</t>
  </si>
  <si>
    <t>*t2+</t>
  </si>
  <si>
    <t>+</t>
  </si>
  <si>
    <t>Kompletná rovnica s odhadovanými koeficientami transformovanej lineárnej regresnej funkcie</t>
  </si>
  <si>
    <t>Patrí</t>
  </si>
  <si>
    <t>patrí</t>
  </si>
  <si>
    <t>nepatrí</t>
  </si>
  <si>
    <t>alfa</t>
  </si>
  <si>
    <t>tkv,46(1 - alfa/2)</t>
  </si>
  <si>
    <t>W</t>
  </si>
  <si>
    <t>(-∞;</t>
  </si>
  <si>
    <t>)</t>
  </si>
  <si>
    <t>∪</t>
  </si>
  <si>
    <t>(</t>
  </si>
  <si>
    <t>; ∞)</t>
  </si>
  <si>
    <t>t0</t>
  </si>
  <si>
    <t xml:space="preserve"> =&gt;</t>
  </si>
  <si>
    <t>H0</t>
  </si>
  <si>
    <t>H1</t>
  </si>
  <si>
    <t>p</t>
  </si>
  <si>
    <t>IS</t>
  </si>
  <si>
    <t>;</t>
  </si>
  <si>
    <r>
      <t xml:space="preserve">H0: t1 =0 &gt;&lt; H1: t1 </t>
    </r>
    <r>
      <rPr>
        <sz val="11"/>
        <color theme="1"/>
        <rFont val="Aptos Narrow"/>
        <family val="2"/>
      </rPr>
      <t>≠</t>
    </r>
    <r>
      <rPr>
        <sz val="11"/>
        <color theme="1"/>
        <rFont val="Aptos Narrow"/>
        <family val="2"/>
        <charset val="238"/>
      </rPr>
      <t xml:space="preserve"> 0</t>
    </r>
  </si>
  <si>
    <r>
      <t xml:space="preserve">H0: t2 =0 &gt;&lt; H1: t2 </t>
    </r>
    <r>
      <rPr>
        <sz val="11"/>
        <color theme="1"/>
        <rFont val="Aptos Narrow"/>
        <family val="2"/>
      </rPr>
      <t>≠</t>
    </r>
    <r>
      <rPr>
        <sz val="11"/>
        <color theme="1"/>
        <rFont val="Aptos Narrow"/>
        <family val="2"/>
        <charset val="238"/>
      </rPr>
      <t xml:space="preserve"> 0</t>
    </r>
  </si>
  <si>
    <r>
      <t xml:space="preserve">H0: t3 =0 &gt;&lt; H1: t3 </t>
    </r>
    <r>
      <rPr>
        <sz val="11"/>
        <color theme="1"/>
        <rFont val="Aptos Narrow"/>
        <family val="2"/>
      </rPr>
      <t>≠</t>
    </r>
    <r>
      <rPr>
        <sz val="11"/>
        <color theme="1"/>
        <rFont val="Aptos Narrow"/>
        <family val="2"/>
        <charset val="238"/>
      </rPr>
      <t xml:space="preserve"> 0</t>
    </r>
  </si>
  <si>
    <r>
      <t xml:space="preserve">H0: t12 =0 &gt;&lt; H1: t12 </t>
    </r>
    <r>
      <rPr>
        <sz val="11"/>
        <color theme="1"/>
        <rFont val="Aptos Narrow"/>
        <family val="2"/>
      </rPr>
      <t>≠</t>
    </r>
    <r>
      <rPr>
        <sz val="11"/>
        <color theme="1"/>
        <rFont val="Aptos Narrow"/>
        <family val="2"/>
        <charset val="238"/>
      </rPr>
      <t xml:space="preserve"> 0</t>
    </r>
  </si>
  <si>
    <r>
      <t xml:space="preserve">H0: t13 =0 &gt;&lt; H1: t13 </t>
    </r>
    <r>
      <rPr>
        <sz val="11"/>
        <color theme="1"/>
        <rFont val="Aptos Narrow"/>
        <family val="2"/>
      </rPr>
      <t>≠</t>
    </r>
    <r>
      <rPr>
        <sz val="11"/>
        <color theme="1"/>
        <rFont val="Aptos Narrow"/>
        <family val="2"/>
        <charset val="238"/>
      </rPr>
      <t xml:space="preserve"> 0</t>
    </r>
  </si>
  <si>
    <r>
      <t xml:space="preserve">H0: t23 =0 &gt;&lt; H1: t23 </t>
    </r>
    <r>
      <rPr>
        <sz val="11"/>
        <color theme="1"/>
        <rFont val="Aptos Narrow"/>
        <family val="2"/>
      </rPr>
      <t>≠</t>
    </r>
    <r>
      <rPr>
        <sz val="11"/>
        <color theme="1"/>
        <rFont val="Aptos Narrow"/>
        <family val="2"/>
        <charset val="238"/>
      </rPr>
      <t xml:space="preserve"> 0</t>
    </r>
  </si>
  <si>
    <r>
      <t xml:space="preserve">H0: t123 =0 &gt;&lt; H1: t123 </t>
    </r>
    <r>
      <rPr>
        <sz val="11"/>
        <color theme="1"/>
        <rFont val="Aptos Narrow"/>
        <family val="2"/>
      </rPr>
      <t>≠</t>
    </r>
    <r>
      <rPr>
        <sz val="11"/>
        <color theme="1"/>
        <rFont val="Aptos Narrow"/>
        <family val="2"/>
        <charset val="238"/>
      </rPr>
      <t xml:space="preserve"> 0</t>
    </r>
  </si>
  <si>
    <t xml:space="preserve">t1 = 0 </t>
  </si>
  <si>
    <t xml:space="preserve">t2 = 0 </t>
  </si>
  <si>
    <t xml:space="preserve">t3 = 0 </t>
  </si>
  <si>
    <t xml:space="preserve">t12 = 0 </t>
  </si>
  <si>
    <t xml:space="preserve">t13 = 0 </t>
  </si>
  <si>
    <t xml:space="preserve">t23 = 0 </t>
  </si>
  <si>
    <t xml:space="preserve">t123 = 0 </t>
  </si>
  <si>
    <t>yLt(t1,t2,t3)=</t>
  </si>
  <si>
    <t>*t1</t>
  </si>
  <si>
    <t>*t3+</t>
  </si>
  <si>
    <t>*t1*t3</t>
  </si>
  <si>
    <t>*t2*t3</t>
  </si>
  <si>
    <t>*t1+</t>
  </si>
  <si>
    <t>*t3</t>
  </si>
  <si>
    <t>yLt(b1,b2,b3)=</t>
  </si>
  <si>
    <t>5. Regresná lineárna funkcia v nekódovaných jednotkách</t>
  </si>
  <si>
    <t>4. Upravená transformovaná regresná funkcia - lineárna</t>
  </si>
  <si>
    <t>2. Transformovaná regresná funkcia - lineárna</t>
  </si>
  <si>
    <t>1. C-plot</t>
  </si>
  <si>
    <t>6. R^2</t>
  </si>
  <si>
    <t>RSQ</t>
  </si>
  <si>
    <t>7. R^2 adj</t>
  </si>
  <si>
    <t>RSQadj1</t>
  </si>
  <si>
    <t>RSQadj2</t>
  </si>
  <si>
    <t xml:space="preserve">RSQadj2 </t>
  </si>
  <si>
    <t xml:space="preserve"> *t2+</t>
  </si>
  <si>
    <t xml:space="preserve"> *t3</t>
  </si>
  <si>
    <t>*(x1-7,5)/2,5</t>
  </si>
  <si>
    <t>*(x2-1500)/500</t>
  </si>
  <si>
    <t>po úprave:</t>
  </si>
  <si>
    <t>*x1</t>
  </si>
  <si>
    <t>*x2</t>
  </si>
  <si>
    <t>*x3</t>
  </si>
  <si>
    <t xml:space="preserve">yL(x1,x2,x3)= </t>
  </si>
  <si>
    <t>99,69% variability nameraných hodnôt pri životnosti ložísk vieme vysvetliť regresným modelom (regresnou funkciou lineárneho typu), iba 0,31% variability nameraných hodnôt zostalo modelom nevysvetlenej</t>
  </si>
  <si>
    <t>Hodnotiť kvalitu modelu iba podľa indexu determinácie nie je správne, pretože pridaním prediktorov (členov v regresnom modeli) vždy narastie. Väčšiu výpovednú hodnotu má pre nás upravený index determinácie v kapitole 7</t>
  </si>
  <si>
    <t>vyjadruje mieru zhody nameraných dát a fitovaných hodnôt (99,61%), ale zohľadňuje pritom počet členov (prediktorov) v modeli.</t>
  </si>
  <si>
    <t xml:space="preserve">vzhľadom na to že medzi R^2 a R^2adj nie je veľký rozdiel, naznačuje že v modeli nie je vysoký počet nevýznamných členov </t>
  </si>
  <si>
    <t>8. Predikcia</t>
  </si>
  <si>
    <t>RSQpred</t>
  </si>
  <si>
    <t>Rovnaký záver, týkajúci sa kvality regresného modelu, vyplýva aj z výstupu softvéru Minitab. Index determinácie R^2 = 99,69%, upravený index determinácie adj R^2 = 99,61%, ale tiež prediktívny index determinácie pred R2 = 99,45%, vyjadrujú kvalitu regresného modelu,</t>
  </si>
  <si>
    <t>V našom prípade môžeme hovoriť, že náš model vie v rámci experimentálneho priestoru veľmi dobre predikovať dáta.</t>
  </si>
  <si>
    <t xml:space="preserve"> - určuje ako presne vie model predikovať správnu hodnotu po odstránení údajov zo súboru dát</t>
  </si>
  <si>
    <t>9. F test</t>
  </si>
  <si>
    <t>F0=</t>
  </si>
  <si>
    <t>alfa =</t>
  </si>
  <si>
    <t xml:space="preserve">Fkv, 3, 12 (0,95) = </t>
  </si>
  <si>
    <t>W =</t>
  </si>
  <si>
    <t>;∞)</t>
  </si>
  <si>
    <t>H0: B1 = B2 = B3 = B12 = B13 = B23 = B123 = 0</t>
  </si>
  <si>
    <t>H1: B1 ≠0 ∨ B2 ≠0 ∨ B3 ≠0 ∨ B12 ≠0 ∨ B13 ≠0 ∨ B23 ≠0 ∨ B123 ≠ 0</t>
  </si>
  <si>
    <t xml:space="preserve"> - nie je štatisticky významný</t>
  </si>
  <si>
    <t xml:space="preserve"> - je štatisticky významný</t>
  </si>
  <si>
    <t xml:space="preserve">F0= </t>
  </si>
  <si>
    <t>∈</t>
  </si>
  <si>
    <t>F0</t>
  </si>
  <si>
    <t>F0   ∈    W</t>
  </si>
  <si>
    <t>H0 - zamietam</t>
  </si>
  <si>
    <t>H1 - nezamietam</t>
  </si>
  <si>
    <t>&lt;</t>
  </si>
  <si>
    <t>10. Lack of Fit</t>
  </si>
  <si>
    <t>Vzorový obrázok</t>
  </si>
  <si>
    <t>Meranie</t>
  </si>
  <si>
    <t>89,.8</t>
  </si>
  <si>
    <t>boli namerané tieto hodnoty:</t>
  </si>
  <si>
    <t>Pri teste Lack of fit testujeme adekvátnosť (dostatočnosť) regresného modelu. Vzhľadom na to, že merania boli robené iba na dvoch úrovniach, je potrebné doplniť opakované merania (zvyčajne 3-5) v centrálnom bode,</t>
  </si>
  <si>
    <t>No LOF – regresný model nie je nedostatočný.</t>
  </si>
  <si>
    <t>LOF – regresný model je nedostatočný.</t>
  </si>
  <si>
    <t>H0:</t>
  </si>
  <si>
    <t>H1:</t>
  </si>
  <si>
    <t>No.rep</t>
  </si>
  <si>
    <t>ypriem</t>
  </si>
  <si>
    <t>(y-yprim)^2</t>
  </si>
  <si>
    <t>devsq y</t>
  </si>
  <si>
    <t>LF</t>
  </si>
  <si>
    <t>PE</t>
  </si>
  <si>
    <t>RESIDUAL OUTPUT</t>
  </si>
  <si>
    <t>Observation</t>
  </si>
  <si>
    <t>Predicted Y</t>
  </si>
  <si>
    <t>Residuals</t>
  </si>
  <si>
    <t>Standard Residuals</t>
  </si>
  <si>
    <t>df pre PE</t>
  </si>
  <si>
    <t xml:space="preserve">F0 = </t>
  </si>
  <si>
    <t>1-F(F0)</t>
  </si>
  <si>
    <t xml:space="preserve"> </t>
  </si>
  <si>
    <t>H0-zamietam</t>
  </si>
  <si>
    <t>H1-nezamietam</t>
  </si>
  <si>
    <t>Na hladine významnosti 0,05 je možné prijať hypotézu o tom,</t>
  </si>
  <si>
    <t>že modej je dostatočne prispôsobivý (no LOF)</t>
  </si>
  <si>
    <t>11. Test krivosti</t>
  </si>
  <si>
    <t>H0: ∑ bjj = 0 (nie je potrebný kvadratický model) &gt;&lt; H1: ∑ bjj ≠ 0 (je potrebný kvadratický model)</t>
  </si>
  <si>
    <t>nc</t>
  </si>
  <si>
    <t>nf</t>
  </si>
  <si>
    <t>yc</t>
  </si>
  <si>
    <t>yf</t>
  </si>
  <si>
    <t>SSCPQ</t>
  </si>
  <si>
    <t>devsq yc</t>
  </si>
  <si>
    <t>12. Reziduá</t>
  </si>
  <si>
    <t>F(1,16)kv</t>
  </si>
  <si>
    <t>∉</t>
  </si>
  <si>
    <t>H0 - nezamietam</t>
  </si>
  <si>
    <t>H1 - zamietam</t>
  </si>
  <si>
    <t>&gt;</t>
  </si>
  <si>
    <t>Ilustračný obrázok</t>
  </si>
  <si>
    <t>Na hladine významnosti 0,05 je možné prijať hypotétu H0, čo znamená že nie je potrebný kvadratický model</t>
  </si>
  <si>
    <t>PROBABILITY OUTPUT</t>
  </si>
  <si>
    <t>Percentile</t>
  </si>
  <si>
    <t>14. F test dodatočného príspevku faktoru X1</t>
  </si>
  <si>
    <t>SSEred</t>
  </si>
  <si>
    <t>𝐻0: Dodatočný príspevok t1 vysvetľujúcej premennej na vysvetlenie variability vysvetľovanej premennej nie je štatisticky významný.</t>
  </si>
  <si>
    <t>𝐻1: Dodatočný príspevok t1 vysvetľujúcej premennej na vysvetlenie variability vysvetľovanej premennej je štatisticky významný.</t>
  </si>
  <si>
    <t>t1:</t>
  </si>
  <si>
    <t>Y predik s t1</t>
  </si>
  <si>
    <t>Y predik bez t1</t>
  </si>
  <si>
    <t>(delta s t1)^2</t>
  </si>
  <si>
    <t>(delta bez t1)^2</t>
  </si>
  <si>
    <t>SSEúpl</t>
  </si>
  <si>
    <t>SS:</t>
  </si>
  <si>
    <t>príspevok t1:</t>
  </si>
  <si>
    <t>prínos t1:</t>
  </si>
  <si>
    <t>SSR pre t1:</t>
  </si>
  <si>
    <t>SSE(t1):</t>
  </si>
  <si>
    <t>n- počet nameraných dát</t>
  </si>
  <si>
    <t>k- počet členov (prediktorov, vysvetľujúcich premenných) v úplnom regresnom modeli</t>
  </si>
  <si>
    <t>SSRúpln - suma štvorcov odchýlok od celkového priemeru</t>
  </si>
  <si>
    <t xml:space="preserve">SSRred -suma štvorcov odchýlok vysvetlená redukovaným regresným modelom </t>
  </si>
  <si>
    <t>F(1,12)kv=</t>
  </si>
  <si>
    <t>Na hranici významnosti 0,05 je značné, že dodatočný príspevok faktora t1 zlepšuje prispôsobenie modelu. Je vyhovujúce daný faktor ponechať.</t>
  </si>
  <si>
    <t>Koeficient t1, t2 a t3 sú štatisticky významné na hladine významnosti 0,05, a preto sa hypotéza o ich nulovej hodnote zamieta. Z regresného modelu sa vylúčia všetky koeficienty, ktoré možno považovať za nulové, pričom v modeli zostávajú koeficienty t1, t2 a t3</t>
  </si>
  <si>
    <t>3./13./15. t-testy faktorov</t>
  </si>
  <si>
    <t>16. Hlavné efekty</t>
  </si>
  <si>
    <t>A_t1</t>
  </si>
  <si>
    <t>B_t2</t>
  </si>
  <si>
    <t>C_t3</t>
  </si>
  <si>
    <t>ef(A)=</t>
  </si>
  <si>
    <t>hlavný efekt faktora A</t>
  </si>
  <si>
    <t>hlavný efekt faktora B</t>
  </si>
  <si>
    <t>ef(B)=</t>
  </si>
  <si>
    <t>hlavný efekt faktora C</t>
  </si>
  <si>
    <t>ef(C)=</t>
  </si>
  <si>
    <t>pre</t>
  </si>
  <si>
    <t>Hlavný efekt faktora "A"  je záporný, t.j. zvýšením záťažovej sily z dolnej na hornú úroveň faktora životnosť ložiska mierne klesá.</t>
  </si>
  <si>
    <t>Hlavný efekt faktora "B"  je záporný, t.j. zvýšením otáčok z dolnej na hornú úroveň faktora životnosť ložiska prudko klesá.</t>
  </si>
  <si>
    <t>Hlavný efekt faktora "C"  je záporný, t.j. so stúpajúcov teplotou z dolnej na hornú úroveň faktora životnosť ložiska mierne klesá. Je takmer priamo úmerná k sile</t>
  </si>
  <si>
    <t>17. Efekt interakcií sledovaných faktorov</t>
  </si>
  <si>
    <t>Efekt interakcie faktora A a B</t>
  </si>
  <si>
    <t>B</t>
  </si>
  <si>
    <t>A</t>
  </si>
  <si>
    <t>ef(AB)=</t>
  </si>
  <si>
    <t>Efekt interakcie faktora A a C</t>
  </si>
  <si>
    <t>C</t>
  </si>
  <si>
    <t>Efekt interakcie faktora B a C</t>
  </si>
  <si>
    <t>ef(AC)=</t>
  </si>
  <si>
    <t>ef(BC)=</t>
  </si>
  <si>
    <t>Všetky interakcie faktorov sú nezávieslé medzi sebou, neprebieha žiadna interakcia</t>
  </si>
  <si>
    <t>*(x3-75)/15</t>
  </si>
  <si>
    <t>Predicted Ykod</t>
  </si>
  <si>
    <t>Predicted Ypôv</t>
  </si>
  <si>
    <t>18. Predikcia pomocou získaného regresného modelu / 19. Kontrolné meranie</t>
  </si>
  <si>
    <t>20. Požadovaná odozva</t>
  </si>
  <si>
    <t xml:space="preserve">Ak je cieľom </t>
  </si>
  <si>
    <t>-  Vyššia požadovaná životnosť je vhodné, aby požadovaná odozva ležala v hornej časti rozsahu nameraných hodnôt.</t>
  </si>
  <si>
    <t xml:space="preserve"> - Vybalancovaná životnosť: konkrétne kombinácie sa určia dosadením do regresnej rovnice</t>
  </si>
  <si>
    <t xml:space="preserve"> - Nižšia požadovaná životnosť (Vyššia produktivita): vhodné je, ak požadovaná odozva zodpovedá nižšej časti rozsahu a častejšia výmena súčiastky je akceptovateľná.</t>
  </si>
  <si>
    <t>V prípade požadovanej odozvy Y = 100 (1 000 000 cyklov do porušenia ložiska), sa určia faktory pomocou riešiteľa</t>
  </si>
  <si>
    <t>úroveň faktora v kódovaných jednotkách</t>
  </si>
  <si>
    <t>úroveň faktora v pôvodných jednotkách</t>
  </si>
  <si>
    <t>kN</t>
  </si>
  <si>
    <t>ot/min</t>
  </si>
  <si>
    <t>°C</t>
  </si>
  <si>
    <t xml:space="preserve">Pomocou spätnej transformácie sa dosiahnú pôvodné hodnoty pre Y=100: </t>
  </si>
  <si>
    <t>F = 5,58 kN</t>
  </si>
  <si>
    <t>n = 1306 ot/min</t>
  </si>
  <si>
    <t>T = 75,34°C</t>
  </si>
  <si>
    <t>21. Excel-minitab</t>
  </si>
  <si>
    <t xml:space="preserve">excel </t>
  </si>
  <si>
    <t>minitab</t>
  </si>
  <si>
    <t>Úplný transformovaný regresný model</t>
  </si>
  <si>
    <t>Redukovaný transformovaný regresný model</t>
  </si>
  <si>
    <t>C - Plot</t>
  </si>
  <si>
    <r>
      <t>Koeficienty t</t>
    </r>
    <r>
      <rPr>
        <sz val="11"/>
        <color theme="1"/>
        <rFont val="Aptos Narrow"/>
        <family val="2"/>
        <scheme val="minor"/>
      </rPr>
      <t>12,t13,t23,t123</t>
    </r>
    <r>
      <rPr>
        <sz val="11"/>
        <color theme="1"/>
        <rFont val="Aptos Narrow"/>
        <family val="2"/>
        <scheme val="minor"/>
      </rPr>
      <t> nie sú štatisticky významné na hladine významnosti 0,05, preto hypotézu o ich rovnosti s nulou možno považovať za prijatú.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</si>
</sst>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charset val="238"/>
      <scheme val="minor"/>
    </font>
    <font>
      <sz val="11"/>
      <color rgb="FF00B050"/>
      <name val="Aptos Narrow"/>
      <family val="2"/>
      <charset val="238"/>
      <scheme val="minor"/>
    </font>
    <font>
      <i/>
      <sz val="11"/>
      <color theme="1"/>
      <name val="Aptos Narrow"/>
      <family val="2"/>
      <scheme val="minor"/>
    </font>
    <font>
      <sz val="7.7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5" tint="0.39997558519241921"/>
      <name val="Aptos Narrow"/>
      <family val="2"/>
      <scheme val="minor"/>
    </font>
    <font>
      <sz val="12"/>
      <name val="Arial"/>
      <family val="2"/>
      <charset val="238"/>
    </font>
    <font>
      <sz val="11"/>
      <color theme="1"/>
      <name val="Aptos Narrow"/>
      <family val="2"/>
    </font>
    <font>
      <sz val="11"/>
      <color theme="1"/>
      <name val="Aptos Narrow"/>
      <family val="2"/>
      <charset val="238"/>
    </font>
    <font>
      <sz val="11"/>
      <name val="Aptos Narrow"/>
      <family val="2"/>
      <charset val="238"/>
      <scheme val="minor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u/>
      <sz val="11"/>
      <color theme="10"/>
      <name val="Aptos Narrow"/>
      <family val="2"/>
      <scheme val="minor"/>
    </font>
    <font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2"/>
        <bgColor indexed="64"/>
      </patternFill>
    </fill>
  </fills>
  <borders count="20">
    <border>
      <left/>
      <right/>
      <top/>
      <bottom/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DDDDDD"/>
      </left>
      <right/>
      <top style="medium">
        <color rgb="FFDDDDDD"/>
      </top>
      <bottom style="medium">
        <color rgb="FFDDDDDD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rgb="FFDDDDDD"/>
      </left>
      <right/>
      <top/>
      <bottom/>
      <diagonal/>
    </border>
    <border>
      <left style="medium">
        <color rgb="FFDDDDDD"/>
      </left>
      <right/>
      <top style="medium">
        <color rgb="FFDDDDDD"/>
      </top>
      <bottom/>
      <diagonal/>
    </border>
  </borders>
  <cellStyleXfs count="3">
    <xf numFmtId="0" fontId="0" fillId="0" borderId="0"/>
    <xf numFmtId="0" fontId="3" fillId="0" borderId="0"/>
    <xf numFmtId="0" fontId="16" fillId="0" borderId="0" applyNumberFormat="0" applyFill="0" applyBorder="0" applyAlignment="0" applyProtection="0"/>
  </cellStyleXfs>
  <cellXfs count="69">
    <xf numFmtId="0" fontId="0" fillId="0" borderId="0" xfId="0"/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7" fillId="0" borderId="0" xfId="0" applyFont="1"/>
    <xf numFmtId="0" fontId="0" fillId="0" borderId="0" xfId="1" applyFont="1"/>
    <xf numFmtId="9" fontId="0" fillId="3" borderId="0" xfId="1" applyNumberFormat="1" applyFont="1" applyFill="1" applyAlignment="1">
      <alignment horizontal="left"/>
    </xf>
    <xf numFmtId="0" fontId="2" fillId="2" borderId="1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1" fillId="0" borderId="0" xfId="0" applyFont="1"/>
    <xf numFmtId="0" fontId="0" fillId="0" borderId="16" xfId="0" applyBorder="1"/>
    <xf numFmtId="0" fontId="5" fillId="0" borderId="15" xfId="0" applyFont="1" applyBorder="1" applyAlignment="1">
      <alignment horizontal="center"/>
    </xf>
    <xf numFmtId="0" fontId="5" fillId="0" borderId="15" xfId="0" applyFont="1" applyBorder="1" applyAlignment="1">
      <alignment horizontal="centerContinuous"/>
    </xf>
    <xf numFmtId="0" fontId="1" fillId="0" borderId="16" xfId="0" applyFont="1" applyBorder="1"/>
    <xf numFmtId="0" fontId="9" fillId="0" borderId="0" xfId="0" applyFont="1"/>
    <xf numFmtId="0" fontId="4" fillId="0" borderId="0" xfId="0" applyFont="1"/>
    <xf numFmtId="0" fontId="0" fillId="0" borderId="0" xfId="0" applyAlignment="1">
      <alignment horizontal="right"/>
    </xf>
    <xf numFmtId="0" fontId="0" fillId="0" borderId="17" xfId="0" applyBorder="1"/>
    <xf numFmtId="0" fontId="10" fillId="0" borderId="0" xfId="0" applyFont="1"/>
    <xf numFmtId="0" fontId="0" fillId="0" borderId="17" xfId="0" applyBorder="1" applyAlignment="1">
      <alignment horizontal="left"/>
    </xf>
    <xf numFmtId="0" fontId="0" fillId="0" borderId="0" xfId="0" applyAlignment="1">
      <alignment horizontal="left"/>
    </xf>
    <xf numFmtId="0" fontId="11" fillId="0" borderId="17" xfId="0" applyFont="1" applyBorder="1"/>
    <xf numFmtId="0" fontId="11" fillId="0" borderId="0" xfId="0" applyFont="1"/>
    <xf numFmtId="0" fontId="0" fillId="0" borderId="17" xfId="0" applyBorder="1" applyAlignment="1">
      <alignment horizontal="right"/>
    </xf>
    <xf numFmtId="0" fontId="2" fillId="0" borderId="0" xfId="0" applyFont="1"/>
    <xf numFmtId="0" fontId="13" fillId="0" borderId="17" xfId="0" applyFont="1" applyBorder="1" applyAlignment="1">
      <alignment horizontal="right"/>
    </xf>
    <xf numFmtId="0" fontId="13" fillId="0" borderId="0" xfId="0" applyFont="1"/>
    <xf numFmtId="0" fontId="13" fillId="0" borderId="0" xfId="0" applyFont="1" applyAlignment="1">
      <alignment horizontal="right"/>
    </xf>
    <xf numFmtId="3" fontId="0" fillId="0" borderId="0" xfId="0" applyNumberFormat="1"/>
    <xf numFmtId="10" fontId="0" fillId="0" borderId="0" xfId="0" applyNumberFormat="1"/>
    <xf numFmtId="2" fontId="0" fillId="0" borderId="0" xfId="0" applyNumberFormat="1"/>
    <xf numFmtId="0" fontId="14" fillId="2" borderId="1" xfId="0" applyFont="1" applyFill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18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0" fillId="0" borderId="13" xfId="0" applyBorder="1"/>
    <xf numFmtId="0" fontId="0" fillId="0" borderId="14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8" xfId="0" applyBorder="1"/>
    <xf numFmtId="0" fontId="0" fillId="0" borderId="10" xfId="0" applyBorder="1"/>
    <xf numFmtId="0" fontId="0" fillId="0" borderId="7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6" xfId="0" applyBorder="1"/>
    <xf numFmtId="0" fontId="0" fillId="0" borderId="5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2" fillId="2" borderId="19" xfId="0" applyFont="1" applyFill="1" applyBorder="1" applyAlignment="1">
      <alignment horizontal="left" vertical="center" wrapText="1"/>
    </xf>
    <xf numFmtId="0" fontId="0" fillId="0" borderId="14" xfId="0" applyBorder="1" applyAlignment="1">
      <alignment horizontal="center"/>
    </xf>
    <xf numFmtId="0" fontId="0" fillId="0" borderId="14" xfId="0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17" fillId="0" borderId="0" xfId="0" applyFont="1"/>
    <xf numFmtId="0" fontId="16" fillId="0" borderId="0" xfId="2"/>
    <xf numFmtId="0" fontId="0" fillId="0" borderId="14" xfId="0" applyBorder="1" applyAlignment="1">
      <alignment horizontal="center" vertical="center"/>
    </xf>
  </cellXfs>
  <cellStyles count="3">
    <cellStyle name="Hypertextové prepojenie" xfId="2" builtinId="8"/>
    <cellStyle name="Normálna" xfId="0" builtinId="0"/>
    <cellStyle name="Normálna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sk-SK"/>
              <a:t>t1  Residual Plot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8.0679172117494397E-2"/>
          <c:y val="0.16539476226441605"/>
          <c:w val="0.88733225599326393"/>
          <c:h val="0.69538756081710085"/>
        </c:manualLayout>
      </c:layout>
      <c:scatterChart>
        <c:scatterStyle val="lineMarker"/>
        <c:varyColors val="0"/>
        <c:ser>
          <c:idx val="0"/>
          <c:order val="0"/>
          <c:spPr>
            <a:ln w="38100">
              <a:noFill/>
            </a:ln>
          </c:spPr>
          <c:xVal>
            <c:numRef>
              <c:f>'2'!$H$184:$H$204</c:f>
              <c:numCache>
                <c:formatCode>General</c:formatCode>
                <c:ptCount val="21"/>
                <c:pt idx="0">
                  <c:v>-1</c:v>
                </c:pt>
                <c:pt idx="1">
                  <c:v>-1</c:v>
                </c:pt>
                <c:pt idx="2">
                  <c:v>-1</c:v>
                </c:pt>
                <c:pt idx="3">
                  <c:v>-1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-1</c:v>
                </c:pt>
                <c:pt idx="9">
                  <c:v>-1</c:v>
                </c:pt>
                <c:pt idx="10">
                  <c:v>-1</c:v>
                </c:pt>
                <c:pt idx="11">
                  <c:v>-1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xVal>
          <c:yVal>
            <c:numRef>
              <c:f>'2'!$C$265:$C$285</c:f>
              <c:numCache>
                <c:formatCode>General</c:formatCode>
                <c:ptCount val="21"/>
                <c:pt idx="0">
                  <c:v>8.0952380952382441E-2</c:v>
                </c:pt>
                <c:pt idx="1">
                  <c:v>-0.91904761904761756</c:v>
                </c:pt>
                <c:pt idx="2">
                  <c:v>-0.91904761904761756</c:v>
                </c:pt>
                <c:pt idx="3">
                  <c:v>-1.9190476190476176</c:v>
                </c:pt>
                <c:pt idx="4">
                  <c:v>-0.91904761904761756</c:v>
                </c:pt>
                <c:pt idx="5">
                  <c:v>-1.9190476190476176</c:v>
                </c:pt>
                <c:pt idx="6">
                  <c:v>-1.9190476190476176</c:v>
                </c:pt>
                <c:pt idx="7">
                  <c:v>-2.9190476190476176</c:v>
                </c:pt>
                <c:pt idx="8">
                  <c:v>-1.9190476190476176</c:v>
                </c:pt>
                <c:pt idx="9">
                  <c:v>-2.9190476190476176</c:v>
                </c:pt>
                <c:pt idx="10">
                  <c:v>-2.9190476190476176</c:v>
                </c:pt>
                <c:pt idx="11">
                  <c:v>8.0952380952382441E-2</c:v>
                </c:pt>
                <c:pt idx="12">
                  <c:v>-2.9190476190476176</c:v>
                </c:pt>
                <c:pt idx="13">
                  <c:v>8.0952380952382441E-2</c:v>
                </c:pt>
                <c:pt idx="14">
                  <c:v>8.0952380952382441E-2</c:v>
                </c:pt>
                <c:pt idx="15">
                  <c:v>-0.91904761904761756</c:v>
                </c:pt>
                <c:pt idx="16">
                  <c:v>5.5809523809523824</c:v>
                </c:pt>
                <c:pt idx="17">
                  <c:v>4.0809523809523824</c:v>
                </c:pt>
                <c:pt idx="18">
                  <c:v>5.0809523809523824</c:v>
                </c:pt>
                <c:pt idx="19">
                  <c:v>3.3809523809523796</c:v>
                </c:pt>
                <c:pt idx="20">
                  <c:v>4.5809523809523824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3E2-434C-9189-7897D4E31E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58984048"/>
        <c:axId val="1158985968"/>
      </c:scatterChart>
      <c:valAx>
        <c:axId val="11589840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t1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158985968"/>
        <c:crosses val="autoZero"/>
        <c:crossBetween val="midCat"/>
      </c:valAx>
      <c:valAx>
        <c:axId val="115898596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Residuals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158984048"/>
        <c:crosses val="autoZero"/>
        <c:crossBetween val="midCat"/>
      </c:valAx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/>
              <a:t>hlavný efekt faktora C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>
        <c:manualLayout>
          <c:layoutTarget val="inner"/>
          <c:xMode val="edge"/>
          <c:yMode val="edge"/>
          <c:x val="4.7048556430446191E-2"/>
          <c:y val="0.16749999999999998"/>
          <c:w val="0.90062215171101545"/>
          <c:h val="0.66528579760863227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'2'!$F$372:$F$373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xVal>
          <c:yVal>
            <c:numRef>
              <c:f>'2'!$G$372:$G$373</c:f>
              <c:numCache>
                <c:formatCode>General</c:formatCode>
                <c:ptCount val="2"/>
                <c:pt idx="0">
                  <c:v>97</c:v>
                </c:pt>
                <c:pt idx="1">
                  <c:v>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647-46BE-97DE-3B07435956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4128575"/>
        <c:axId val="894129535"/>
      </c:scatterChart>
      <c:valAx>
        <c:axId val="89412857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Prevádzkova teplota v tvare faktora C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894129535"/>
        <c:crosses val="autoZero"/>
        <c:crossBetween val="midCat"/>
      </c:valAx>
      <c:valAx>
        <c:axId val="8941295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Počet cyklov</a:t>
                </a:r>
                <a:endParaRPr lang="sk-SK" baseline="0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89412857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/>
              <a:t>Efekt interakcie</a:t>
            </a:r>
            <a:r>
              <a:rPr lang="sk-SK" baseline="0"/>
              <a:t> faktorov A a B</a:t>
            </a:r>
            <a:endParaRPr lang="sk-SK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'2'!$C$387</c:f>
              <c:strCache>
                <c:ptCount val="1"/>
                <c:pt idx="0">
                  <c:v>-1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'2'!$D$386:$E$386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xVal>
          <c:yVal>
            <c:numRef>
              <c:f>'2'!$D$387:$E$387</c:f>
              <c:numCache>
                <c:formatCode>General</c:formatCode>
                <c:ptCount val="2"/>
                <c:pt idx="0">
                  <c:v>106.5</c:v>
                </c:pt>
                <c:pt idx="1">
                  <c:v>77.5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FBA-4355-9BEC-174F212D0D02}"/>
            </c:ext>
          </c:extLst>
        </c:ser>
        <c:ser>
          <c:idx val="1"/>
          <c:order val="1"/>
          <c:tx>
            <c:strRef>
              <c:f>'2'!$C$388</c:f>
              <c:strCache>
                <c:ptCount val="1"/>
                <c:pt idx="0">
                  <c:v>1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'2'!$D$386:$E$386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xVal>
          <c:yVal>
            <c:numRef>
              <c:f>'2'!$D$388:$E$388</c:f>
              <c:numCache>
                <c:formatCode>General</c:formatCode>
                <c:ptCount val="2"/>
                <c:pt idx="0">
                  <c:v>92.5</c:v>
                </c:pt>
                <c:pt idx="1">
                  <c:v>63.5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FBA-4355-9BEC-174F212D0D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4061375"/>
        <c:axId val="894061855"/>
      </c:scatterChart>
      <c:valAx>
        <c:axId val="89406137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Zaťaženie ložiska v tvare faktora A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894061855"/>
        <c:crosses val="autoZero"/>
        <c:crossBetween val="midCat"/>
      </c:valAx>
      <c:valAx>
        <c:axId val="894061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Priemerný počet cyklov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89406137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/>
              <a:t>Efekt interakcie</a:t>
            </a:r>
            <a:r>
              <a:rPr lang="sk-SK" baseline="0"/>
              <a:t> faktorov A a B</a:t>
            </a:r>
            <a:endParaRPr lang="sk-SK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'2'!$D$386</c:f>
              <c:strCache>
                <c:ptCount val="1"/>
                <c:pt idx="0">
                  <c:v>-1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'2'!$C$387:$C$388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xVal>
          <c:yVal>
            <c:numRef>
              <c:f>'2'!$D$387:$D$388</c:f>
              <c:numCache>
                <c:formatCode>General</c:formatCode>
                <c:ptCount val="2"/>
                <c:pt idx="0">
                  <c:v>106.5</c:v>
                </c:pt>
                <c:pt idx="1">
                  <c:v>92.5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C6D-4893-9FCC-40BFFCC634C8}"/>
            </c:ext>
          </c:extLst>
        </c:ser>
        <c:ser>
          <c:idx val="1"/>
          <c:order val="1"/>
          <c:tx>
            <c:strRef>
              <c:f>'2'!$E$386</c:f>
              <c:strCache>
                <c:ptCount val="1"/>
                <c:pt idx="0">
                  <c:v>1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'2'!$C$387:$C$388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xVal>
          <c:yVal>
            <c:numRef>
              <c:f>'2'!$E$387:$E$388</c:f>
              <c:numCache>
                <c:formatCode>General</c:formatCode>
                <c:ptCount val="2"/>
                <c:pt idx="0">
                  <c:v>77.5</c:v>
                </c:pt>
                <c:pt idx="1">
                  <c:v>63.5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C6D-4893-9FCC-40BFFCC634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4061375"/>
        <c:axId val="894061855"/>
      </c:scatterChart>
      <c:valAx>
        <c:axId val="89406137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Počet otáčok v tvare faktora B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894061855"/>
        <c:crosses val="autoZero"/>
        <c:crossBetween val="midCat"/>
      </c:valAx>
      <c:valAx>
        <c:axId val="894061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Priemerný počet cyklov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89406137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/>
              <a:t>Efekt interakcie</a:t>
            </a:r>
            <a:r>
              <a:rPr lang="sk-SK" baseline="0"/>
              <a:t> faktorov A a C</a:t>
            </a:r>
            <a:endParaRPr lang="sk-SK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'2'!$C$395</c:f>
              <c:strCache>
                <c:ptCount val="1"/>
                <c:pt idx="0">
                  <c:v>-1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'2'!$D$394:$E$394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xVal>
          <c:yVal>
            <c:numRef>
              <c:f>'2'!$D$395:$E$395</c:f>
              <c:numCache>
                <c:formatCode>General</c:formatCode>
                <c:ptCount val="2"/>
                <c:pt idx="0">
                  <c:v>111.5</c:v>
                </c:pt>
                <c:pt idx="1">
                  <c:v>82.5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D39-445D-B526-93129F22EBC3}"/>
            </c:ext>
          </c:extLst>
        </c:ser>
        <c:ser>
          <c:idx val="1"/>
          <c:order val="1"/>
          <c:tx>
            <c:strRef>
              <c:f>'2'!$C$396</c:f>
              <c:strCache>
                <c:ptCount val="1"/>
                <c:pt idx="0">
                  <c:v>1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'2'!$D$394:$E$394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xVal>
          <c:yVal>
            <c:numRef>
              <c:f>'2'!$D$396:$E$396</c:f>
              <c:numCache>
                <c:formatCode>General</c:formatCode>
                <c:ptCount val="2"/>
                <c:pt idx="0">
                  <c:v>87.5</c:v>
                </c:pt>
                <c:pt idx="1">
                  <c:v>58.5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D39-445D-B526-93129F22EB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4061375"/>
        <c:axId val="894061855"/>
      </c:scatterChart>
      <c:valAx>
        <c:axId val="89406137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Zaťaženie ložiska v tvare faktora A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894061855"/>
        <c:crosses val="autoZero"/>
        <c:crossBetween val="midCat"/>
      </c:valAx>
      <c:valAx>
        <c:axId val="894061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Priemerný počet cyklov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89406137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/>
              <a:t>Efekt interakcie</a:t>
            </a:r>
            <a:r>
              <a:rPr lang="sk-SK" baseline="0"/>
              <a:t> faktorov A a C</a:t>
            </a:r>
            <a:endParaRPr lang="sk-SK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'2'!$D$394</c:f>
              <c:strCache>
                <c:ptCount val="1"/>
                <c:pt idx="0">
                  <c:v>-1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'2'!$C$395:$C$396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xVal>
          <c:yVal>
            <c:numRef>
              <c:f>'2'!$D$395:$D$396</c:f>
              <c:numCache>
                <c:formatCode>General</c:formatCode>
                <c:ptCount val="2"/>
                <c:pt idx="0">
                  <c:v>111.5</c:v>
                </c:pt>
                <c:pt idx="1">
                  <c:v>87.5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A30-40BC-BF91-CDEC332280B1}"/>
            </c:ext>
          </c:extLst>
        </c:ser>
        <c:ser>
          <c:idx val="1"/>
          <c:order val="1"/>
          <c:tx>
            <c:strRef>
              <c:f>'2'!$E$394</c:f>
              <c:strCache>
                <c:ptCount val="1"/>
                <c:pt idx="0">
                  <c:v>1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'2'!$C$395:$C$396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xVal>
          <c:yVal>
            <c:numRef>
              <c:f>'2'!$E$395:$E$396</c:f>
              <c:numCache>
                <c:formatCode>General</c:formatCode>
                <c:ptCount val="2"/>
                <c:pt idx="0">
                  <c:v>82.5</c:v>
                </c:pt>
                <c:pt idx="1">
                  <c:v>58.5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A30-40BC-BF91-CDEC33228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4061375"/>
        <c:axId val="894061855"/>
      </c:scatterChart>
      <c:valAx>
        <c:axId val="89406137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Prevádzkova</a:t>
                </a:r>
                <a:r>
                  <a:rPr lang="sk-SK" baseline="0"/>
                  <a:t> teplota </a:t>
                </a:r>
                <a:r>
                  <a:rPr lang="sk-SK"/>
                  <a:t>v tvare faktora C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894061855"/>
        <c:crosses val="autoZero"/>
        <c:crossBetween val="midCat"/>
      </c:valAx>
      <c:valAx>
        <c:axId val="894061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Priemerný počet cyklov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89406137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/>
              <a:t>Efekt interakcie</a:t>
            </a:r>
            <a:r>
              <a:rPr lang="sk-SK" baseline="0"/>
              <a:t> faktorov B a C</a:t>
            </a:r>
            <a:endParaRPr lang="sk-SK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'2'!$C$403</c:f>
              <c:strCache>
                <c:ptCount val="1"/>
                <c:pt idx="0">
                  <c:v>-1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'2'!$D$402:$E$402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xVal>
          <c:yVal>
            <c:numRef>
              <c:f>'2'!$D$403:$E$403</c:f>
              <c:numCache>
                <c:formatCode>General</c:formatCode>
                <c:ptCount val="2"/>
                <c:pt idx="0">
                  <c:v>104</c:v>
                </c:pt>
                <c:pt idx="1">
                  <c:v>90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74E-4C1C-B251-C8558BCBF892}"/>
            </c:ext>
          </c:extLst>
        </c:ser>
        <c:ser>
          <c:idx val="1"/>
          <c:order val="1"/>
          <c:tx>
            <c:strRef>
              <c:f>'2'!$C$404</c:f>
              <c:strCache>
                <c:ptCount val="1"/>
                <c:pt idx="0">
                  <c:v>1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'2'!$D$402:$E$402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xVal>
          <c:yVal>
            <c:numRef>
              <c:f>'2'!$D$404:$E$404</c:f>
              <c:numCache>
                <c:formatCode>General</c:formatCode>
                <c:ptCount val="2"/>
                <c:pt idx="0">
                  <c:v>80</c:v>
                </c:pt>
                <c:pt idx="1">
                  <c:v>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74E-4C1C-B251-C8558BCBF8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4061375"/>
        <c:axId val="894061855"/>
      </c:scatterChart>
      <c:valAx>
        <c:axId val="89406137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Počet otáčok v tvare faktora B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894061855"/>
        <c:crosses val="autoZero"/>
        <c:crossBetween val="midCat"/>
      </c:valAx>
      <c:valAx>
        <c:axId val="894061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Priemerný počet cyklov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89406137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/>
              <a:t>Efekt interakcie</a:t>
            </a:r>
            <a:r>
              <a:rPr lang="sk-SK" baseline="0"/>
              <a:t> faktorov B a C</a:t>
            </a:r>
            <a:endParaRPr lang="sk-SK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'2'!$D$402</c:f>
              <c:strCache>
                <c:ptCount val="1"/>
                <c:pt idx="0">
                  <c:v>-1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'2'!$C$403:$C$404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xVal>
          <c:yVal>
            <c:numRef>
              <c:f>'2'!$D$403:$D$404</c:f>
              <c:numCache>
                <c:formatCode>General</c:formatCode>
                <c:ptCount val="2"/>
                <c:pt idx="0">
                  <c:v>104</c:v>
                </c:pt>
                <c:pt idx="1">
                  <c:v>80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730-4632-8A80-C0B1D0D0D085}"/>
            </c:ext>
          </c:extLst>
        </c:ser>
        <c:ser>
          <c:idx val="1"/>
          <c:order val="1"/>
          <c:tx>
            <c:strRef>
              <c:f>'2'!$E$402</c:f>
              <c:strCache>
                <c:ptCount val="1"/>
                <c:pt idx="0">
                  <c:v>1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'2'!$C$403:$C$404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xVal>
          <c:yVal>
            <c:numRef>
              <c:f>'2'!$E$403:$E$404</c:f>
              <c:numCache>
                <c:formatCode>General</c:formatCode>
                <c:ptCount val="2"/>
                <c:pt idx="0">
                  <c:v>90</c:v>
                </c:pt>
                <c:pt idx="1">
                  <c:v>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730-4632-8A80-C0B1D0D0D0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4061375"/>
        <c:axId val="894061855"/>
      </c:scatterChart>
      <c:valAx>
        <c:axId val="89406137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Prevádzkova teplota v tvare faktora 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894061855"/>
        <c:crosses val="autoZero"/>
        <c:crossBetween val="midCat"/>
      </c:valAx>
      <c:valAx>
        <c:axId val="894061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Priemerný počet cyklov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89406137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/>
              <a:t>S centralnými bodmi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'2'!$E$418</c:f>
              <c:strCache>
                <c:ptCount val="1"/>
                <c:pt idx="0">
                  <c:v>Predicted Ykod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8.0932852143482059E-2"/>
                  <c:y val="-0.1046507728200641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sk-SK"/>
                </a:p>
              </c:txPr>
            </c:trendlineLbl>
          </c:trendline>
          <c:xVal>
            <c:numRef>
              <c:f>'2'!$D$419:$D$439</c:f>
              <c:numCache>
                <c:formatCode>General</c:formatCode>
                <c:ptCount val="21"/>
                <c:pt idx="0">
                  <c:v>120</c:v>
                </c:pt>
                <c:pt idx="1">
                  <c:v>95</c:v>
                </c:pt>
                <c:pt idx="2">
                  <c:v>105</c:v>
                </c:pt>
                <c:pt idx="3">
                  <c:v>80</c:v>
                </c:pt>
                <c:pt idx="4">
                  <c:v>90</c:v>
                </c:pt>
                <c:pt idx="5">
                  <c:v>65</c:v>
                </c:pt>
                <c:pt idx="6">
                  <c:v>75</c:v>
                </c:pt>
                <c:pt idx="7">
                  <c:v>50</c:v>
                </c:pt>
                <c:pt idx="8">
                  <c:v>118</c:v>
                </c:pt>
                <c:pt idx="9">
                  <c:v>93</c:v>
                </c:pt>
                <c:pt idx="10">
                  <c:v>103</c:v>
                </c:pt>
                <c:pt idx="11">
                  <c:v>82</c:v>
                </c:pt>
                <c:pt idx="12">
                  <c:v>88</c:v>
                </c:pt>
                <c:pt idx="13">
                  <c:v>67</c:v>
                </c:pt>
                <c:pt idx="14">
                  <c:v>77</c:v>
                </c:pt>
                <c:pt idx="15">
                  <c:v>52</c:v>
                </c:pt>
                <c:pt idx="16">
                  <c:v>92</c:v>
                </c:pt>
                <c:pt idx="17">
                  <c:v>90.5</c:v>
                </c:pt>
                <c:pt idx="18">
                  <c:v>91.5</c:v>
                </c:pt>
                <c:pt idx="19">
                  <c:v>89.8</c:v>
                </c:pt>
                <c:pt idx="20">
                  <c:v>91</c:v>
                </c:pt>
              </c:numCache>
            </c:numRef>
          </c:xVal>
          <c:yVal>
            <c:numRef>
              <c:f>'2'!$E$419:$E$439</c:f>
              <c:numCache>
                <c:formatCode>General</c:formatCode>
                <c:ptCount val="21"/>
                <c:pt idx="0">
                  <c:v>119.9190476190476</c:v>
                </c:pt>
                <c:pt idx="1">
                  <c:v>95.919047619047603</c:v>
                </c:pt>
                <c:pt idx="2">
                  <c:v>105.9190476190476</c:v>
                </c:pt>
                <c:pt idx="3">
                  <c:v>81.919047619047603</c:v>
                </c:pt>
                <c:pt idx="4">
                  <c:v>90.919047619047603</c:v>
                </c:pt>
                <c:pt idx="5">
                  <c:v>66.919047619047603</c:v>
                </c:pt>
                <c:pt idx="6">
                  <c:v>76.919047619047603</c:v>
                </c:pt>
                <c:pt idx="7">
                  <c:v>52.919047619047603</c:v>
                </c:pt>
                <c:pt idx="8">
                  <c:v>119.9190476190476</c:v>
                </c:pt>
                <c:pt idx="9">
                  <c:v>95.919047619047603</c:v>
                </c:pt>
                <c:pt idx="10">
                  <c:v>105.9190476190476</c:v>
                </c:pt>
                <c:pt idx="11">
                  <c:v>81.919047619047603</c:v>
                </c:pt>
                <c:pt idx="12">
                  <c:v>90.919047619047603</c:v>
                </c:pt>
                <c:pt idx="13">
                  <c:v>66.919047619047603</c:v>
                </c:pt>
                <c:pt idx="14">
                  <c:v>76.919047619047603</c:v>
                </c:pt>
                <c:pt idx="15">
                  <c:v>52.919047619047603</c:v>
                </c:pt>
                <c:pt idx="16">
                  <c:v>86.419047619047603</c:v>
                </c:pt>
                <c:pt idx="17">
                  <c:v>86.419047619047603</c:v>
                </c:pt>
                <c:pt idx="18">
                  <c:v>86.419047619047603</c:v>
                </c:pt>
                <c:pt idx="19">
                  <c:v>86.419047619047603</c:v>
                </c:pt>
                <c:pt idx="20">
                  <c:v>86.419047619047603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F20-4BA0-8D42-31B6A9F12A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46695567"/>
        <c:axId val="1346696047"/>
      </c:scatterChart>
      <c:valAx>
        <c:axId val="13466955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Namerané hodnoty Y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346696047"/>
        <c:crosses val="autoZero"/>
        <c:crossBetween val="midCat"/>
      </c:valAx>
      <c:valAx>
        <c:axId val="13466960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Predikované hodnoty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34669556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/>
              <a:t>Bez</a:t>
            </a:r>
            <a:r>
              <a:rPr lang="sk-SK" baseline="0"/>
              <a:t> centralných bodov</a:t>
            </a:r>
          </a:p>
          <a:p>
            <a:pPr>
              <a:defRPr/>
            </a:pP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>
        <c:manualLayout>
          <c:layoutTarget val="inner"/>
          <c:xMode val="edge"/>
          <c:yMode val="edge"/>
          <c:x val="0.11524759405074368"/>
          <c:y val="0.19527777777777777"/>
          <c:w val="0.78271460369981749"/>
          <c:h val="0.63066708327356247"/>
        </c:manualLayout>
      </c:layout>
      <c:scatterChart>
        <c:scatterStyle val="lineMarker"/>
        <c:varyColors val="0"/>
        <c:ser>
          <c:idx val="0"/>
          <c:order val="0"/>
          <c:tx>
            <c:strRef>
              <c:f>'2'!$E$418</c:f>
              <c:strCache>
                <c:ptCount val="1"/>
                <c:pt idx="0">
                  <c:v>Predicted Ykod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1156977252843395"/>
                  <c:y val="-0.1287627588218139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sk-SK"/>
                </a:p>
              </c:txPr>
            </c:trendlineLbl>
          </c:trendline>
          <c:xVal>
            <c:numRef>
              <c:f>'2'!$D$419:$D$434</c:f>
              <c:numCache>
                <c:formatCode>General</c:formatCode>
                <c:ptCount val="16"/>
                <c:pt idx="0">
                  <c:v>120</c:v>
                </c:pt>
                <c:pt idx="1">
                  <c:v>95</c:v>
                </c:pt>
                <c:pt idx="2">
                  <c:v>105</c:v>
                </c:pt>
                <c:pt idx="3">
                  <c:v>80</c:v>
                </c:pt>
                <c:pt idx="4">
                  <c:v>90</c:v>
                </c:pt>
                <c:pt idx="5">
                  <c:v>65</c:v>
                </c:pt>
                <c:pt idx="6">
                  <c:v>75</c:v>
                </c:pt>
                <c:pt idx="7">
                  <c:v>50</c:v>
                </c:pt>
                <c:pt idx="8">
                  <c:v>118</c:v>
                </c:pt>
                <c:pt idx="9">
                  <c:v>93</c:v>
                </c:pt>
                <c:pt idx="10">
                  <c:v>103</c:v>
                </c:pt>
                <c:pt idx="11">
                  <c:v>82</c:v>
                </c:pt>
                <c:pt idx="12">
                  <c:v>88</c:v>
                </c:pt>
                <c:pt idx="13">
                  <c:v>67</c:v>
                </c:pt>
                <c:pt idx="14">
                  <c:v>77</c:v>
                </c:pt>
                <c:pt idx="15">
                  <c:v>52</c:v>
                </c:pt>
              </c:numCache>
            </c:numRef>
          </c:xVal>
          <c:yVal>
            <c:numRef>
              <c:f>'2'!$E$419:$E$434</c:f>
              <c:numCache>
                <c:formatCode>General</c:formatCode>
                <c:ptCount val="16"/>
                <c:pt idx="0">
                  <c:v>119.9190476190476</c:v>
                </c:pt>
                <c:pt idx="1">
                  <c:v>95.919047619047603</c:v>
                </c:pt>
                <c:pt idx="2">
                  <c:v>105.9190476190476</c:v>
                </c:pt>
                <c:pt idx="3">
                  <c:v>81.919047619047603</c:v>
                </c:pt>
                <c:pt idx="4">
                  <c:v>90.919047619047603</c:v>
                </c:pt>
                <c:pt idx="5">
                  <c:v>66.919047619047603</c:v>
                </c:pt>
                <c:pt idx="6">
                  <c:v>76.919047619047603</c:v>
                </c:pt>
                <c:pt idx="7">
                  <c:v>52.919047619047603</c:v>
                </c:pt>
                <c:pt idx="8">
                  <c:v>119.9190476190476</c:v>
                </c:pt>
                <c:pt idx="9">
                  <c:v>95.919047619047603</c:v>
                </c:pt>
                <c:pt idx="10">
                  <c:v>105.9190476190476</c:v>
                </c:pt>
                <c:pt idx="11">
                  <c:v>81.919047619047603</c:v>
                </c:pt>
                <c:pt idx="12">
                  <c:v>90.919047619047603</c:v>
                </c:pt>
                <c:pt idx="13">
                  <c:v>66.919047619047603</c:v>
                </c:pt>
                <c:pt idx="14">
                  <c:v>76.919047619047603</c:v>
                </c:pt>
                <c:pt idx="15">
                  <c:v>52.919047619047603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7F1-41E7-B8E3-7DF3865D7C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46710927"/>
        <c:axId val="1346706127"/>
      </c:scatterChart>
      <c:valAx>
        <c:axId val="134671092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Namerané hodnoty Y</a:t>
                </a:r>
              </a:p>
            </c:rich>
          </c:tx>
          <c:layout>
            <c:manualLayout>
              <c:xMode val="edge"/>
              <c:yMode val="edge"/>
              <c:x val="0.39552584429413284"/>
              <c:y val="0.9039110051345550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346706127"/>
        <c:crosses val="autoZero"/>
        <c:crossBetween val="midCat"/>
      </c:valAx>
      <c:valAx>
        <c:axId val="134670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Predikované hodnoty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34671092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sk-SK"/>
              <a:t>t2  Residual Plot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4.7482596758797443E-2"/>
          <c:y val="0.2585811179543151"/>
          <c:w val="0.86032833636180095"/>
          <c:h val="0.54932304254047448"/>
        </c:manualLayout>
      </c:layout>
      <c:scatterChart>
        <c:scatterStyle val="lineMarker"/>
        <c:varyColors val="0"/>
        <c:ser>
          <c:idx val="0"/>
          <c:order val="0"/>
          <c:spPr>
            <a:ln w="38100">
              <a:noFill/>
            </a:ln>
          </c:spPr>
          <c:xVal>
            <c:numRef>
              <c:f>'2'!$I$184:$I$204</c:f>
              <c:numCache>
                <c:formatCode>General</c:formatCode>
                <c:ptCount val="21"/>
                <c:pt idx="0">
                  <c:v>-1</c:v>
                </c:pt>
                <c:pt idx="1">
                  <c:v>-1</c:v>
                </c:pt>
                <c:pt idx="2">
                  <c:v>1</c:v>
                </c:pt>
                <c:pt idx="3">
                  <c:v>1</c:v>
                </c:pt>
                <c:pt idx="4">
                  <c:v>-1</c:v>
                </c:pt>
                <c:pt idx="5">
                  <c:v>-1</c:v>
                </c:pt>
                <c:pt idx="6">
                  <c:v>1</c:v>
                </c:pt>
                <c:pt idx="7">
                  <c:v>1</c:v>
                </c:pt>
                <c:pt idx="8">
                  <c:v>-1</c:v>
                </c:pt>
                <c:pt idx="9">
                  <c:v>-1</c:v>
                </c:pt>
                <c:pt idx="10">
                  <c:v>1</c:v>
                </c:pt>
                <c:pt idx="11">
                  <c:v>1</c:v>
                </c:pt>
                <c:pt idx="12">
                  <c:v>-1</c:v>
                </c:pt>
                <c:pt idx="13">
                  <c:v>-1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xVal>
          <c:yVal>
            <c:numRef>
              <c:f>'2'!$C$265:$C$285</c:f>
              <c:numCache>
                <c:formatCode>General</c:formatCode>
                <c:ptCount val="21"/>
                <c:pt idx="0">
                  <c:v>8.0952380952382441E-2</c:v>
                </c:pt>
                <c:pt idx="1">
                  <c:v>-0.91904761904761756</c:v>
                </c:pt>
                <c:pt idx="2">
                  <c:v>-0.91904761904761756</c:v>
                </c:pt>
                <c:pt idx="3">
                  <c:v>-1.9190476190476176</c:v>
                </c:pt>
                <c:pt idx="4">
                  <c:v>-0.91904761904761756</c:v>
                </c:pt>
                <c:pt idx="5">
                  <c:v>-1.9190476190476176</c:v>
                </c:pt>
                <c:pt idx="6">
                  <c:v>-1.9190476190476176</c:v>
                </c:pt>
                <c:pt idx="7">
                  <c:v>-2.9190476190476176</c:v>
                </c:pt>
                <c:pt idx="8">
                  <c:v>-1.9190476190476176</c:v>
                </c:pt>
                <c:pt idx="9">
                  <c:v>-2.9190476190476176</c:v>
                </c:pt>
                <c:pt idx="10">
                  <c:v>-2.9190476190476176</c:v>
                </c:pt>
                <c:pt idx="11">
                  <c:v>8.0952380952382441E-2</c:v>
                </c:pt>
                <c:pt idx="12">
                  <c:v>-2.9190476190476176</c:v>
                </c:pt>
                <c:pt idx="13">
                  <c:v>8.0952380952382441E-2</c:v>
                </c:pt>
                <c:pt idx="14">
                  <c:v>8.0952380952382441E-2</c:v>
                </c:pt>
                <c:pt idx="15">
                  <c:v>-0.91904761904761756</c:v>
                </c:pt>
                <c:pt idx="16">
                  <c:v>5.5809523809523824</c:v>
                </c:pt>
                <c:pt idx="17">
                  <c:v>4.0809523809523824</c:v>
                </c:pt>
                <c:pt idx="18">
                  <c:v>5.0809523809523824</c:v>
                </c:pt>
                <c:pt idx="19">
                  <c:v>3.3809523809523796</c:v>
                </c:pt>
                <c:pt idx="20">
                  <c:v>4.5809523809523824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41D-4055-AD8C-EFD0D628A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58986928"/>
        <c:axId val="1158984048"/>
      </c:scatterChart>
      <c:valAx>
        <c:axId val="11589869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t2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158984048"/>
        <c:crosses val="autoZero"/>
        <c:crossBetween val="midCat"/>
      </c:valAx>
      <c:valAx>
        <c:axId val="11589840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Residuals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158986928"/>
        <c:crosses val="autoZero"/>
        <c:crossBetween val="midCat"/>
      </c:valAx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sk-SK"/>
              <a:t>t3  Residual Plot</a:t>
            </a:r>
          </a:p>
        </c:rich>
      </c:tx>
      <c:layout>
        <c:manualLayout>
          <c:xMode val="edge"/>
          <c:yMode val="edge"/>
          <c:x val="0.31115781870109721"/>
          <c:y val="3.918178962052796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3.9405874680237596E-2"/>
          <c:y val="0.19527661156036158"/>
          <c:w val="0.90567381942502168"/>
          <c:h val="0.72264798131550179"/>
        </c:manualLayout>
      </c:layout>
      <c:scatterChart>
        <c:scatterStyle val="lineMarker"/>
        <c:varyColors val="0"/>
        <c:ser>
          <c:idx val="0"/>
          <c:order val="0"/>
          <c:spPr>
            <a:ln w="38100">
              <a:noFill/>
            </a:ln>
          </c:spPr>
          <c:xVal>
            <c:numRef>
              <c:f>'2'!$J$184:$J$204</c:f>
              <c:numCache>
                <c:formatCode>General</c:formatCode>
                <c:ptCount val="21"/>
                <c:pt idx="0">
                  <c:v>-1</c:v>
                </c:pt>
                <c:pt idx="1">
                  <c:v>1</c:v>
                </c:pt>
                <c:pt idx="2">
                  <c:v>-1</c:v>
                </c:pt>
                <c:pt idx="3">
                  <c:v>1</c:v>
                </c:pt>
                <c:pt idx="4">
                  <c:v>-1</c:v>
                </c:pt>
                <c:pt idx="5">
                  <c:v>1</c:v>
                </c:pt>
                <c:pt idx="6">
                  <c:v>-1</c:v>
                </c:pt>
                <c:pt idx="7">
                  <c:v>1</c:v>
                </c:pt>
                <c:pt idx="8">
                  <c:v>-1</c:v>
                </c:pt>
                <c:pt idx="9">
                  <c:v>1</c:v>
                </c:pt>
                <c:pt idx="10">
                  <c:v>-1</c:v>
                </c:pt>
                <c:pt idx="11">
                  <c:v>1</c:v>
                </c:pt>
                <c:pt idx="12">
                  <c:v>-1</c:v>
                </c:pt>
                <c:pt idx="13">
                  <c:v>1</c:v>
                </c:pt>
                <c:pt idx="14">
                  <c:v>-1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xVal>
          <c:yVal>
            <c:numRef>
              <c:f>'2'!$C$265:$C$285</c:f>
              <c:numCache>
                <c:formatCode>General</c:formatCode>
                <c:ptCount val="21"/>
                <c:pt idx="0">
                  <c:v>8.0952380952382441E-2</c:v>
                </c:pt>
                <c:pt idx="1">
                  <c:v>-0.91904761904761756</c:v>
                </c:pt>
                <c:pt idx="2">
                  <c:v>-0.91904761904761756</c:v>
                </c:pt>
                <c:pt idx="3">
                  <c:v>-1.9190476190476176</c:v>
                </c:pt>
                <c:pt idx="4">
                  <c:v>-0.91904761904761756</c:v>
                </c:pt>
                <c:pt idx="5">
                  <c:v>-1.9190476190476176</c:v>
                </c:pt>
                <c:pt idx="6">
                  <c:v>-1.9190476190476176</c:v>
                </c:pt>
                <c:pt idx="7">
                  <c:v>-2.9190476190476176</c:v>
                </c:pt>
                <c:pt idx="8">
                  <c:v>-1.9190476190476176</c:v>
                </c:pt>
                <c:pt idx="9">
                  <c:v>-2.9190476190476176</c:v>
                </c:pt>
                <c:pt idx="10">
                  <c:v>-2.9190476190476176</c:v>
                </c:pt>
                <c:pt idx="11">
                  <c:v>8.0952380952382441E-2</c:v>
                </c:pt>
                <c:pt idx="12">
                  <c:v>-2.9190476190476176</c:v>
                </c:pt>
                <c:pt idx="13">
                  <c:v>8.0952380952382441E-2</c:v>
                </c:pt>
                <c:pt idx="14">
                  <c:v>8.0952380952382441E-2</c:v>
                </c:pt>
                <c:pt idx="15">
                  <c:v>-0.91904761904761756</c:v>
                </c:pt>
                <c:pt idx="16">
                  <c:v>5.5809523809523824</c:v>
                </c:pt>
                <c:pt idx="17">
                  <c:v>4.0809523809523824</c:v>
                </c:pt>
                <c:pt idx="18">
                  <c:v>5.0809523809523824</c:v>
                </c:pt>
                <c:pt idx="19">
                  <c:v>3.3809523809523796</c:v>
                </c:pt>
                <c:pt idx="20">
                  <c:v>4.5809523809523824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6A8-4418-AD19-0B6B77B032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59527008"/>
        <c:axId val="1159527488"/>
      </c:scatterChart>
      <c:valAx>
        <c:axId val="11595270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t3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159527488"/>
        <c:crosses val="autoZero"/>
        <c:crossBetween val="midCat"/>
      </c:valAx>
      <c:valAx>
        <c:axId val="115952748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Residuals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159527008"/>
        <c:crosses val="autoZero"/>
        <c:crossBetween val="midCat"/>
      </c:valAx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sk-SK"/>
              <a:t>t1 Line Fit 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Y</c:v>
          </c:tx>
          <c:spPr>
            <a:ln w="38100">
              <a:noFill/>
            </a:ln>
          </c:spPr>
          <c:xVal>
            <c:numRef>
              <c:f>'2'!$H$184:$H$204</c:f>
              <c:numCache>
                <c:formatCode>General</c:formatCode>
                <c:ptCount val="21"/>
                <c:pt idx="0">
                  <c:v>-1</c:v>
                </c:pt>
                <c:pt idx="1">
                  <c:v>-1</c:v>
                </c:pt>
                <c:pt idx="2">
                  <c:v>-1</c:v>
                </c:pt>
                <c:pt idx="3">
                  <c:v>-1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-1</c:v>
                </c:pt>
                <c:pt idx="9">
                  <c:v>-1</c:v>
                </c:pt>
                <c:pt idx="10">
                  <c:v>-1</c:v>
                </c:pt>
                <c:pt idx="11">
                  <c:v>-1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xVal>
          <c:yVal>
            <c:numRef>
              <c:f>'2'!$K$184:$K$204</c:f>
              <c:numCache>
                <c:formatCode>General</c:formatCode>
                <c:ptCount val="21"/>
                <c:pt idx="0">
                  <c:v>120</c:v>
                </c:pt>
                <c:pt idx="1">
                  <c:v>95</c:v>
                </c:pt>
                <c:pt idx="2">
                  <c:v>105</c:v>
                </c:pt>
                <c:pt idx="3">
                  <c:v>80</c:v>
                </c:pt>
                <c:pt idx="4">
                  <c:v>90</c:v>
                </c:pt>
                <c:pt idx="5">
                  <c:v>65</c:v>
                </c:pt>
                <c:pt idx="6">
                  <c:v>75</c:v>
                </c:pt>
                <c:pt idx="7">
                  <c:v>50</c:v>
                </c:pt>
                <c:pt idx="8">
                  <c:v>118</c:v>
                </c:pt>
                <c:pt idx="9">
                  <c:v>93</c:v>
                </c:pt>
                <c:pt idx="10">
                  <c:v>103</c:v>
                </c:pt>
                <c:pt idx="11">
                  <c:v>82</c:v>
                </c:pt>
                <c:pt idx="12">
                  <c:v>88</c:v>
                </c:pt>
                <c:pt idx="13">
                  <c:v>67</c:v>
                </c:pt>
                <c:pt idx="14">
                  <c:v>77</c:v>
                </c:pt>
                <c:pt idx="15">
                  <c:v>52</c:v>
                </c:pt>
                <c:pt idx="16">
                  <c:v>92</c:v>
                </c:pt>
                <c:pt idx="17">
                  <c:v>90.5</c:v>
                </c:pt>
                <c:pt idx="18">
                  <c:v>91.5</c:v>
                </c:pt>
                <c:pt idx="19">
                  <c:v>89.8</c:v>
                </c:pt>
                <c:pt idx="20">
                  <c:v>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BD9-41D7-BF4A-F7079D73FE67}"/>
            </c:ext>
          </c:extLst>
        </c:ser>
        <c:ser>
          <c:idx val="1"/>
          <c:order val="1"/>
          <c:tx>
            <c:v>Predicted Y</c:v>
          </c:tx>
          <c:spPr>
            <a:ln w="38100">
              <a:noFill/>
            </a:ln>
          </c:spPr>
          <c:xVal>
            <c:numRef>
              <c:f>'2'!$H$184:$H$204</c:f>
              <c:numCache>
                <c:formatCode>General</c:formatCode>
                <c:ptCount val="21"/>
                <c:pt idx="0">
                  <c:v>-1</c:v>
                </c:pt>
                <c:pt idx="1">
                  <c:v>-1</c:v>
                </c:pt>
                <c:pt idx="2">
                  <c:v>-1</c:v>
                </c:pt>
                <c:pt idx="3">
                  <c:v>-1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-1</c:v>
                </c:pt>
                <c:pt idx="9">
                  <c:v>-1</c:v>
                </c:pt>
                <c:pt idx="10">
                  <c:v>-1</c:v>
                </c:pt>
                <c:pt idx="11">
                  <c:v>-1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xVal>
          <c:yVal>
            <c:numRef>
              <c:f>'2'!$B$265:$B$285</c:f>
              <c:numCache>
                <c:formatCode>General</c:formatCode>
                <c:ptCount val="21"/>
                <c:pt idx="0">
                  <c:v>119.91904761904762</c:v>
                </c:pt>
                <c:pt idx="1">
                  <c:v>95.919047619047618</c:v>
                </c:pt>
                <c:pt idx="2">
                  <c:v>105.91904761904762</c:v>
                </c:pt>
                <c:pt idx="3">
                  <c:v>81.919047619047618</c:v>
                </c:pt>
                <c:pt idx="4">
                  <c:v>90.919047619047618</c:v>
                </c:pt>
                <c:pt idx="5">
                  <c:v>66.919047619047618</c:v>
                </c:pt>
                <c:pt idx="6">
                  <c:v>76.919047619047618</c:v>
                </c:pt>
                <c:pt idx="7">
                  <c:v>52.919047619047618</c:v>
                </c:pt>
                <c:pt idx="8">
                  <c:v>119.91904761904762</c:v>
                </c:pt>
                <c:pt idx="9">
                  <c:v>95.919047619047618</c:v>
                </c:pt>
                <c:pt idx="10">
                  <c:v>105.91904761904762</c:v>
                </c:pt>
                <c:pt idx="11">
                  <c:v>81.919047619047618</c:v>
                </c:pt>
                <c:pt idx="12">
                  <c:v>90.919047619047618</c:v>
                </c:pt>
                <c:pt idx="13">
                  <c:v>66.919047619047618</c:v>
                </c:pt>
                <c:pt idx="14">
                  <c:v>76.919047619047618</c:v>
                </c:pt>
                <c:pt idx="15">
                  <c:v>52.919047619047618</c:v>
                </c:pt>
                <c:pt idx="16">
                  <c:v>86.419047619047618</c:v>
                </c:pt>
                <c:pt idx="17">
                  <c:v>86.419047619047618</c:v>
                </c:pt>
                <c:pt idx="18">
                  <c:v>86.419047619047618</c:v>
                </c:pt>
                <c:pt idx="19">
                  <c:v>86.419047619047618</c:v>
                </c:pt>
                <c:pt idx="20">
                  <c:v>86.419047619047618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BD9-41D7-BF4A-F7079D73FE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08941664"/>
        <c:axId val="1364532656"/>
      </c:scatterChart>
      <c:valAx>
        <c:axId val="13089416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t1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364532656"/>
        <c:crosses val="autoZero"/>
        <c:crossBetween val="midCat"/>
      </c:valAx>
      <c:valAx>
        <c:axId val="136453265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308941664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sk-SK"/>
              <a:t>t2 Line Fit 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Y</c:v>
          </c:tx>
          <c:spPr>
            <a:ln w="38100">
              <a:noFill/>
            </a:ln>
          </c:spPr>
          <c:xVal>
            <c:numRef>
              <c:f>'2'!$I$184:$I$204</c:f>
              <c:numCache>
                <c:formatCode>General</c:formatCode>
                <c:ptCount val="21"/>
                <c:pt idx="0">
                  <c:v>-1</c:v>
                </c:pt>
                <c:pt idx="1">
                  <c:v>-1</c:v>
                </c:pt>
                <c:pt idx="2">
                  <c:v>1</c:v>
                </c:pt>
                <c:pt idx="3">
                  <c:v>1</c:v>
                </c:pt>
                <c:pt idx="4">
                  <c:v>-1</c:v>
                </c:pt>
                <c:pt idx="5">
                  <c:v>-1</c:v>
                </c:pt>
                <c:pt idx="6">
                  <c:v>1</c:v>
                </c:pt>
                <c:pt idx="7">
                  <c:v>1</c:v>
                </c:pt>
                <c:pt idx="8">
                  <c:v>-1</c:v>
                </c:pt>
                <c:pt idx="9">
                  <c:v>-1</c:v>
                </c:pt>
                <c:pt idx="10">
                  <c:v>1</c:v>
                </c:pt>
                <c:pt idx="11">
                  <c:v>1</c:v>
                </c:pt>
                <c:pt idx="12">
                  <c:v>-1</c:v>
                </c:pt>
                <c:pt idx="13">
                  <c:v>-1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xVal>
          <c:yVal>
            <c:numRef>
              <c:f>'2'!$K$184:$K$204</c:f>
              <c:numCache>
                <c:formatCode>General</c:formatCode>
                <c:ptCount val="21"/>
                <c:pt idx="0">
                  <c:v>120</c:v>
                </c:pt>
                <c:pt idx="1">
                  <c:v>95</c:v>
                </c:pt>
                <c:pt idx="2">
                  <c:v>105</c:v>
                </c:pt>
                <c:pt idx="3">
                  <c:v>80</c:v>
                </c:pt>
                <c:pt idx="4">
                  <c:v>90</c:v>
                </c:pt>
                <c:pt idx="5">
                  <c:v>65</c:v>
                </c:pt>
                <c:pt idx="6">
                  <c:v>75</c:v>
                </c:pt>
                <c:pt idx="7">
                  <c:v>50</c:v>
                </c:pt>
                <c:pt idx="8">
                  <c:v>118</c:v>
                </c:pt>
                <c:pt idx="9">
                  <c:v>93</c:v>
                </c:pt>
                <c:pt idx="10">
                  <c:v>103</c:v>
                </c:pt>
                <c:pt idx="11">
                  <c:v>82</c:v>
                </c:pt>
                <c:pt idx="12">
                  <c:v>88</c:v>
                </c:pt>
                <c:pt idx="13">
                  <c:v>67</c:v>
                </c:pt>
                <c:pt idx="14">
                  <c:v>77</c:v>
                </c:pt>
                <c:pt idx="15">
                  <c:v>52</c:v>
                </c:pt>
                <c:pt idx="16">
                  <c:v>92</c:v>
                </c:pt>
                <c:pt idx="17">
                  <c:v>90.5</c:v>
                </c:pt>
                <c:pt idx="18">
                  <c:v>91.5</c:v>
                </c:pt>
                <c:pt idx="19">
                  <c:v>89.8</c:v>
                </c:pt>
                <c:pt idx="20">
                  <c:v>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EA3-4D5C-B956-2166BDF9F847}"/>
            </c:ext>
          </c:extLst>
        </c:ser>
        <c:ser>
          <c:idx val="1"/>
          <c:order val="1"/>
          <c:tx>
            <c:v>Predicted Y</c:v>
          </c:tx>
          <c:spPr>
            <a:ln w="38100">
              <a:noFill/>
            </a:ln>
          </c:spPr>
          <c:xVal>
            <c:numRef>
              <c:f>'2'!$I$184:$I$204</c:f>
              <c:numCache>
                <c:formatCode>General</c:formatCode>
                <c:ptCount val="21"/>
                <c:pt idx="0">
                  <c:v>-1</c:v>
                </c:pt>
                <c:pt idx="1">
                  <c:v>-1</c:v>
                </c:pt>
                <c:pt idx="2">
                  <c:v>1</c:v>
                </c:pt>
                <c:pt idx="3">
                  <c:v>1</c:v>
                </c:pt>
                <c:pt idx="4">
                  <c:v>-1</c:v>
                </c:pt>
                <c:pt idx="5">
                  <c:v>-1</c:v>
                </c:pt>
                <c:pt idx="6">
                  <c:v>1</c:v>
                </c:pt>
                <c:pt idx="7">
                  <c:v>1</c:v>
                </c:pt>
                <c:pt idx="8">
                  <c:v>-1</c:v>
                </c:pt>
                <c:pt idx="9">
                  <c:v>-1</c:v>
                </c:pt>
                <c:pt idx="10">
                  <c:v>1</c:v>
                </c:pt>
                <c:pt idx="11">
                  <c:v>1</c:v>
                </c:pt>
                <c:pt idx="12">
                  <c:v>-1</c:v>
                </c:pt>
                <c:pt idx="13">
                  <c:v>-1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xVal>
          <c:yVal>
            <c:numRef>
              <c:f>'2'!$B$265:$B$285</c:f>
              <c:numCache>
                <c:formatCode>General</c:formatCode>
                <c:ptCount val="21"/>
                <c:pt idx="0">
                  <c:v>119.91904761904762</c:v>
                </c:pt>
                <c:pt idx="1">
                  <c:v>95.919047619047618</c:v>
                </c:pt>
                <c:pt idx="2">
                  <c:v>105.91904761904762</c:v>
                </c:pt>
                <c:pt idx="3">
                  <c:v>81.919047619047618</c:v>
                </c:pt>
                <c:pt idx="4">
                  <c:v>90.919047619047618</c:v>
                </c:pt>
                <c:pt idx="5">
                  <c:v>66.919047619047618</c:v>
                </c:pt>
                <c:pt idx="6">
                  <c:v>76.919047619047618</c:v>
                </c:pt>
                <c:pt idx="7">
                  <c:v>52.919047619047618</c:v>
                </c:pt>
                <c:pt idx="8">
                  <c:v>119.91904761904762</c:v>
                </c:pt>
                <c:pt idx="9">
                  <c:v>95.919047619047618</c:v>
                </c:pt>
                <c:pt idx="10">
                  <c:v>105.91904761904762</c:v>
                </c:pt>
                <c:pt idx="11">
                  <c:v>81.919047619047618</c:v>
                </c:pt>
                <c:pt idx="12">
                  <c:v>90.919047619047618</c:v>
                </c:pt>
                <c:pt idx="13">
                  <c:v>66.919047619047618</c:v>
                </c:pt>
                <c:pt idx="14">
                  <c:v>76.919047619047618</c:v>
                </c:pt>
                <c:pt idx="15">
                  <c:v>52.919047619047618</c:v>
                </c:pt>
                <c:pt idx="16">
                  <c:v>86.419047619047618</c:v>
                </c:pt>
                <c:pt idx="17">
                  <c:v>86.419047619047618</c:v>
                </c:pt>
                <c:pt idx="18">
                  <c:v>86.419047619047618</c:v>
                </c:pt>
                <c:pt idx="19">
                  <c:v>86.419047619047618</c:v>
                </c:pt>
                <c:pt idx="20">
                  <c:v>86.419047619047618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EA3-4D5C-B956-2166BDF9F8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08943104"/>
        <c:axId val="1159527008"/>
      </c:scatterChart>
      <c:valAx>
        <c:axId val="13089431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t2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159527008"/>
        <c:crosses val="autoZero"/>
        <c:crossBetween val="midCat"/>
      </c:valAx>
      <c:valAx>
        <c:axId val="115952700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308943104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sk-SK"/>
              <a:t>t3 Line Fit 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Y</c:v>
          </c:tx>
          <c:spPr>
            <a:ln w="38100">
              <a:noFill/>
            </a:ln>
          </c:spPr>
          <c:xVal>
            <c:numRef>
              <c:f>'2'!$J$184:$J$204</c:f>
              <c:numCache>
                <c:formatCode>General</c:formatCode>
                <c:ptCount val="21"/>
                <c:pt idx="0">
                  <c:v>-1</c:v>
                </c:pt>
                <c:pt idx="1">
                  <c:v>1</c:v>
                </c:pt>
                <c:pt idx="2">
                  <c:v>-1</c:v>
                </c:pt>
                <c:pt idx="3">
                  <c:v>1</c:v>
                </c:pt>
                <c:pt idx="4">
                  <c:v>-1</c:v>
                </c:pt>
                <c:pt idx="5">
                  <c:v>1</c:v>
                </c:pt>
                <c:pt idx="6">
                  <c:v>-1</c:v>
                </c:pt>
                <c:pt idx="7">
                  <c:v>1</c:v>
                </c:pt>
                <c:pt idx="8">
                  <c:v>-1</c:v>
                </c:pt>
                <c:pt idx="9">
                  <c:v>1</c:v>
                </c:pt>
                <c:pt idx="10">
                  <c:v>-1</c:v>
                </c:pt>
                <c:pt idx="11">
                  <c:v>1</c:v>
                </c:pt>
                <c:pt idx="12">
                  <c:v>-1</c:v>
                </c:pt>
                <c:pt idx="13">
                  <c:v>1</c:v>
                </c:pt>
                <c:pt idx="14">
                  <c:v>-1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xVal>
          <c:yVal>
            <c:numRef>
              <c:f>'2'!$K$184:$K$204</c:f>
              <c:numCache>
                <c:formatCode>General</c:formatCode>
                <c:ptCount val="21"/>
                <c:pt idx="0">
                  <c:v>120</c:v>
                </c:pt>
                <c:pt idx="1">
                  <c:v>95</c:v>
                </c:pt>
                <c:pt idx="2">
                  <c:v>105</c:v>
                </c:pt>
                <c:pt idx="3">
                  <c:v>80</c:v>
                </c:pt>
                <c:pt idx="4">
                  <c:v>90</c:v>
                </c:pt>
                <c:pt idx="5">
                  <c:v>65</c:v>
                </c:pt>
                <c:pt idx="6">
                  <c:v>75</c:v>
                </c:pt>
                <c:pt idx="7">
                  <c:v>50</c:v>
                </c:pt>
                <c:pt idx="8">
                  <c:v>118</c:v>
                </c:pt>
                <c:pt idx="9">
                  <c:v>93</c:v>
                </c:pt>
                <c:pt idx="10">
                  <c:v>103</c:v>
                </c:pt>
                <c:pt idx="11">
                  <c:v>82</c:v>
                </c:pt>
                <c:pt idx="12">
                  <c:v>88</c:v>
                </c:pt>
                <c:pt idx="13">
                  <c:v>67</c:v>
                </c:pt>
                <c:pt idx="14">
                  <c:v>77</c:v>
                </c:pt>
                <c:pt idx="15">
                  <c:v>52</c:v>
                </c:pt>
                <c:pt idx="16">
                  <c:v>92</c:v>
                </c:pt>
                <c:pt idx="17">
                  <c:v>90.5</c:v>
                </c:pt>
                <c:pt idx="18">
                  <c:v>91.5</c:v>
                </c:pt>
                <c:pt idx="19">
                  <c:v>89.8</c:v>
                </c:pt>
                <c:pt idx="20">
                  <c:v>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928-4756-8091-DC2195948BA9}"/>
            </c:ext>
          </c:extLst>
        </c:ser>
        <c:ser>
          <c:idx val="1"/>
          <c:order val="1"/>
          <c:tx>
            <c:v>Predicted Y</c:v>
          </c:tx>
          <c:spPr>
            <a:ln w="38100">
              <a:noFill/>
            </a:ln>
          </c:spPr>
          <c:xVal>
            <c:numRef>
              <c:f>'2'!$J$184:$J$204</c:f>
              <c:numCache>
                <c:formatCode>General</c:formatCode>
                <c:ptCount val="21"/>
                <c:pt idx="0">
                  <c:v>-1</c:v>
                </c:pt>
                <c:pt idx="1">
                  <c:v>1</c:v>
                </c:pt>
                <c:pt idx="2">
                  <c:v>-1</c:v>
                </c:pt>
                <c:pt idx="3">
                  <c:v>1</c:v>
                </c:pt>
                <c:pt idx="4">
                  <c:v>-1</c:v>
                </c:pt>
                <c:pt idx="5">
                  <c:v>1</c:v>
                </c:pt>
                <c:pt idx="6">
                  <c:v>-1</c:v>
                </c:pt>
                <c:pt idx="7">
                  <c:v>1</c:v>
                </c:pt>
                <c:pt idx="8">
                  <c:v>-1</c:v>
                </c:pt>
                <c:pt idx="9">
                  <c:v>1</c:v>
                </c:pt>
                <c:pt idx="10">
                  <c:v>-1</c:v>
                </c:pt>
                <c:pt idx="11">
                  <c:v>1</c:v>
                </c:pt>
                <c:pt idx="12">
                  <c:v>-1</c:v>
                </c:pt>
                <c:pt idx="13">
                  <c:v>1</c:v>
                </c:pt>
                <c:pt idx="14">
                  <c:v>-1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xVal>
          <c:yVal>
            <c:numRef>
              <c:f>'2'!$B$265:$B$285</c:f>
              <c:numCache>
                <c:formatCode>General</c:formatCode>
                <c:ptCount val="21"/>
                <c:pt idx="0">
                  <c:v>119.91904761904762</c:v>
                </c:pt>
                <c:pt idx="1">
                  <c:v>95.919047619047618</c:v>
                </c:pt>
                <c:pt idx="2">
                  <c:v>105.91904761904762</c:v>
                </c:pt>
                <c:pt idx="3">
                  <c:v>81.919047619047618</c:v>
                </c:pt>
                <c:pt idx="4">
                  <c:v>90.919047619047618</c:v>
                </c:pt>
                <c:pt idx="5">
                  <c:v>66.919047619047618</c:v>
                </c:pt>
                <c:pt idx="6">
                  <c:v>76.919047619047618</c:v>
                </c:pt>
                <c:pt idx="7">
                  <c:v>52.919047619047618</c:v>
                </c:pt>
                <c:pt idx="8">
                  <c:v>119.91904761904762</c:v>
                </c:pt>
                <c:pt idx="9">
                  <c:v>95.919047619047618</c:v>
                </c:pt>
                <c:pt idx="10">
                  <c:v>105.91904761904762</c:v>
                </c:pt>
                <c:pt idx="11">
                  <c:v>81.919047619047618</c:v>
                </c:pt>
                <c:pt idx="12">
                  <c:v>90.919047619047618</c:v>
                </c:pt>
                <c:pt idx="13">
                  <c:v>66.919047619047618</c:v>
                </c:pt>
                <c:pt idx="14">
                  <c:v>76.919047619047618</c:v>
                </c:pt>
                <c:pt idx="15">
                  <c:v>52.919047619047618</c:v>
                </c:pt>
                <c:pt idx="16">
                  <c:v>86.419047619047618</c:v>
                </c:pt>
                <c:pt idx="17">
                  <c:v>86.419047619047618</c:v>
                </c:pt>
                <c:pt idx="18">
                  <c:v>86.419047619047618</c:v>
                </c:pt>
                <c:pt idx="19">
                  <c:v>86.419047619047618</c:v>
                </c:pt>
                <c:pt idx="20">
                  <c:v>86.419047619047618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928-4756-8091-DC2195948B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08943104"/>
        <c:axId val="1308941184"/>
      </c:scatterChart>
      <c:valAx>
        <c:axId val="13089431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t3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308941184"/>
        <c:crosses val="autoZero"/>
        <c:crossBetween val="midCat"/>
      </c:valAx>
      <c:valAx>
        <c:axId val="130894118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308943104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sk-SK"/>
              <a:t>Normal Probability Plot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38100">
              <a:noFill/>
            </a:ln>
          </c:spPr>
          <c:xVal>
            <c:numRef>
              <c:f>'2'!$F$265:$F$285</c:f>
              <c:numCache>
                <c:formatCode>General</c:formatCode>
                <c:ptCount val="21"/>
                <c:pt idx="0">
                  <c:v>2.3809523809523809</c:v>
                </c:pt>
                <c:pt idx="1">
                  <c:v>7.1428571428571423</c:v>
                </c:pt>
                <c:pt idx="2">
                  <c:v>11.904761904761905</c:v>
                </c:pt>
                <c:pt idx="3">
                  <c:v>16.666666666666664</c:v>
                </c:pt>
                <c:pt idx="4">
                  <c:v>21.428571428571427</c:v>
                </c:pt>
                <c:pt idx="5">
                  <c:v>26.19047619047619</c:v>
                </c:pt>
                <c:pt idx="6">
                  <c:v>30.952380952380949</c:v>
                </c:pt>
                <c:pt idx="7">
                  <c:v>35.714285714285715</c:v>
                </c:pt>
                <c:pt idx="8">
                  <c:v>40.476190476190474</c:v>
                </c:pt>
                <c:pt idx="9">
                  <c:v>45.238095238095234</c:v>
                </c:pt>
                <c:pt idx="10">
                  <c:v>50</c:v>
                </c:pt>
                <c:pt idx="11">
                  <c:v>54.761904761904759</c:v>
                </c:pt>
                <c:pt idx="12">
                  <c:v>59.523809523809518</c:v>
                </c:pt>
                <c:pt idx="13">
                  <c:v>64.285714285714292</c:v>
                </c:pt>
                <c:pt idx="14">
                  <c:v>69.047619047619051</c:v>
                </c:pt>
                <c:pt idx="15">
                  <c:v>73.80952380952381</c:v>
                </c:pt>
                <c:pt idx="16">
                  <c:v>78.571428571428569</c:v>
                </c:pt>
                <c:pt idx="17">
                  <c:v>83.333333333333329</c:v>
                </c:pt>
                <c:pt idx="18">
                  <c:v>88.095238095238088</c:v>
                </c:pt>
                <c:pt idx="19">
                  <c:v>92.857142857142861</c:v>
                </c:pt>
                <c:pt idx="20">
                  <c:v>97.61904761904762</c:v>
                </c:pt>
              </c:numCache>
            </c:numRef>
          </c:xVal>
          <c:yVal>
            <c:numRef>
              <c:f>'2'!$G$265:$G$285</c:f>
              <c:numCache>
                <c:formatCode>General</c:formatCode>
                <c:ptCount val="21"/>
                <c:pt idx="0">
                  <c:v>50</c:v>
                </c:pt>
                <c:pt idx="1">
                  <c:v>52</c:v>
                </c:pt>
                <c:pt idx="2">
                  <c:v>65</c:v>
                </c:pt>
                <c:pt idx="3">
                  <c:v>67</c:v>
                </c:pt>
                <c:pt idx="4">
                  <c:v>75</c:v>
                </c:pt>
                <c:pt idx="5">
                  <c:v>77</c:v>
                </c:pt>
                <c:pt idx="6">
                  <c:v>80</c:v>
                </c:pt>
                <c:pt idx="7">
                  <c:v>82</c:v>
                </c:pt>
                <c:pt idx="8">
                  <c:v>88</c:v>
                </c:pt>
                <c:pt idx="9">
                  <c:v>89.8</c:v>
                </c:pt>
                <c:pt idx="10">
                  <c:v>90</c:v>
                </c:pt>
                <c:pt idx="11">
                  <c:v>90.5</c:v>
                </c:pt>
                <c:pt idx="12">
                  <c:v>91</c:v>
                </c:pt>
                <c:pt idx="13">
                  <c:v>91.5</c:v>
                </c:pt>
                <c:pt idx="14">
                  <c:v>92</c:v>
                </c:pt>
                <c:pt idx="15">
                  <c:v>93</c:v>
                </c:pt>
                <c:pt idx="16">
                  <c:v>95</c:v>
                </c:pt>
                <c:pt idx="17">
                  <c:v>103</c:v>
                </c:pt>
                <c:pt idx="18">
                  <c:v>105</c:v>
                </c:pt>
                <c:pt idx="19">
                  <c:v>118</c:v>
                </c:pt>
                <c:pt idx="20">
                  <c:v>120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143-456F-8EED-CFF44EB977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57855840"/>
        <c:axId val="1157857760"/>
      </c:scatterChart>
      <c:valAx>
        <c:axId val="11578558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Sample Percentile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157857760"/>
        <c:crosses val="autoZero"/>
        <c:crossBetween val="midCat"/>
      </c:valAx>
      <c:valAx>
        <c:axId val="115785776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Y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157855840"/>
        <c:crosses val="autoZero"/>
        <c:crossBetween val="midCat"/>
      </c:valAx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/>
              <a:t>hlavný efekt faktora 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>
        <c:manualLayout>
          <c:layoutTarget val="inner"/>
          <c:xMode val="edge"/>
          <c:yMode val="edge"/>
          <c:x val="4.7048556430446191E-2"/>
          <c:y val="0.16749999999999998"/>
          <c:w val="0.90062215171101545"/>
          <c:h val="0.66528579760863227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'2'!$F$360:$F$361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xVal>
          <c:yVal>
            <c:numRef>
              <c:f>'2'!$G$360:$G$361</c:f>
              <c:numCache>
                <c:formatCode>General</c:formatCode>
                <c:ptCount val="2"/>
                <c:pt idx="0">
                  <c:v>99.5</c:v>
                </c:pt>
                <c:pt idx="1">
                  <c:v>70.5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68C-455E-87CD-E0CD701610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4128575"/>
        <c:axId val="894129535"/>
      </c:scatterChart>
      <c:valAx>
        <c:axId val="89412857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Zaťaženie ložiska v tvare faktora A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894129535"/>
        <c:crosses val="autoZero"/>
        <c:crossBetween val="midCat"/>
      </c:valAx>
      <c:valAx>
        <c:axId val="8941295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Počet cyklov</a:t>
                </a:r>
                <a:endParaRPr lang="sk-SK" baseline="0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89412857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/>
              <a:t>hlavný efekt faktora B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>
        <c:manualLayout>
          <c:layoutTarget val="inner"/>
          <c:xMode val="edge"/>
          <c:yMode val="edge"/>
          <c:x val="4.7048556430446191E-2"/>
          <c:y val="0.16749999999999998"/>
          <c:w val="0.90062215171101545"/>
          <c:h val="0.66528579760863227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'2'!$F$366:$F$367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xVal>
          <c:yVal>
            <c:numRef>
              <c:f>'2'!$G$366:$G$367</c:f>
              <c:numCache>
                <c:formatCode>General</c:formatCode>
                <c:ptCount val="2"/>
                <c:pt idx="0">
                  <c:v>92</c:v>
                </c:pt>
                <c:pt idx="1">
                  <c:v>78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B25-41BE-A7C5-F77DB7E43C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4128575"/>
        <c:axId val="894129535"/>
      </c:scatterChart>
      <c:valAx>
        <c:axId val="89412857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Počet otáčok v tvare faktora B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894129535"/>
        <c:crosses val="autoZero"/>
        <c:crossBetween val="midCat"/>
      </c:valAx>
      <c:valAx>
        <c:axId val="8941295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Počet cyklov</a:t>
                </a:r>
                <a:endParaRPr lang="sk-SK" baseline="0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89412857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_xlchart.v1.0</cx:f>
      </cx:numDim>
    </cx:data>
    <cx:data id="1">
      <cx:numDim type="val">
        <cx:f>_xlchart.v1.1</cx:f>
      </cx:numDim>
    </cx:data>
  </cx:chartData>
  <cx:chart>
    <cx:title pos="t" align="ctr" overlay="0">
      <cx:tx>
        <cx:txData>
          <cx:v>Box plot - s centralnými bodmi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sk-SK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ptos Narrow" panose="02110004020202020204"/>
            </a:rPr>
            <a:t>Box plot - s centralnými bodmi</a:t>
          </a:r>
        </a:p>
      </cx:txPr>
    </cx:title>
    <cx:plotArea>
      <cx:plotAreaRegion>
        <cx:series layoutId="boxWhisker" uniqueId="{DDD5DF47-9391-4B57-90D8-9103DD63B263}">
          <cx:tx>
            <cx:txData>
              <cx:f/>
              <cx:v>Namerané</cx:v>
            </cx:txData>
          </cx:tx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00000001-4A62-493C-B83B-68719A2A13A0}">
          <cx:tx>
            <cx:txData>
              <cx:f/>
              <cx:v>Predikované</cx:v>
            </cx:txData>
          </cx:tx>
          <cx:dataId val="1"/>
          <cx:layoutPr>
            <cx:visibility meanLine="0" meanMarker="1" nonoutliers="1" outliers="1"/>
            <cx:statistics quartileMethod="exclusive"/>
          </cx:layoutPr>
        </cx:series>
      </cx:plotAreaRegion>
      <cx:axis id="0">
        <cx:catScaling gapWidth="1"/>
        <cx:tickLabels/>
      </cx:axis>
      <cx:axis id="1">
        <cx:valScaling/>
        <cx:title>
          <cx:tx>
            <cx:txData>
              <cx:v>Počet cyklov k opotrebeniu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sk-SK" sz="9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Aptos Narrow" panose="02110004020202020204"/>
                </a:rPr>
                <a:t>Počet cyklov k opotrebeniu</a:t>
              </a:r>
            </a:p>
          </cx:txPr>
        </cx:title>
        <cx:majorGridlines/>
        <cx:tickLabels/>
      </cx:axis>
    </cx:plotArea>
    <cx:legend pos="r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endParaRPr lang="sk-SK" sz="9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Aptos Narrow" panose="02110004020202020204"/>
          </a:endParaRPr>
        </a:p>
      </cx:txPr>
    </cx:legend>
  </cx:chart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_xlchart.v1.2</cx:f>
      </cx:numDim>
    </cx:data>
    <cx:data id="1">
      <cx:numDim type="val">
        <cx:f>_xlchart.v1.3</cx:f>
      </cx:numDim>
    </cx:data>
  </cx:chartData>
  <cx:chart>
    <cx:title pos="t" align="ctr" overlay="0">
      <cx:tx>
        <cx:txData>
          <cx:v>Box plot - bez centralných bodov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sk-SK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ptos Narrow" panose="02110004020202020204"/>
            </a:rPr>
            <a:t>Box plot - bez centralných bodov</a:t>
          </a:r>
        </a:p>
      </cx:txPr>
    </cx:title>
    <cx:plotArea>
      <cx:plotAreaRegion>
        <cx:series layoutId="boxWhisker" uniqueId="{DDD5DF47-9391-4B57-90D8-9103DD63B263}">
          <cx:tx>
            <cx:txData>
              <cx:f/>
              <cx:v>Namerané</cx:v>
            </cx:txData>
          </cx:tx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00000001-4A62-493C-B83B-68719A2A13A0}">
          <cx:tx>
            <cx:txData>
              <cx:f/>
              <cx:v>Predikované</cx:v>
            </cx:txData>
          </cx:tx>
          <cx:dataId val="1"/>
          <cx:layoutPr>
            <cx:visibility meanLine="0" meanMarker="1" nonoutliers="1" outliers="1"/>
            <cx:statistics quartileMethod="exclusive"/>
          </cx:layoutPr>
        </cx:series>
      </cx:plotAreaRegion>
      <cx:axis id="0">
        <cx:catScaling gapWidth="1"/>
        <cx:tickLabels/>
      </cx:axis>
      <cx:axis id="1">
        <cx:valScaling/>
        <cx:title>
          <cx:tx>
            <cx:txData>
              <cx:v>Počet cyklov k opotrebeniu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sk-SK" sz="9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Aptos Narrow" panose="02110004020202020204"/>
                </a:rPr>
                <a:t>Počet cyklov k opotrebeniu</a:t>
              </a:r>
            </a:p>
          </cx:txPr>
        </cx:title>
        <cx:majorGridlines/>
        <cx:tickLabels/>
      </cx:axis>
    </cx:plotArea>
    <cx:legend pos="r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endParaRPr lang="sk-SK" sz="9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Aptos Narrow" panose="02110004020202020204"/>
          </a:endParaRPr>
        </a:p>
      </cx:txPr>
    </cx:legend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3" Type="http://schemas.openxmlformats.org/officeDocument/2006/relationships/image" Target="../media/image7.png"/><Relationship Id="rId18" Type="http://schemas.openxmlformats.org/officeDocument/2006/relationships/chart" Target="../charts/chart12.xml"/><Relationship Id="rId26" Type="http://schemas.microsoft.com/office/2014/relationships/chartEx" Target="../charts/chartEx2.xml"/><Relationship Id="rId21" Type="http://schemas.openxmlformats.org/officeDocument/2006/relationships/chart" Target="../charts/chart15.xml"/><Relationship Id="rId34" Type="http://schemas.openxmlformats.org/officeDocument/2006/relationships/image" Target="../media/image14.png"/><Relationship Id="rId7" Type="http://schemas.openxmlformats.org/officeDocument/2006/relationships/chart" Target="../charts/chart2.xml"/><Relationship Id="rId12" Type="http://schemas.openxmlformats.org/officeDocument/2006/relationships/chart" Target="../charts/chart7.xml"/><Relationship Id="rId17" Type="http://schemas.openxmlformats.org/officeDocument/2006/relationships/chart" Target="../charts/chart11.xml"/><Relationship Id="rId25" Type="http://schemas.microsoft.com/office/2014/relationships/chartEx" Target="../charts/chartEx1.xml"/><Relationship Id="rId33" Type="http://schemas.openxmlformats.org/officeDocument/2006/relationships/image" Target="../media/image13.png"/><Relationship Id="rId2" Type="http://schemas.openxmlformats.org/officeDocument/2006/relationships/image" Target="../media/image3.png"/><Relationship Id="rId16" Type="http://schemas.openxmlformats.org/officeDocument/2006/relationships/chart" Target="../charts/chart10.xml"/><Relationship Id="rId20" Type="http://schemas.openxmlformats.org/officeDocument/2006/relationships/chart" Target="../charts/chart14.xml"/><Relationship Id="rId29" Type="http://schemas.openxmlformats.org/officeDocument/2006/relationships/image" Target="../media/image9.png"/><Relationship Id="rId1" Type="http://schemas.openxmlformats.org/officeDocument/2006/relationships/image" Target="../media/image2.png"/><Relationship Id="rId6" Type="http://schemas.openxmlformats.org/officeDocument/2006/relationships/chart" Target="../charts/chart1.xml"/><Relationship Id="rId11" Type="http://schemas.openxmlformats.org/officeDocument/2006/relationships/chart" Target="../charts/chart6.xml"/><Relationship Id="rId24" Type="http://schemas.openxmlformats.org/officeDocument/2006/relationships/chart" Target="../charts/chart18.xml"/><Relationship Id="rId32" Type="http://schemas.openxmlformats.org/officeDocument/2006/relationships/image" Target="../media/image12.png"/><Relationship Id="rId37" Type="http://schemas.openxmlformats.org/officeDocument/2006/relationships/image" Target="../media/image17.png"/><Relationship Id="rId5" Type="http://schemas.openxmlformats.org/officeDocument/2006/relationships/image" Target="../media/image6.png"/><Relationship Id="rId15" Type="http://schemas.openxmlformats.org/officeDocument/2006/relationships/chart" Target="../charts/chart9.xml"/><Relationship Id="rId23" Type="http://schemas.openxmlformats.org/officeDocument/2006/relationships/chart" Target="../charts/chart17.xml"/><Relationship Id="rId28" Type="http://schemas.openxmlformats.org/officeDocument/2006/relationships/image" Target="../media/image8.png"/><Relationship Id="rId36" Type="http://schemas.openxmlformats.org/officeDocument/2006/relationships/image" Target="../media/image16.png"/><Relationship Id="rId10" Type="http://schemas.openxmlformats.org/officeDocument/2006/relationships/chart" Target="../charts/chart5.xml"/><Relationship Id="rId19" Type="http://schemas.openxmlformats.org/officeDocument/2006/relationships/chart" Target="../charts/chart13.xml"/><Relationship Id="rId31" Type="http://schemas.openxmlformats.org/officeDocument/2006/relationships/image" Target="../media/image11.png"/><Relationship Id="rId4" Type="http://schemas.openxmlformats.org/officeDocument/2006/relationships/image" Target="../media/image5.png"/><Relationship Id="rId9" Type="http://schemas.openxmlformats.org/officeDocument/2006/relationships/chart" Target="../charts/chart4.xml"/><Relationship Id="rId14" Type="http://schemas.openxmlformats.org/officeDocument/2006/relationships/chart" Target="../charts/chart8.xml"/><Relationship Id="rId22" Type="http://schemas.openxmlformats.org/officeDocument/2006/relationships/chart" Target="../charts/chart16.xml"/><Relationship Id="rId27" Type="http://schemas.openxmlformats.org/officeDocument/2006/relationships/image" Target="../media/image1.png"/><Relationship Id="rId30" Type="http://schemas.openxmlformats.org/officeDocument/2006/relationships/image" Target="../media/image10.png"/><Relationship Id="rId35" Type="http://schemas.openxmlformats.org/officeDocument/2006/relationships/image" Target="../media/image15.png"/><Relationship Id="rId8" Type="http://schemas.openxmlformats.org/officeDocument/2006/relationships/chart" Target="../charts/chart3.xml"/><Relationship Id="rId3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67235</xdr:colOff>
      <xdr:row>5</xdr:row>
      <xdr:rowOff>123263</xdr:rowOff>
    </xdr:from>
    <xdr:to>
      <xdr:col>21</xdr:col>
      <xdr:colOff>141194</xdr:colOff>
      <xdr:row>23</xdr:row>
      <xdr:rowOff>26893</xdr:rowOff>
    </xdr:to>
    <xdr:pic>
      <xdr:nvPicPr>
        <xdr:cNvPr id="3" name="Obrázok 2">
          <a:extLst>
            <a:ext uri="{FF2B5EF4-FFF2-40B4-BE49-F238E27FC236}">
              <a16:creationId xmlns:a16="http://schemas.microsoft.com/office/drawing/2014/main" id="{15794E89-AAB5-3117-F3CA-2C2F593FAB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53" y="1109381"/>
          <a:ext cx="5486400" cy="36576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235323</xdr:colOff>
      <xdr:row>153</xdr:row>
      <xdr:rowOff>44824</xdr:rowOff>
    </xdr:from>
    <xdr:to>
      <xdr:col>4</xdr:col>
      <xdr:colOff>257735</xdr:colOff>
      <xdr:row>159</xdr:row>
      <xdr:rowOff>100853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3EE89188-5712-DF30-5910-08FA80A9F3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0441" y="29314589"/>
          <a:ext cx="2711823" cy="1199029"/>
        </a:xfrm>
        <a:prstGeom prst="rect">
          <a:avLst/>
        </a:prstGeom>
      </xdr:spPr>
    </xdr:pic>
    <xdr:clientData/>
  </xdr:twoCellAnchor>
  <xdr:twoCellAnchor editAs="oneCell">
    <xdr:from>
      <xdr:col>7</xdr:col>
      <xdr:colOff>672353</xdr:colOff>
      <xdr:row>164</xdr:row>
      <xdr:rowOff>67235</xdr:rowOff>
    </xdr:from>
    <xdr:to>
      <xdr:col>15</xdr:col>
      <xdr:colOff>83201</xdr:colOff>
      <xdr:row>176</xdr:row>
      <xdr:rowOff>181870</xdr:rowOff>
    </xdr:to>
    <xdr:pic>
      <xdr:nvPicPr>
        <xdr:cNvPr id="3" name="Obrázok 2">
          <a:extLst>
            <a:ext uri="{FF2B5EF4-FFF2-40B4-BE49-F238E27FC236}">
              <a16:creationId xmlns:a16="http://schemas.microsoft.com/office/drawing/2014/main" id="{45007D99-E5EB-DD2F-CDF8-7D1BD7A355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90765" y="31432500"/>
          <a:ext cx="6011114" cy="2400635"/>
        </a:xfrm>
        <a:prstGeom prst="rect">
          <a:avLst/>
        </a:prstGeom>
      </xdr:spPr>
    </xdr:pic>
    <xdr:clientData/>
  </xdr:twoCellAnchor>
  <xdr:twoCellAnchor editAs="oneCell">
    <xdr:from>
      <xdr:col>6</xdr:col>
      <xdr:colOff>951056</xdr:colOff>
      <xdr:row>213</xdr:row>
      <xdr:rowOff>168090</xdr:rowOff>
    </xdr:from>
    <xdr:to>
      <xdr:col>13</xdr:col>
      <xdr:colOff>396270</xdr:colOff>
      <xdr:row>224</xdr:row>
      <xdr:rowOff>142220</xdr:rowOff>
    </xdr:to>
    <xdr:pic>
      <xdr:nvPicPr>
        <xdr:cNvPr id="4" name="Obrázok 3">
          <a:extLst>
            <a:ext uri="{FF2B5EF4-FFF2-40B4-BE49-F238E27FC236}">
              <a16:creationId xmlns:a16="http://schemas.microsoft.com/office/drawing/2014/main" id="{9E466DB7-D160-79BC-6EA3-D010610939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60938" y="41002325"/>
          <a:ext cx="5633663" cy="2069630"/>
        </a:xfrm>
        <a:prstGeom prst="rect">
          <a:avLst/>
        </a:prstGeom>
      </xdr:spPr>
    </xdr:pic>
    <xdr:clientData/>
  </xdr:twoCellAnchor>
  <xdr:twoCellAnchor editAs="oneCell">
    <xdr:from>
      <xdr:col>7</xdr:col>
      <xdr:colOff>660127</xdr:colOff>
      <xdr:row>262</xdr:row>
      <xdr:rowOff>172163</xdr:rowOff>
    </xdr:from>
    <xdr:to>
      <xdr:col>15</xdr:col>
      <xdr:colOff>288830</xdr:colOff>
      <xdr:row>284</xdr:row>
      <xdr:rowOff>121229</xdr:rowOff>
    </xdr:to>
    <xdr:pic>
      <xdr:nvPicPr>
        <xdr:cNvPr id="28" name="Obrázok 27">
          <a:extLst>
            <a:ext uri="{FF2B5EF4-FFF2-40B4-BE49-F238E27FC236}">
              <a16:creationId xmlns:a16="http://schemas.microsoft.com/office/drawing/2014/main" id="{9F235134-DCBF-81C1-E248-470C232414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860036" y="50585390"/>
          <a:ext cx="6212669" cy="4157383"/>
        </a:xfrm>
        <a:prstGeom prst="rect">
          <a:avLst/>
        </a:prstGeom>
      </xdr:spPr>
    </xdr:pic>
    <xdr:clientData/>
  </xdr:twoCellAnchor>
  <xdr:twoCellAnchor editAs="oneCell">
    <xdr:from>
      <xdr:col>0</xdr:col>
      <xdr:colOff>68256</xdr:colOff>
      <xdr:row>285</xdr:row>
      <xdr:rowOff>116135</xdr:rowOff>
    </xdr:from>
    <xdr:to>
      <xdr:col>5</xdr:col>
      <xdr:colOff>560963</xdr:colOff>
      <xdr:row>302</xdr:row>
      <xdr:rowOff>103909</xdr:rowOff>
    </xdr:to>
    <xdr:pic>
      <xdr:nvPicPr>
        <xdr:cNvPr id="29" name="Obrázok 28">
          <a:extLst>
            <a:ext uri="{FF2B5EF4-FFF2-40B4-BE49-F238E27FC236}">
              <a16:creationId xmlns:a16="http://schemas.microsoft.com/office/drawing/2014/main" id="{1314597A-F0E2-C87E-5001-EF935ADC67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68256" y="54945499"/>
          <a:ext cx="4826328" cy="3226274"/>
        </a:xfrm>
        <a:prstGeom prst="rect">
          <a:avLst/>
        </a:prstGeom>
      </xdr:spPr>
    </xdr:pic>
    <xdr:clientData/>
  </xdr:twoCellAnchor>
  <xdr:twoCellAnchor>
    <xdr:from>
      <xdr:col>17</xdr:col>
      <xdr:colOff>336329</xdr:colOff>
      <xdr:row>244</xdr:row>
      <xdr:rowOff>38355</xdr:rowOff>
    </xdr:from>
    <xdr:to>
      <xdr:col>25</xdr:col>
      <xdr:colOff>692726</xdr:colOff>
      <xdr:row>261</xdr:row>
      <xdr:rowOff>0</xdr:rowOff>
    </xdr:to>
    <xdr:graphicFrame macro="">
      <xdr:nvGraphicFramePr>
        <xdr:cNvPr id="37" name="Graf 36">
          <a:extLst>
            <a:ext uri="{FF2B5EF4-FFF2-40B4-BE49-F238E27FC236}">
              <a16:creationId xmlns:a16="http://schemas.microsoft.com/office/drawing/2014/main" id="{F9B8CEA3-4EFB-0D8A-B2AC-30C5C74D955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17</xdr:col>
      <xdr:colOff>250145</xdr:colOff>
      <xdr:row>262</xdr:row>
      <xdr:rowOff>71310</xdr:rowOff>
    </xdr:from>
    <xdr:to>
      <xdr:col>25</xdr:col>
      <xdr:colOff>678465</xdr:colOff>
      <xdr:row>278</xdr:row>
      <xdr:rowOff>95759</xdr:rowOff>
    </xdr:to>
    <xdr:graphicFrame macro="">
      <xdr:nvGraphicFramePr>
        <xdr:cNvPr id="38" name="Graf 37">
          <a:extLst>
            <a:ext uri="{FF2B5EF4-FFF2-40B4-BE49-F238E27FC236}">
              <a16:creationId xmlns:a16="http://schemas.microsoft.com/office/drawing/2014/main" id="{A9F34971-0F41-59F4-35ED-8AF5849EE98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17</xdr:col>
      <xdr:colOff>245051</xdr:colOff>
      <xdr:row>281</xdr:row>
      <xdr:rowOff>6112</xdr:rowOff>
    </xdr:from>
    <xdr:to>
      <xdr:col>25</xdr:col>
      <xdr:colOff>535844</xdr:colOff>
      <xdr:row>297</xdr:row>
      <xdr:rowOff>67235</xdr:rowOff>
    </xdr:to>
    <xdr:graphicFrame macro="">
      <xdr:nvGraphicFramePr>
        <xdr:cNvPr id="39" name="Graf 38">
          <a:extLst>
            <a:ext uri="{FF2B5EF4-FFF2-40B4-BE49-F238E27FC236}">
              <a16:creationId xmlns:a16="http://schemas.microsoft.com/office/drawing/2014/main" id="{F940228D-6884-8516-B21E-D9AB0DE7400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26</xdr:col>
      <xdr:colOff>219787</xdr:colOff>
      <xdr:row>244</xdr:row>
      <xdr:rowOff>73347</xdr:rowOff>
    </xdr:from>
    <xdr:to>
      <xdr:col>34</xdr:col>
      <xdr:colOff>329046</xdr:colOff>
      <xdr:row>261</xdr:row>
      <xdr:rowOff>0</xdr:rowOff>
    </xdr:to>
    <xdr:graphicFrame macro="">
      <xdr:nvGraphicFramePr>
        <xdr:cNvPr id="40" name="Graf 39">
          <a:extLst>
            <a:ext uri="{FF2B5EF4-FFF2-40B4-BE49-F238E27FC236}">
              <a16:creationId xmlns:a16="http://schemas.microsoft.com/office/drawing/2014/main" id="{0D0C93A1-3750-E89E-D9DC-F69925CD9AA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26</xdr:col>
      <xdr:colOff>177204</xdr:colOff>
      <xdr:row>262</xdr:row>
      <xdr:rowOff>63517</xdr:rowOff>
    </xdr:from>
    <xdr:to>
      <xdr:col>34</xdr:col>
      <xdr:colOff>309690</xdr:colOff>
      <xdr:row>279</xdr:row>
      <xdr:rowOff>121228</xdr:rowOff>
    </xdr:to>
    <xdr:graphicFrame macro="">
      <xdr:nvGraphicFramePr>
        <xdr:cNvPr id="41" name="Graf 40">
          <a:extLst>
            <a:ext uri="{FF2B5EF4-FFF2-40B4-BE49-F238E27FC236}">
              <a16:creationId xmlns:a16="http://schemas.microsoft.com/office/drawing/2014/main" id="{0F059872-1E12-83B0-E310-172140718B5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26</xdr:col>
      <xdr:colOff>78999</xdr:colOff>
      <xdr:row>280</xdr:row>
      <xdr:rowOff>157597</xdr:rowOff>
    </xdr:from>
    <xdr:to>
      <xdr:col>34</xdr:col>
      <xdr:colOff>190499</xdr:colOff>
      <xdr:row>297</xdr:row>
      <xdr:rowOff>103910</xdr:rowOff>
    </xdr:to>
    <xdr:graphicFrame macro="">
      <xdr:nvGraphicFramePr>
        <xdr:cNvPr id="42" name="Graf 41">
          <a:extLst>
            <a:ext uri="{FF2B5EF4-FFF2-40B4-BE49-F238E27FC236}">
              <a16:creationId xmlns:a16="http://schemas.microsoft.com/office/drawing/2014/main" id="{6ADD4F17-1E1B-C450-DE2C-BA8B9E8F773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17</xdr:col>
      <xdr:colOff>234252</xdr:colOff>
      <xdr:row>298</xdr:row>
      <xdr:rowOff>165745</xdr:rowOff>
    </xdr:from>
    <xdr:to>
      <xdr:col>25</xdr:col>
      <xdr:colOff>155863</xdr:colOff>
      <xdr:row>314</xdr:row>
      <xdr:rowOff>69272</xdr:rowOff>
    </xdr:to>
    <xdr:graphicFrame macro="">
      <xdr:nvGraphicFramePr>
        <xdr:cNvPr id="43" name="Graf 42">
          <a:extLst>
            <a:ext uri="{FF2B5EF4-FFF2-40B4-BE49-F238E27FC236}">
              <a16:creationId xmlns:a16="http://schemas.microsoft.com/office/drawing/2014/main" id="{BA453F0D-6AE7-7152-94AC-F3ECC2F0766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7</xdr:col>
      <xdr:colOff>190501</xdr:colOff>
      <xdr:row>333</xdr:row>
      <xdr:rowOff>0</xdr:rowOff>
    </xdr:from>
    <xdr:to>
      <xdr:col>12</xdr:col>
      <xdr:colOff>323851</xdr:colOff>
      <xdr:row>337</xdr:row>
      <xdr:rowOff>183840</xdr:rowOff>
    </xdr:to>
    <xdr:pic>
      <xdr:nvPicPr>
        <xdr:cNvPr id="44" name="Obrázok 43">
          <a:extLst>
            <a:ext uri="{FF2B5EF4-FFF2-40B4-BE49-F238E27FC236}">
              <a16:creationId xmlns:a16="http://schemas.microsoft.com/office/drawing/2014/main" id="{318D484F-E132-70D1-6581-E05D8343EB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6391276" y="63741300"/>
          <a:ext cx="4362450" cy="955365"/>
        </a:xfrm>
        <a:prstGeom prst="rect">
          <a:avLst/>
        </a:prstGeom>
      </xdr:spPr>
    </xdr:pic>
    <xdr:clientData/>
  </xdr:twoCellAnchor>
  <xdr:twoCellAnchor>
    <xdr:from>
      <xdr:col>7</xdr:col>
      <xdr:colOff>285044</xdr:colOff>
      <xdr:row>357</xdr:row>
      <xdr:rowOff>137257</xdr:rowOff>
    </xdr:from>
    <xdr:to>
      <xdr:col>13</xdr:col>
      <xdr:colOff>168089</xdr:colOff>
      <xdr:row>372</xdr:row>
      <xdr:rowOff>179292</xdr:rowOff>
    </xdr:to>
    <xdr:graphicFrame macro="">
      <xdr:nvGraphicFramePr>
        <xdr:cNvPr id="6" name="Graf 5">
          <a:extLst>
            <a:ext uri="{FF2B5EF4-FFF2-40B4-BE49-F238E27FC236}">
              <a16:creationId xmlns:a16="http://schemas.microsoft.com/office/drawing/2014/main" id="{A0B56A23-686F-F18F-32A5-642AC6F6DBE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13</xdr:col>
      <xdr:colOff>358587</xdr:colOff>
      <xdr:row>357</xdr:row>
      <xdr:rowOff>134471</xdr:rowOff>
    </xdr:from>
    <xdr:to>
      <xdr:col>20</xdr:col>
      <xdr:colOff>140779</xdr:colOff>
      <xdr:row>372</xdr:row>
      <xdr:rowOff>176506</xdr:rowOff>
    </xdr:to>
    <xdr:graphicFrame macro="">
      <xdr:nvGraphicFramePr>
        <xdr:cNvPr id="7" name="Graf 6">
          <a:extLst>
            <a:ext uri="{FF2B5EF4-FFF2-40B4-BE49-F238E27FC236}">
              <a16:creationId xmlns:a16="http://schemas.microsoft.com/office/drawing/2014/main" id="{7819DB7E-BA12-46CD-95A2-53ECFC8488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20</xdr:col>
      <xdr:colOff>392206</xdr:colOff>
      <xdr:row>357</xdr:row>
      <xdr:rowOff>134470</xdr:rowOff>
    </xdr:from>
    <xdr:to>
      <xdr:col>27</xdr:col>
      <xdr:colOff>62338</xdr:colOff>
      <xdr:row>372</xdr:row>
      <xdr:rowOff>176505</xdr:rowOff>
    </xdr:to>
    <xdr:graphicFrame macro="">
      <xdr:nvGraphicFramePr>
        <xdr:cNvPr id="8" name="Graf 7">
          <a:extLst>
            <a:ext uri="{FF2B5EF4-FFF2-40B4-BE49-F238E27FC236}">
              <a16:creationId xmlns:a16="http://schemas.microsoft.com/office/drawing/2014/main" id="{8D01341D-4F5F-44F5-A4F3-A9D7447466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6</xdr:col>
      <xdr:colOff>319368</xdr:colOff>
      <xdr:row>381</xdr:row>
      <xdr:rowOff>12326</xdr:rowOff>
    </xdr:from>
    <xdr:to>
      <xdr:col>11</xdr:col>
      <xdr:colOff>184898</xdr:colOff>
      <xdr:row>395</xdr:row>
      <xdr:rowOff>88526</xdr:rowOff>
    </xdr:to>
    <xdr:graphicFrame macro="">
      <xdr:nvGraphicFramePr>
        <xdr:cNvPr id="10" name="Graf 9">
          <a:extLst>
            <a:ext uri="{FF2B5EF4-FFF2-40B4-BE49-F238E27FC236}">
              <a16:creationId xmlns:a16="http://schemas.microsoft.com/office/drawing/2014/main" id="{F93DE67B-FF89-D001-3F6E-C40E430F6F1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11</xdr:col>
      <xdr:colOff>179295</xdr:colOff>
      <xdr:row>381</xdr:row>
      <xdr:rowOff>11206</xdr:rowOff>
    </xdr:from>
    <xdr:to>
      <xdr:col>18</xdr:col>
      <xdr:colOff>33618</xdr:colOff>
      <xdr:row>395</xdr:row>
      <xdr:rowOff>87406</xdr:rowOff>
    </xdr:to>
    <xdr:graphicFrame macro="">
      <xdr:nvGraphicFramePr>
        <xdr:cNvPr id="11" name="Graf 10">
          <a:extLst>
            <a:ext uri="{FF2B5EF4-FFF2-40B4-BE49-F238E27FC236}">
              <a16:creationId xmlns:a16="http://schemas.microsoft.com/office/drawing/2014/main" id="{484ADDAF-7707-4310-B41B-8A22C51FFA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6</xdr:col>
      <xdr:colOff>324971</xdr:colOff>
      <xdr:row>395</xdr:row>
      <xdr:rowOff>89647</xdr:rowOff>
    </xdr:from>
    <xdr:to>
      <xdr:col>11</xdr:col>
      <xdr:colOff>190501</xdr:colOff>
      <xdr:row>409</xdr:row>
      <xdr:rowOff>165847</xdr:rowOff>
    </xdr:to>
    <xdr:graphicFrame macro="">
      <xdr:nvGraphicFramePr>
        <xdr:cNvPr id="12" name="Graf 11">
          <a:extLst>
            <a:ext uri="{FF2B5EF4-FFF2-40B4-BE49-F238E27FC236}">
              <a16:creationId xmlns:a16="http://schemas.microsoft.com/office/drawing/2014/main" id="{9905F267-65F6-404C-A653-479323A1DA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11</xdr:col>
      <xdr:colOff>179295</xdr:colOff>
      <xdr:row>395</xdr:row>
      <xdr:rowOff>67235</xdr:rowOff>
    </xdr:from>
    <xdr:to>
      <xdr:col>18</xdr:col>
      <xdr:colOff>33618</xdr:colOff>
      <xdr:row>409</xdr:row>
      <xdr:rowOff>143435</xdr:rowOff>
    </xdr:to>
    <xdr:graphicFrame macro="">
      <xdr:nvGraphicFramePr>
        <xdr:cNvPr id="13" name="Graf 12">
          <a:extLst>
            <a:ext uri="{FF2B5EF4-FFF2-40B4-BE49-F238E27FC236}">
              <a16:creationId xmlns:a16="http://schemas.microsoft.com/office/drawing/2014/main" id="{3746D9BC-8EB7-4525-88F4-EFB308C15D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18</xdr:col>
      <xdr:colOff>149750</xdr:colOff>
      <xdr:row>381</xdr:row>
      <xdr:rowOff>27505</xdr:rowOff>
    </xdr:from>
    <xdr:to>
      <xdr:col>24</xdr:col>
      <xdr:colOff>344325</xdr:colOff>
      <xdr:row>395</xdr:row>
      <xdr:rowOff>103705</xdr:rowOff>
    </xdr:to>
    <xdr:graphicFrame macro="">
      <xdr:nvGraphicFramePr>
        <xdr:cNvPr id="14" name="Graf 13">
          <a:extLst>
            <a:ext uri="{FF2B5EF4-FFF2-40B4-BE49-F238E27FC236}">
              <a16:creationId xmlns:a16="http://schemas.microsoft.com/office/drawing/2014/main" id="{AA6ABD30-D216-48A1-91E7-A8AF4422AD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24</xdr:col>
      <xdr:colOff>346365</xdr:colOff>
      <xdr:row>381</xdr:row>
      <xdr:rowOff>40749</xdr:rowOff>
    </xdr:from>
    <xdr:to>
      <xdr:col>30</xdr:col>
      <xdr:colOff>417674</xdr:colOff>
      <xdr:row>395</xdr:row>
      <xdr:rowOff>116949</xdr:rowOff>
    </xdr:to>
    <xdr:graphicFrame macro="">
      <xdr:nvGraphicFramePr>
        <xdr:cNvPr id="15" name="Graf 14">
          <a:extLst>
            <a:ext uri="{FF2B5EF4-FFF2-40B4-BE49-F238E27FC236}">
              <a16:creationId xmlns:a16="http://schemas.microsoft.com/office/drawing/2014/main" id="{BFBD79B5-4764-4A58-A880-40D0B49E76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0</xdr:col>
      <xdr:colOff>554692</xdr:colOff>
      <xdr:row>440</xdr:row>
      <xdr:rowOff>79561</xdr:rowOff>
    </xdr:from>
    <xdr:to>
      <xdr:col>5</xdr:col>
      <xdr:colOff>1019735</xdr:colOff>
      <xdr:row>455</xdr:row>
      <xdr:rowOff>156882</xdr:rowOff>
    </xdr:to>
    <xdr:graphicFrame macro="">
      <xdr:nvGraphicFramePr>
        <xdr:cNvPr id="16" name="Graf 15">
          <a:extLst>
            <a:ext uri="{FF2B5EF4-FFF2-40B4-BE49-F238E27FC236}">
              <a16:creationId xmlns:a16="http://schemas.microsoft.com/office/drawing/2014/main" id="{059A9D81-90A9-BEC7-7CFE-76A48033C51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6</xdr:col>
      <xdr:colOff>16806</xdr:colOff>
      <xdr:row>440</xdr:row>
      <xdr:rowOff>79559</xdr:rowOff>
    </xdr:from>
    <xdr:to>
      <xdr:col>10</xdr:col>
      <xdr:colOff>885264</xdr:colOff>
      <xdr:row>455</xdr:row>
      <xdr:rowOff>156880</xdr:rowOff>
    </xdr:to>
    <xdr:graphicFrame macro="">
      <xdr:nvGraphicFramePr>
        <xdr:cNvPr id="19" name="Graf 18">
          <a:extLst>
            <a:ext uri="{FF2B5EF4-FFF2-40B4-BE49-F238E27FC236}">
              <a16:creationId xmlns:a16="http://schemas.microsoft.com/office/drawing/2014/main" id="{7022C26A-5531-BB69-ED9B-2C5B4ED6A87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0</xdr:col>
      <xdr:colOff>532279</xdr:colOff>
      <xdr:row>455</xdr:row>
      <xdr:rowOff>158002</xdr:rowOff>
    </xdr:from>
    <xdr:to>
      <xdr:col>6</xdr:col>
      <xdr:colOff>56029</xdr:colOff>
      <xdr:row>471</xdr:row>
      <xdr:rowOff>145677</xdr:rowOff>
    </xdr:to>
    <mc:AlternateContent xmlns:mc="http://schemas.openxmlformats.org/markup-compatibility/2006">
      <mc:Choice xmlns:cx1="http://schemas.microsoft.com/office/drawing/2015/9/8/chartex" xmlns="" Requires="cx1">
        <xdr:graphicFrame macro="">
          <xdr:nvGraphicFramePr>
            <xdr:cNvPr id="20" name="Graf 19">
              <a:extLst>
                <a:ext uri="{FF2B5EF4-FFF2-40B4-BE49-F238E27FC236}">
                  <a16:creationId xmlns:a16="http://schemas.microsoft.com/office/drawing/2014/main" id="{F5474282-6FDB-40EC-F27C-BF3157F8BDBB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25"/>
            </a:graphicData>
          </a:graphic>
        </xdr:graphicFrame>
      </mc:Choice>
      <mc:Fallback>
        <xdr:sp macro="" textlink="">
          <xdr:nvSpPr>
            <xdr:cNvPr id="5" name="Obdĺžnik 4"/>
            <xdr:cNvSpPr>
              <a:spLocks noTextEdit="1"/>
            </xdr:cNvSpPr>
          </xdr:nvSpPr>
          <xdr:spPr>
            <a:xfrm>
              <a:off x="532279" y="87349852"/>
              <a:ext cx="4886325" cy="303567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sk-SK" sz="1100"/>
                <a:t>Tento graf nie je k dispozícii vo vašej verzii programu Excel.
Ak tento tvar upravíte alebo ak zošit uložíte v inom formáte súboru, graf sa natrvalo poškodí.</a:t>
              </a:r>
            </a:p>
          </xdr:txBody>
        </xdr:sp>
      </mc:Fallback>
    </mc:AlternateContent>
    <xdr:clientData/>
  </xdr:twoCellAnchor>
  <xdr:twoCellAnchor>
    <xdr:from>
      <xdr:col>6</xdr:col>
      <xdr:colOff>11205</xdr:colOff>
      <xdr:row>455</xdr:row>
      <xdr:rowOff>123266</xdr:rowOff>
    </xdr:from>
    <xdr:to>
      <xdr:col>10</xdr:col>
      <xdr:colOff>862853</xdr:colOff>
      <xdr:row>471</xdr:row>
      <xdr:rowOff>156882</xdr:rowOff>
    </xdr:to>
    <mc:AlternateContent xmlns:mc="http://schemas.openxmlformats.org/markup-compatibility/2006">
      <mc:Choice xmlns:cx1="http://schemas.microsoft.com/office/drawing/2015/9/8/chartex" xmlns="" Requires="cx1">
        <xdr:graphicFrame macro="">
          <xdr:nvGraphicFramePr>
            <xdr:cNvPr id="22" name="Graf 21">
              <a:extLst>
                <a:ext uri="{FF2B5EF4-FFF2-40B4-BE49-F238E27FC236}">
                  <a16:creationId xmlns:a16="http://schemas.microsoft.com/office/drawing/2014/main" id="{503667C2-6F2D-46D8-A2AB-AFC009737B0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26"/>
            </a:graphicData>
          </a:graphic>
        </xdr:graphicFrame>
      </mc:Choice>
      <mc:Fallback>
        <xdr:sp macro="" textlink="">
          <xdr:nvSpPr>
            <xdr:cNvPr id="9" name="Obdĺžnik 8"/>
            <xdr:cNvSpPr>
              <a:spLocks noTextEdit="1"/>
            </xdr:cNvSpPr>
          </xdr:nvSpPr>
          <xdr:spPr>
            <a:xfrm>
              <a:off x="5373780" y="87315116"/>
              <a:ext cx="4614023" cy="3081616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sk-SK" sz="1100"/>
                <a:t>Tento graf nie je k dispozícii vo vašej verzii programu Excel.
Ak tento tvar upravíte alebo ak zošit uložíte v inom formáte súboru, graf sa natrvalo poškodí.</a:t>
              </a:r>
            </a:p>
          </xdr:txBody>
        </xdr:sp>
      </mc:Fallback>
    </mc:AlternateContent>
    <xdr:clientData/>
  </xdr:twoCellAnchor>
  <xdr:twoCellAnchor editAs="oneCell">
    <xdr:from>
      <xdr:col>1</xdr:col>
      <xdr:colOff>258536</xdr:colOff>
      <xdr:row>494</xdr:row>
      <xdr:rowOff>66675</xdr:rowOff>
    </xdr:from>
    <xdr:to>
      <xdr:col>6</xdr:col>
      <xdr:colOff>532039</xdr:colOff>
      <xdr:row>511</xdr:row>
      <xdr:rowOff>180975</xdr:rowOff>
    </xdr:to>
    <xdr:pic>
      <xdr:nvPicPr>
        <xdr:cNvPr id="23" name="Obrázok 22">
          <a:extLst>
            <a:ext uri="{FF2B5EF4-FFF2-40B4-BE49-F238E27FC236}">
              <a16:creationId xmlns:a16="http://schemas.microsoft.com/office/drawing/2014/main" id="{0661A3FC-BB7C-8DD2-C648-E04EC6C2C7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/>
        <a:stretch>
          <a:fillRect/>
        </a:stretch>
      </xdr:blipFill>
      <xdr:spPr>
        <a:xfrm>
          <a:off x="870857" y="94881246"/>
          <a:ext cx="5049611" cy="3352800"/>
        </a:xfrm>
        <a:prstGeom prst="rect">
          <a:avLst/>
        </a:prstGeom>
      </xdr:spPr>
    </xdr:pic>
    <xdr:clientData/>
  </xdr:twoCellAnchor>
  <xdr:twoCellAnchor editAs="oneCell">
    <xdr:from>
      <xdr:col>11</xdr:col>
      <xdr:colOff>557894</xdr:colOff>
      <xdr:row>514</xdr:row>
      <xdr:rowOff>68036</xdr:rowOff>
    </xdr:from>
    <xdr:to>
      <xdr:col>15</xdr:col>
      <xdr:colOff>402773</xdr:colOff>
      <xdr:row>525</xdr:row>
      <xdr:rowOff>151038</xdr:rowOff>
    </xdr:to>
    <xdr:pic>
      <xdr:nvPicPr>
        <xdr:cNvPr id="24" name="Obrázok 23">
          <a:extLst>
            <a:ext uri="{FF2B5EF4-FFF2-40B4-BE49-F238E27FC236}">
              <a16:creationId xmlns:a16="http://schemas.microsoft.com/office/drawing/2014/main" id="{938F216A-0E87-94AB-25E6-61D64915A9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8"/>
        <a:stretch>
          <a:fillRect/>
        </a:stretch>
      </xdr:blipFill>
      <xdr:spPr>
        <a:xfrm>
          <a:off x="10640787" y="98692607"/>
          <a:ext cx="2838450" cy="2219325"/>
        </a:xfrm>
        <a:prstGeom prst="rect">
          <a:avLst/>
        </a:prstGeom>
      </xdr:spPr>
    </xdr:pic>
    <xdr:clientData/>
  </xdr:twoCellAnchor>
  <xdr:twoCellAnchor editAs="oneCell">
    <xdr:from>
      <xdr:col>15</xdr:col>
      <xdr:colOff>544286</xdr:colOff>
      <xdr:row>514</xdr:row>
      <xdr:rowOff>81644</xdr:rowOff>
    </xdr:from>
    <xdr:to>
      <xdr:col>19</xdr:col>
      <xdr:colOff>209550</xdr:colOff>
      <xdr:row>519</xdr:row>
      <xdr:rowOff>134710</xdr:rowOff>
    </xdr:to>
    <xdr:pic>
      <xdr:nvPicPr>
        <xdr:cNvPr id="25" name="Obrázok 24">
          <a:extLst>
            <a:ext uri="{FF2B5EF4-FFF2-40B4-BE49-F238E27FC236}">
              <a16:creationId xmlns:a16="http://schemas.microsoft.com/office/drawing/2014/main" id="{4DDB7256-BE5C-0F4A-4914-15287FE1F5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9"/>
        <a:stretch>
          <a:fillRect/>
        </a:stretch>
      </xdr:blipFill>
      <xdr:spPr>
        <a:xfrm>
          <a:off x="13620750" y="98706215"/>
          <a:ext cx="2305050" cy="1019175"/>
        </a:xfrm>
        <a:prstGeom prst="rect">
          <a:avLst/>
        </a:prstGeom>
      </xdr:spPr>
    </xdr:pic>
    <xdr:clientData/>
  </xdr:twoCellAnchor>
  <xdr:twoCellAnchor editAs="oneCell">
    <xdr:from>
      <xdr:col>11</xdr:col>
      <xdr:colOff>586468</xdr:colOff>
      <xdr:row>524</xdr:row>
      <xdr:rowOff>171450</xdr:rowOff>
    </xdr:from>
    <xdr:to>
      <xdr:col>15</xdr:col>
      <xdr:colOff>450397</xdr:colOff>
      <xdr:row>538</xdr:row>
      <xdr:rowOff>29937</xdr:rowOff>
    </xdr:to>
    <xdr:pic>
      <xdr:nvPicPr>
        <xdr:cNvPr id="26" name="Obrázok 25">
          <a:extLst>
            <a:ext uri="{FF2B5EF4-FFF2-40B4-BE49-F238E27FC236}">
              <a16:creationId xmlns:a16="http://schemas.microsoft.com/office/drawing/2014/main" id="{74B08B80-75AE-3AA5-44B1-E24AD4615D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0"/>
        <a:stretch>
          <a:fillRect/>
        </a:stretch>
      </xdr:blipFill>
      <xdr:spPr>
        <a:xfrm>
          <a:off x="10654393" y="100574475"/>
          <a:ext cx="2864304" cy="2554061"/>
        </a:xfrm>
        <a:prstGeom prst="rect">
          <a:avLst/>
        </a:prstGeom>
      </xdr:spPr>
    </xdr:pic>
    <xdr:clientData/>
  </xdr:twoCellAnchor>
  <xdr:twoCellAnchor editAs="oneCell">
    <xdr:from>
      <xdr:col>15</xdr:col>
      <xdr:colOff>544286</xdr:colOff>
      <xdr:row>521</xdr:row>
      <xdr:rowOff>13607</xdr:rowOff>
    </xdr:from>
    <xdr:to>
      <xdr:col>23</xdr:col>
      <xdr:colOff>492579</xdr:colOff>
      <xdr:row>539</xdr:row>
      <xdr:rowOff>174173</xdr:rowOff>
    </xdr:to>
    <xdr:pic>
      <xdr:nvPicPr>
        <xdr:cNvPr id="27" name="Obrázok 26">
          <a:extLst>
            <a:ext uri="{FF2B5EF4-FFF2-40B4-BE49-F238E27FC236}">
              <a16:creationId xmlns:a16="http://schemas.microsoft.com/office/drawing/2014/main" id="{BF7C3828-EE70-D493-8E34-B48718D6AA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/>
        <a:stretch>
          <a:fillRect/>
        </a:stretch>
      </xdr:blipFill>
      <xdr:spPr>
        <a:xfrm>
          <a:off x="13620750" y="99985286"/>
          <a:ext cx="5486400" cy="3657600"/>
        </a:xfrm>
        <a:prstGeom prst="rect">
          <a:avLst/>
        </a:prstGeom>
      </xdr:spPr>
    </xdr:pic>
    <xdr:clientData/>
  </xdr:twoCellAnchor>
  <xdr:twoCellAnchor editAs="oneCell">
    <xdr:from>
      <xdr:col>19</xdr:col>
      <xdr:colOff>421821</xdr:colOff>
      <xdr:row>515</xdr:row>
      <xdr:rowOff>13607</xdr:rowOff>
    </xdr:from>
    <xdr:to>
      <xdr:col>25</xdr:col>
      <xdr:colOff>654503</xdr:colOff>
      <xdr:row>520</xdr:row>
      <xdr:rowOff>28573</xdr:rowOff>
    </xdr:to>
    <xdr:pic>
      <xdr:nvPicPr>
        <xdr:cNvPr id="30" name="Obrázok 29">
          <a:extLst>
            <a:ext uri="{FF2B5EF4-FFF2-40B4-BE49-F238E27FC236}">
              <a16:creationId xmlns:a16="http://schemas.microsoft.com/office/drawing/2014/main" id="{48BBE7D9-D25E-A69C-5A16-0706AEDD7B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/>
        <a:stretch>
          <a:fillRect/>
        </a:stretch>
      </xdr:blipFill>
      <xdr:spPr>
        <a:xfrm>
          <a:off x="16138071" y="98828678"/>
          <a:ext cx="4600575" cy="981075"/>
        </a:xfrm>
        <a:prstGeom prst="rect">
          <a:avLst/>
        </a:prstGeom>
      </xdr:spPr>
    </xdr:pic>
    <xdr:clientData/>
  </xdr:twoCellAnchor>
  <xdr:twoCellAnchor editAs="oneCell">
    <xdr:from>
      <xdr:col>19</xdr:col>
      <xdr:colOff>374276</xdr:colOff>
      <xdr:row>547</xdr:row>
      <xdr:rowOff>116755</xdr:rowOff>
    </xdr:from>
    <xdr:to>
      <xdr:col>23</xdr:col>
      <xdr:colOff>504265</xdr:colOff>
      <xdr:row>552</xdr:row>
      <xdr:rowOff>148200</xdr:rowOff>
    </xdr:to>
    <xdr:pic>
      <xdr:nvPicPr>
        <xdr:cNvPr id="31" name="Obrázok 30">
          <a:extLst>
            <a:ext uri="{FF2B5EF4-FFF2-40B4-BE49-F238E27FC236}">
              <a16:creationId xmlns:a16="http://schemas.microsoft.com/office/drawing/2014/main" id="{06215A3D-C529-38D4-73FB-F0754B4820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/>
        <a:stretch>
          <a:fillRect/>
        </a:stretch>
      </xdr:blipFill>
      <xdr:spPr>
        <a:xfrm>
          <a:off x="16040100" y="104970196"/>
          <a:ext cx="3021106" cy="995151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546</xdr:row>
      <xdr:rowOff>57150</xdr:rowOff>
    </xdr:from>
    <xdr:to>
      <xdr:col>15</xdr:col>
      <xdr:colOff>523875</xdr:colOff>
      <xdr:row>554</xdr:row>
      <xdr:rowOff>57150</xdr:rowOff>
    </xdr:to>
    <xdr:pic>
      <xdr:nvPicPr>
        <xdr:cNvPr id="32" name="Obrázok 31">
          <a:extLst>
            <a:ext uri="{FF2B5EF4-FFF2-40B4-BE49-F238E27FC236}">
              <a16:creationId xmlns:a16="http://schemas.microsoft.com/office/drawing/2014/main" id="{2C7D1169-F817-871C-03AD-B7B1E76D1E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4"/>
        <a:stretch>
          <a:fillRect/>
        </a:stretch>
      </xdr:blipFill>
      <xdr:spPr>
        <a:xfrm>
          <a:off x="10753725" y="104689275"/>
          <a:ext cx="2838450" cy="1533525"/>
        </a:xfrm>
        <a:prstGeom prst="rect">
          <a:avLst/>
        </a:prstGeom>
      </xdr:spPr>
    </xdr:pic>
    <xdr:clientData/>
  </xdr:twoCellAnchor>
  <xdr:twoCellAnchor editAs="oneCell">
    <xdr:from>
      <xdr:col>15</xdr:col>
      <xdr:colOff>494739</xdr:colOff>
      <xdr:row>546</xdr:row>
      <xdr:rowOff>180415</xdr:rowOff>
    </xdr:from>
    <xdr:to>
      <xdr:col>19</xdr:col>
      <xdr:colOff>364772</xdr:colOff>
      <xdr:row>552</xdr:row>
      <xdr:rowOff>132790</xdr:rowOff>
    </xdr:to>
    <xdr:pic>
      <xdr:nvPicPr>
        <xdr:cNvPr id="33" name="Obrázok 32">
          <a:extLst>
            <a:ext uri="{FF2B5EF4-FFF2-40B4-BE49-F238E27FC236}">
              <a16:creationId xmlns:a16="http://schemas.microsoft.com/office/drawing/2014/main" id="{4CA31D0A-BD4F-A76E-7143-D1DD2234C6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5"/>
        <a:stretch>
          <a:fillRect/>
        </a:stretch>
      </xdr:blipFill>
      <xdr:spPr>
        <a:xfrm>
          <a:off x="13549592" y="104843356"/>
          <a:ext cx="2481004" cy="1106581"/>
        </a:xfrm>
        <a:prstGeom prst="rect">
          <a:avLst/>
        </a:prstGeom>
      </xdr:spPr>
    </xdr:pic>
    <xdr:clientData/>
  </xdr:twoCellAnchor>
  <xdr:twoCellAnchor editAs="oneCell">
    <xdr:from>
      <xdr:col>12</xdr:col>
      <xdr:colOff>49306</xdr:colOff>
      <xdr:row>554</xdr:row>
      <xdr:rowOff>103094</xdr:rowOff>
    </xdr:from>
    <xdr:to>
      <xdr:col>15</xdr:col>
      <xdr:colOff>573181</xdr:colOff>
      <xdr:row>566</xdr:row>
      <xdr:rowOff>7843</xdr:rowOff>
    </xdr:to>
    <xdr:pic>
      <xdr:nvPicPr>
        <xdr:cNvPr id="34" name="Obrázok 33">
          <a:extLst>
            <a:ext uri="{FF2B5EF4-FFF2-40B4-BE49-F238E27FC236}">
              <a16:creationId xmlns:a16="http://schemas.microsoft.com/office/drawing/2014/main" id="{0522493E-2805-4CF8-02D6-CF1C7A9E3E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6"/>
        <a:stretch>
          <a:fillRect/>
        </a:stretch>
      </xdr:blipFill>
      <xdr:spPr>
        <a:xfrm>
          <a:off x="10717306" y="106301241"/>
          <a:ext cx="2910728" cy="2224367"/>
        </a:xfrm>
        <a:prstGeom prst="rect">
          <a:avLst/>
        </a:prstGeom>
      </xdr:spPr>
    </xdr:pic>
    <xdr:clientData/>
  </xdr:twoCellAnchor>
  <xdr:twoCellAnchor editAs="oneCell">
    <xdr:from>
      <xdr:col>15</xdr:col>
      <xdr:colOff>523875</xdr:colOff>
      <xdr:row>552</xdr:row>
      <xdr:rowOff>123825</xdr:rowOff>
    </xdr:from>
    <xdr:to>
      <xdr:col>23</xdr:col>
      <xdr:colOff>485775</xdr:colOff>
      <xdr:row>571</xdr:row>
      <xdr:rowOff>133349</xdr:rowOff>
    </xdr:to>
    <xdr:pic>
      <xdr:nvPicPr>
        <xdr:cNvPr id="35" name="Obrázok 34">
          <a:extLst>
            <a:ext uri="{FF2B5EF4-FFF2-40B4-BE49-F238E27FC236}">
              <a16:creationId xmlns:a16="http://schemas.microsoft.com/office/drawing/2014/main" id="{2FD9DC3C-924F-491F-5556-95E7F35AC2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/>
        <a:stretch>
          <a:fillRect/>
        </a:stretch>
      </xdr:blipFill>
      <xdr:spPr>
        <a:xfrm>
          <a:off x="13592175" y="105908475"/>
          <a:ext cx="5486400" cy="3657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www.sciencedirect.com/topics/engineering/full-factorial-design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9"/>
  <sheetViews>
    <sheetView tabSelected="1" zoomScale="85" zoomScaleNormal="85" workbookViewId="0">
      <selection activeCell="D4" sqref="D4"/>
    </sheetView>
  </sheetViews>
  <sheetFormatPr defaultRowHeight="14.25"/>
  <cols>
    <col min="6" max="6" width="14.375" customWidth="1"/>
    <col min="20" max="20" width="17.75" customWidth="1"/>
  </cols>
  <sheetData>
    <row r="1" spans="1:21" ht="15">
      <c r="A1" s="8" t="s">
        <v>10</v>
      </c>
    </row>
    <row r="2" spans="1:21" ht="15">
      <c r="A2" s="8" t="s">
        <v>11</v>
      </c>
    </row>
    <row r="3" spans="1:21" ht="15">
      <c r="A3" s="8" t="s">
        <v>12</v>
      </c>
    </row>
    <row r="4" spans="1:21">
      <c r="D4" s="67" t="s">
        <v>2</v>
      </c>
    </row>
    <row r="6" spans="1:21">
      <c r="B6" t="s">
        <v>15</v>
      </c>
      <c r="C6" t="s">
        <v>16</v>
      </c>
    </row>
    <row r="7" spans="1:21">
      <c r="B7" t="s">
        <v>19</v>
      </c>
      <c r="C7" t="s">
        <v>22</v>
      </c>
    </row>
    <row r="8" spans="1:21">
      <c r="B8" t="s">
        <v>23</v>
      </c>
      <c r="C8" t="s">
        <v>24</v>
      </c>
    </row>
    <row r="9" spans="1:21">
      <c r="B9" t="s">
        <v>25</v>
      </c>
      <c r="C9" t="s">
        <v>26</v>
      </c>
    </row>
    <row r="10" spans="1:21">
      <c r="B10" s="9" t="s">
        <v>27</v>
      </c>
      <c r="C10" s="9"/>
      <c r="D10" s="9"/>
      <c r="E10" s="10">
        <v>0.05</v>
      </c>
    </row>
    <row r="11" spans="1:21">
      <c r="A11" t="s">
        <v>130</v>
      </c>
    </row>
    <row r="12" spans="1:21" ht="15" thickBot="1">
      <c r="C12" s="4" t="s">
        <v>17</v>
      </c>
      <c r="D12" s="4" t="s">
        <v>20</v>
      </c>
      <c r="E12" s="4" t="s">
        <v>21</v>
      </c>
      <c r="F12" s="4" t="s">
        <v>9</v>
      </c>
    </row>
    <row r="13" spans="1:21" ht="30.75" thickBot="1">
      <c r="B13" s="11" t="s">
        <v>18</v>
      </c>
      <c r="C13" s="11" t="s">
        <v>3</v>
      </c>
      <c r="D13" s="11" t="s">
        <v>4</v>
      </c>
      <c r="E13" s="11" t="s">
        <v>5</v>
      </c>
      <c r="F13" s="12" t="s">
        <v>56</v>
      </c>
      <c r="I13" s="4" t="s">
        <v>8</v>
      </c>
      <c r="J13" s="4" t="s">
        <v>13</v>
      </c>
      <c r="K13" s="4" t="s">
        <v>14</v>
      </c>
      <c r="L13" s="4" t="s">
        <v>9</v>
      </c>
    </row>
    <row r="14" spans="1:21" ht="15" thickBot="1">
      <c r="B14" s="13">
        <v>1</v>
      </c>
      <c r="C14" s="13">
        <v>5</v>
      </c>
      <c r="D14" s="13">
        <v>1000</v>
      </c>
      <c r="E14" s="13">
        <v>60</v>
      </c>
      <c r="F14" s="4">
        <v>120</v>
      </c>
      <c r="G14" s="14"/>
      <c r="H14" s="14"/>
      <c r="I14" s="15">
        <v>-1</v>
      </c>
      <c r="J14" s="4">
        <v>-1</v>
      </c>
      <c r="K14" s="4">
        <v>-1</v>
      </c>
      <c r="L14" s="4">
        <v>120</v>
      </c>
    </row>
    <row r="15" spans="1:21" ht="15" thickBot="1">
      <c r="B15" s="13">
        <v>2</v>
      </c>
      <c r="C15" s="13">
        <v>5</v>
      </c>
      <c r="D15" s="13">
        <v>1000</v>
      </c>
      <c r="E15" s="13">
        <v>90</v>
      </c>
      <c r="F15" s="4">
        <v>95</v>
      </c>
      <c r="G15" s="14"/>
      <c r="H15" s="14"/>
      <c r="I15" s="15">
        <v>-1</v>
      </c>
      <c r="J15" s="4">
        <v>-1</v>
      </c>
      <c r="K15" s="4">
        <v>1</v>
      </c>
      <c r="L15" s="4">
        <v>95</v>
      </c>
      <c r="U15" s="14"/>
    </row>
    <row r="16" spans="1:21" ht="15" thickBot="1">
      <c r="B16" s="13">
        <v>3</v>
      </c>
      <c r="C16" s="13">
        <v>5</v>
      </c>
      <c r="D16" s="13">
        <v>2000</v>
      </c>
      <c r="E16" s="13">
        <v>60</v>
      </c>
      <c r="F16" s="4">
        <v>105</v>
      </c>
      <c r="G16" s="14"/>
      <c r="H16" s="14"/>
      <c r="I16" s="15">
        <v>-1</v>
      </c>
      <c r="J16" s="4">
        <v>1</v>
      </c>
      <c r="K16" s="4">
        <v>-1</v>
      </c>
      <c r="L16" s="4">
        <v>105</v>
      </c>
      <c r="U16" s="14"/>
    </row>
    <row r="17" spans="2:21" ht="15" thickBot="1">
      <c r="B17" s="13">
        <v>4</v>
      </c>
      <c r="C17" s="13">
        <v>5</v>
      </c>
      <c r="D17" s="13">
        <v>2000</v>
      </c>
      <c r="E17" s="13">
        <v>90</v>
      </c>
      <c r="F17" s="4">
        <v>80</v>
      </c>
      <c r="G17" s="14"/>
      <c r="H17" s="14"/>
      <c r="I17" s="15">
        <v>-1</v>
      </c>
      <c r="J17" s="4">
        <v>1</v>
      </c>
      <c r="K17" s="4">
        <v>1</v>
      </c>
      <c r="L17" s="4">
        <v>80</v>
      </c>
      <c r="U17" s="14"/>
    </row>
    <row r="18" spans="2:21" ht="15" thickBot="1">
      <c r="B18" s="13">
        <v>5</v>
      </c>
      <c r="C18" s="13">
        <v>10</v>
      </c>
      <c r="D18" s="13">
        <v>1000</v>
      </c>
      <c r="E18" s="13">
        <v>60</v>
      </c>
      <c r="F18" s="4">
        <v>90</v>
      </c>
      <c r="G18" s="14"/>
      <c r="H18" s="14"/>
      <c r="I18" s="15">
        <v>1</v>
      </c>
      <c r="J18" s="4">
        <v>-1</v>
      </c>
      <c r="K18" s="4">
        <v>-1</v>
      </c>
      <c r="L18" s="4">
        <v>90</v>
      </c>
      <c r="U18" s="14"/>
    </row>
    <row r="19" spans="2:21" ht="15" thickBot="1">
      <c r="B19" s="13">
        <v>6</v>
      </c>
      <c r="C19" s="13">
        <v>10</v>
      </c>
      <c r="D19" s="13">
        <v>1000</v>
      </c>
      <c r="E19" s="13">
        <v>90</v>
      </c>
      <c r="F19" s="4">
        <v>65</v>
      </c>
      <c r="G19" s="14"/>
      <c r="H19" s="14"/>
      <c r="I19" s="15">
        <v>1</v>
      </c>
      <c r="J19" s="4">
        <v>-1</v>
      </c>
      <c r="K19" s="4">
        <v>1</v>
      </c>
      <c r="L19" s="4">
        <v>65</v>
      </c>
      <c r="U19" s="14"/>
    </row>
    <row r="20" spans="2:21" ht="15" thickBot="1">
      <c r="B20" s="13">
        <v>7</v>
      </c>
      <c r="C20" s="13">
        <v>10</v>
      </c>
      <c r="D20" s="13">
        <v>2000</v>
      </c>
      <c r="E20" s="13">
        <v>60</v>
      </c>
      <c r="F20" s="4">
        <v>75</v>
      </c>
      <c r="G20" s="14"/>
      <c r="H20" s="14"/>
      <c r="I20" s="15">
        <v>1</v>
      </c>
      <c r="J20" s="4">
        <v>1</v>
      </c>
      <c r="K20" s="4">
        <v>-1</v>
      </c>
      <c r="L20" s="4">
        <v>75</v>
      </c>
      <c r="U20" s="14"/>
    </row>
    <row r="21" spans="2:21" ht="15" thickBot="1">
      <c r="B21" s="16">
        <v>8</v>
      </c>
      <c r="C21" s="16">
        <v>10</v>
      </c>
      <c r="D21" s="16">
        <v>2000</v>
      </c>
      <c r="E21" s="16">
        <v>90</v>
      </c>
      <c r="F21" s="4">
        <v>50</v>
      </c>
      <c r="G21" s="14"/>
      <c r="H21" s="14"/>
      <c r="I21" s="15">
        <v>1</v>
      </c>
      <c r="J21" s="4">
        <v>1</v>
      </c>
      <c r="K21" s="4">
        <v>1</v>
      </c>
      <c r="L21" s="4">
        <v>50</v>
      </c>
      <c r="U21" s="14"/>
    </row>
    <row r="22" spans="2:21" ht="15" thickBot="1">
      <c r="B22" s="13">
        <v>9</v>
      </c>
      <c r="C22" s="13">
        <v>5</v>
      </c>
      <c r="D22" s="13">
        <v>1000</v>
      </c>
      <c r="E22" s="13">
        <v>60</v>
      </c>
      <c r="F22" s="4">
        <v>118</v>
      </c>
      <c r="I22" s="15">
        <v>-1</v>
      </c>
      <c r="J22" s="4">
        <v>-1</v>
      </c>
      <c r="K22" s="4">
        <v>-1</v>
      </c>
      <c r="L22" s="4">
        <v>118</v>
      </c>
      <c r="U22" s="14"/>
    </row>
    <row r="23" spans="2:21" ht="15" thickBot="1">
      <c r="B23" s="13">
        <v>10</v>
      </c>
      <c r="C23" s="13">
        <v>5</v>
      </c>
      <c r="D23" s="13">
        <v>1000</v>
      </c>
      <c r="E23" s="13">
        <v>90</v>
      </c>
      <c r="F23" s="4">
        <v>93</v>
      </c>
      <c r="I23" s="15">
        <v>-1</v>
      </c>
      <c r="J23" s="4">
        <v>-1</v>
      </c>
      <c r="K23" s="4">
        <v>1</v>
      </c>
      <c r="L23" s="4">
        <v>93</v>
      </c>
      <c r="Q23" s="4"/>
      <c r="R23" s="4"/>
      <c r="S23" s="4"/>
      <c r="T23" s="4"/>
    </row>
    <row r="24" spans="2:21" ht="15" thickBot="1">
      <c r="B24" s="13">
        <v>11</v>
      </c>
      <c r="C24" s="13">
        <v>5</v>
      </c>
      <c r="D24" s="13">
        <v>2000</v>
      </c>
      <c r="E24" s="13">
        <v>60</v>
      </c>
      <c r="F24" s="4">
        <v>103</v>
      </c>
      <c r="I24" s="15">
        <v>-1</v>
      </c>
      <c r="J24" s="4">
        <v>1</v>
      </c>
      <c r="K24" s="4">
        <v>-1</v>
      </c>
      <c r="L24" s="4">
        <v>103</v>
      </c>
    </row>
    <row r="25" spans="2:21" ht="15" thickBot="1">
      <c r="B25" s="13">
        <v>12</v>
      </c>
      <c r="C25" s="13">
        <v>5</v>
      </c>
      <c r="D25" s="13">
        <v>2000</v>
      </c>
      <c r="E25" s="13">
        <v>90</v>
      </c>
      <c r="F25" s="4">
        <v>82</v>
      </c>
      <c r="I25" s="15">
        <v>-1</v>
      </c>
      <c r="J25" s="4">
        <v>1</v>
      </c>
      <c r="K25" s="4">
        <v>1</v>
      </c>
      <c r="L25" s="4">
        <v>82</v>
      </c>
    </row>
    <row r="26" spans="2:21" ht="15" thickBot="1">
      <c r="B26" s="13">
        <v>13</v>
      </c>
      <c r="C26" s="13">
        <v>10</v>
      </c>
      <c r="D26" s="13">
        <v>1000</v>
      </c>
      <c r="E26" s="13">
        <v>60</v>
      </c>
      <c r="F26" s="4">
        <v>88</v>
      </c>
      <c r="I26" s="15">
        <v>1</v>
      </c>
      <c r="J26" s="4">
        <v>-1</v>
      </c>
      <c r="K26" s="4">
        <v>-1</v>
      </c>
      <c r="L26" s="4">
        <v>88</v>
      </c>
    </row>
    <row r="27" spans="2:21" ht="15" thickBot="1">
      <c r="B27" s="13">
        <v>14</v>
      </c>
      <c r="C27" s="13">
        <v>10</v>
      </c>
      <c r="D27" s="13">
        <v>1000</v>
      </c>
      <c r="E27" s="13">
        <v>90</v>
      </c>
      <c r="F27" s="4">
        <v>67</v>
      </c>
      <c r="I27" s="15">
        <v>1</v>
      </c>
      <c r="J27" s="4">
        <v>-1</v>
      </c>
      <c r="K27" s="4">
        <v>1</v>
      </c>
      <c r="L27" s="4">
        <v>67</v>
      </c>
    </row>
    <row r="28" spans="2:21" ht="15" thickBot="1">
      <c r="B28" s="13">
        <v>15</v>
      </c>
      <c r="C28" s="13">
        <v>10</v>
      </c>
      <c r="D28" s="13">
        <v>2000</v>
      </c>
      <c r="E28" s="13">
        <v>60</v>
      </c>
      <c r="F28" s="4">
        <v>77</v>
      </c>
      <c r="I28" s="15">
        <v>1</v>
      </c>
      <c r="J28" s="4">
        <v>1</v>
      </c>
      <c r="K28" s="4">
        <v>-1</v>
      </c>
      <c r="L28" s="4">
        <v>77</v>
      </c>
    </row>
    <row r="29" spans="2:21" ht="15" thickBot="1">
      <c r="B29" s="13">
        <v>16</v>
      </c>
      <c r="C29" s="13">
        <v>10</v>
      </c>
      <c r="D29" s="13">
        <v>2000</v>
      </c>
      <c r="E29" s="13">
        <v>90</v>
      </c>
      <c r="F29" s="4">
        <v>52</v>
      </c>
      <c r="I29" s="15">
        <v>1</v>
      </c>
      <c r="J29" s="4">
        <v>1</v>
      </c>
      <c r="K29" s="4">
        <v>1</v>
      </c>
      <c r="L29" s="4">
        <v>52</v>
      </c>
    </row>
  </sheetData>
  <hyperlinks>
    <hyperlink ref="D4" r:id="rId1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L573"/>
  <sheetViews>
    <sheetView topLeftCell="A543" zoomScale="85" zoomScaleNormal="85" workbookViewId="0">
      <selection activeCell="Z570" sqref="Z570"/>
    </sheetView>
  </sheetViews>
  <sheetFormatPr defaultRowHeight="14.25"/>
  <cols>
    <col min="2" max="2" width="13.375" customWidth="1"/>
    <col min="3" max="3" width="12" customWidth="1"/>
    <col min="4" max="4" width="15" customWidth="1"/>
    <col min="5" max="6" width="15.375" customWidth="1"/>
    <col min="7" max="7" width="16.25" bestFit="1" customWidth="1"/>
    <col min="8" max="8" width="12.25" bestFit="1" customWidth="1"/>
    <col min="9" max="9" width="14.625" customWidth="1"/>
    <col min="10" max="10" width="13.25" customWidth="1"/>
    <col min="11" max="11" width="14.125" customWidth="1"/>
    <col min="13" max="13" width="13.25" customWidth="1"/>
    <col min="14" max="15" width="11.25" bestFit="1" customWidth="1"/>
    <col min="17" max="17" width="12" bestFit="1" customWidth="1"/>
    <col min="20" max="20" width="12.25" bestFit="1" customWidth="1"/>
    <col min="23" max="24" width="12.875" bestFit="1" customWidth="1"/>
    <col min="26" max="26" width="13.375" bestFit="1" customWidth="1"/>
    <col min="28" max="28" width="13.375" bestFit="1" customWidth="1"/>
    <col min="29" max="29" width="12.875" bestFit="1" customWidth="1"/>
    <col min="32" max="32" width="12.875" bestFit="1" customWidth="1"/>
  </cols>
  <sheetData>
    <row r="2" spans="1:23">
      <c r="A2" t="s">
        <v>129</v>
      </c>
    </row>
    <row r="3" spans="1:23">
      <c r="A3" t="s">
        <v>28</v>
      </c>
      <c r="D3" s="5" t="s">
        <v>29</v>
      </c>
      <c r="Q3" s="4"/>
      <c r="R3" s="4"/>
      <c r="S3" s="4"/>
    </row>
    <row r="4" spans="1:23">
      <c r="Q4" s="4"/>
      <c r="R4" s="4"/>
      <c r="S4" s="4"/>
    </row>
    <row r="5" spans="1:23">
      <c r="Q5" s="4"/>
      <c r="R5" s="4"/>
      <c r="S5" s="4"/>
    </row>
    <row r="6" spans="1:23">
      <c r="C6" s="4"/>
      <c r="D6" s="4" t="s">
        <v>8</v>
      </c>
      <c r="E6" s="4" t="s">
        <v>7</v>
      </c>
      <c r="F6" s="4" t="s">
        <v>6</v>
      </c>
      <c r="G6" s="4" t="s">
        <v>30</v>
      </c>
      <c r="H6" s="4" t="s">
        <v>31</v>
      </c>
      <c r="I6" s="4" t="s">
        <v>32</v>
      </c>
      <c r="J6" s="4" t="s">
        <v>33</v>
      </c>
      <c r="M6" s="4"/>
      <c r="N6" s="4"/>
      <c r="Q6" s="4"/>
    </row>
    <row r="7" spans="1:23">
      <c r="C7" s="4" t="s">
        <v>34</v>
      </c>
      <c r="D7" s="4" t="s">
        <v>35</v>
      </c>
      <c r="E7" s="4" t="s">
        <v>36</v>
      </c>
      <c r="F7" s="4" t="s">
        <v>37</v>
      </c>
      <c r="G7" s="4" t="s">
        <v>38</v>
      </c>
      <c r="H7" s="4" t="s">
        <v>39</v>
      </c>
      <c r="I7" s="4" t="s">
        <v>40</v>
      </c>
      <c r="J7" s="4" t="s">
        <v>41</v>
      </c>
      <c r="K7" s="4" t="s">
        <v>9</v>
      </c>
      <c r="L7" s="4" t="s">
        <v>182</v>
      </c>
      <c r="M7" s="4" t="s">
        <v>183</v>
      </c>
      <c r="N7" s="4" t="s">
        <v>184</v>
      </c>
      <c r="O7" s="4" t="s">
        <v>185</v>
      </c>
      <c r="P7" s="4" t="s">
        <v>187</v>
      </c>
      <c r="Q7" s="4"/>
      <c r="T7" s="4" t="s">
        <v>8</v>
      </c>
      <c r="U7" s="4" t="s">
        <v>7</v>
      </c>
      <c r="V7" s="4" t="s">
        <v>6</v>
      </c>
      <c r="W7" s="4" t="s">
        <v>9</v>
      </c>
    </row>
    <row r="8" spans="1:23">
      <c r="B8" t="s">
        <v>42</v>
      </c>
      <c r="C8" s="19">
        <v>1</v>
      </c>
      <c r="D8" s="6">
        <v>-1</v>
      </c>
      <c r="E8" s="6">
        <v>-1</v>
      </c>
      <c r="F8" s="6">
        <v>-1</v>
      </c>
      <c r="G8" s="6">
        <f>D8*E8</f>
        <v>1</v>
      </c>
      <c r="H8" s="6">
        <f>D8*F8</f>
        <v>1</v>
      </c>
      <c r="I8" s="6">
        <f>E8*F8</f>
        <v>1</v>
      </c>
      <c r="J8" s="1">
        <f>D8*E8*F8</f>
        <v>-1</v>
      </c>
      <c r="K8" s="4">
        <v>120</v>
      </c>
      <c r="L8" s="4">
        <v>1</v>
      </c>
      <c r="M8" s="4">
        <f>AVERAGE(K8,K16)</f>
        <v>119</v>
      </c>
      <c r="N8" s="4">
        <f>(K8-M8)^2</f>
        <v>1</v>
      </c>
      <c r="O8" s="4">
        <f>DEVSQ(K8,K16)</f>
        <v>2</v>
      </c>
      <c r="P8">
        <f>DEVSQ(K8:K9,K16:K17)</f>
        <v>629</v>
      </c>
      <c r="T8" s="6">
        <v>-1</v>
      </c>
      <c r="U8" s="6">
        <v>-1</v>
      </c>
      <c r="V8" s="6">
        <v>-1</v>
      </c>
      <c r="W8" s="4">
        <v>120</v>
      </c>
    </row>
    <row r="9" spans="1:23">
      <c r="C9" s="20">
        <v>1</v>
      </c>
      <c r="D9" s="4">
        <v>-1</v>
      </c>
      <c r="E9" s="4">
        <v>-1</v>
      </c>
      <c r="F9" s="4">
        <v>1</v>
      </c>
      <c r="G9" s="4">
        <f t="shared" ref="G9:G15" si="0">D9*E9</f>
        <v>1</v>
      </c>
      <c r="H9" s="4">
        <f t="shared" ref="H9:H15" si="1">D9*F9</f>
        <v>-1</v>
      </c>
      <c r="I9" s="4">
        <f t="shared" ref="I9:I15" si="2">E9*F9</f>
        <v>-1</v>
      </c>
      <c r="J9" s="2">
        <f t="shared" ref="J9:J15" si="3">D9*E9*F9</f>
        <v>1</v>
      </c>
      <c r="K9" s="4">
        <v>95</v>
      </c>
      <c r="L9" s="4">
        <v>2</v>
      </c>
      <c r="M9" s="4">
        <f t="shared" ref="M9:M15" si="4">AVERAGE(K9,K17)</f>
        <v>94</v>
      </c>
      <c r="N9" s="4">
        <f t="shared" ref="N9:N23" si="5">(K9-M9)^2</f>
        <v>1</v>
      </c>
      <c r="O9" s="4">
        <f t="shared" ref="O9:O14" si="6">DEVSQ(K9,K17)</f>
        <v>2</v>
      </c>
      <c r="T9" s="4">
        <v>-1</v>
      </c>
      <c r="U9" s="4">
        <v>-1</v>
      </c>
      <c r="V9" s="4">
        <v>1</v>
      </c>
      <c r="W9" s="4">
        <v>95</v>
      </c>
    </row>
    <row r="10" spans="1:23">
      <c r="C10" s="20">
        <v>1</v>
      </c>
      <c r="D10" s="4">
        <v>-1</v>
      </c>
      <c r="E10" s="4">
        <v>1</v>
      </c>
      <c r="F10" s="4">
        <v>-1</v>
      </c>
      <c r="G10" s="4">
        <f t="shared" si="0"/>
        <v>-1</v>
      </c>
      <c r="H10" s="4">
        <f t="shared" si="1"/>
        <v>1</v>
      </c>
      <c r="I10" s="4">
        <f t="shared" si="2"/>
        <v>-1</v>
      </c>
      <c r="J10" s="2">
        <f t="shared" si="3"/>
        <v>1</v>
      </c>
      <c r="K10" s="4">
        <v>105</v>
      </c>
      <c r="L10" s="4">
        <v>3</v>
      </c>
      <c r="M10" s="4">
        <f t="shared" si="4"/>
        <v>104</v>
      </c>
      <c r="N10" s="4">
        <f t="shared" si="5"/>
        <v>1</v>
      </c>
      <c r="O10" s="4">
        <f t="shared" si="6"/>
        <v>2</v>
      </c>
      <c r="P10">
        <f>DEVSQ(K10:K11,K18:K19)</f>
        <v>533</v>
      </c>
      <c r="T10" s="4">
        <v>-1</v>
      </c>
      <c r="U10" s="4">
        <v>1</v>
      </c>
      <c r="V10" s="4">
        <v>-1</v>
      </c>
      <c r="W10" s="4">
        <v>105</v>
      </c>
    </row>
    <row r="11" spans="1:23">
      <c r="C11" s="20">
        <v>1</v>
      </c>
      <c r="D11" s="4">
        <v>-1</v>
      </c>
      <c r="E11" s="4">
        <v>1</v>
      </c>
      <c r="F11" s="4">
        <v>1</v>
      </c>
      <c r="G11" s="4">
        <f t="shared" si="0"/>
        <v>-1</v>
      </c>
      <c r="H11" s="4">
        <f t="shared" si="1"/>
        <v>-1</v>
      </c>
      <c r="I11" s="4">
        <f t="shared" si="2"/>
        <v>1</v>
      </c>
      <c r="J11" s="2">
        <f t="shared" si="3"/>
        <v>-1</v>
      </c>
      <c r="K11" s="4">
        <v>80</v>
      </c>
      <c r="L11" s="4">
        <v>4</v>
      </c>
      <c r="M11" s="4">
        <f t="shared" si="4"/>
        <v>81</v>
      </c>
      <c r="N11" s="4">
        <f t="shared" si="5"/>
        <v>1</v>
      </c>
      <c r="O11" s="4">
        <f>DEVSQ(K11,K19)</f>
        <v>2</v>
      </c>
      <c r="T11" s="4">
        <v>-1</v>
      </c>
      <c r="U11" s="4">
        <v>1</v>
      </c>
      <c r="V11" s="4">
        <v>1</v>
      </c>
      <c r="W11" s="4">
        <v>80</v>
      </c>
    </row>
    <row r="12" spans="1:23">
      <c r="C12" s="20">
        <v>1</v>
      </c>
      <c r="D12" s="4">
        <v>1</v>
      </c>
      <c r="E12" s="4">
        <v>-1</v>
      </c>
      <c r="F12" s="4">
        <v>-1</v>
      </c>
      <c r="G12" s="4">
        <f t="shared" si="0"/>
        <v>-1</v>
      </c>
      <c r="H12" s="4">
        <f t="shared" si="1"/>
        <v>-1</v>
      </c>
      <c r="I12" s="4">
        <f t="shared" si="2"/>
        <v>1</v>
      </c>
      <c r="J12" s="2">
        <f t="shared" si="3"/>
        <v>1</v>
      </c>
      <c r="K12" s="4">
        <v>90</v>
      </c>
      <c r="L12" s="4">
        <v>5</v>
      </c>
      <c r="M12" s="4">
        <f t="shared" si="4"/>
        <v>89</v>
      </c>
      <c r="N12" s="4">
        <f t="shared" si="5"/>
        <v>1</v>
      </c>
      <c r="O12" s="4">
        <f t="shared" si="6"/>
        <v>2</v>
      </c>
      <c r="P12">
        <f>DEVSQ(K12:K13,K20:K21)</f>
        <v>533</v>
      </c>
      <c r="T12" s="4">
        <v>1</v>
      </c>
      <c r="U12" s="4">
        <v>-1</v>
      </c>
      <c r="V12" s="4">
        <v>-1</v>
      </c>
      <c r="W12" s="4">
        <v>90</v>
      </c>
    </row>
    <row r="13" spans="1:23">
      <c r="C13" s="20">
        <v>1</v>
      </c>
      <c r="D13" s="4">
        <v>1</v>
      </c>
      <c r="E13" s="4">
        <v>-1</v>
      </c>
      <c r="F13" s="4">
        <v>1</v>
      </c>
      <c r="G13" s="4">
        <f t="shared" si="0"/>
        <v>-1</v>
      </c>
      <c r="H13" s="4">
        <f t="shared" si="1"/>
        <v>1</v>
      </c>
      <c r="I13" s="4">
        <f t="shared" si="2"/>
        <v>-1</v>
      </c>
      <c r="J13" s="2">
        <f t="shared" si="3"/>
        <v>-1</v>
      </c>
      <c r="K13" s="4">
        <v>65</v>
      </c>
      <c r="L13" s="4">
        <v>6</v>
      </c>
      <c r="M13" s="4">
        <f t="shared" si="4"/>
        <v>66</v>
      </c>
      <c r="N13" s="4">
        <f t="shared" si="5"/>
        <v>1</v>
      </c>
      <c r="O13" s="4">
        <f t="shared" si="6"/>
        <v>2</v>
      </c>
      <c r="T13" s="4">
        <v>1</v>
      </c>
      <c r="U13" s="4">
        <v>-1</v>
      </c>
      <c r="V13" s="4">
        <v>1</v>
      </c>
      <c r="W13" s="4">
        <v>65</v>
      </c>
    </row>
    <row r="14" spans="1:23">
      <c r="C14" s="20">
        <v>1</v>
      </c>
      <c r="D14" s="4">
        <v>1</v>
      </c>
      <c r="E14" s="4">
        <v>1</v>
      </c>
      <c r="F14" s="4">
        <v>-1</v>
      </c>
      <c r="G14" s="4">
        <f t="shared" si="0"/>
        <v>1</v>
      </c>
      <c r="H14" s="4">
        <f t="shared" si="1"/>
        <v>-1</v>
      </c>
      <c r="I14" s="4">
        <f t="shared" si="2"/>
        <v>-1</v>
      </c>
      <c r="J14" s="2">
        <f t="shared" si="3"/>
        <v>-1</v>
      </c>
      <c r="K14" s="4">
        <v>75</v>
      </c>
      <c r="L14" s="4">
        <v>7</v>
      </c>
      <c r="M14" s="4">
        <f t="shared" si="4"/>
        <v>76</v>
      </c>
      <c r="N14" s="4">
        <f t="shared" si="5"/>
        <v>1</v>
      </c>
      <c r="O14" s="4">
        <f t="shared" si="6"/>
        <v>2</v>
      </c>
      <c r="P14">
        <f>DEVSQ(K14:K15,K22:K23)</f>
        <v>629</v>
      </c>
      <c r="T14" s="4">
        <v>1</v>
      </c>
      <c r="U14" s="4">
        <v>1</v>
      </c>
      <c r="V14" s="4">
        <v>-1</v>
      </c>
      <c r="W14" s="4">
        <v>75</v>
      </c>
    </row>
    <row r="15" spans="1:23">
      <c r="C15" s="21">
        <v>1</v>
      </c>
      <c r="D15" s="7">
        <v>1</v>
      </c>
      <c r="E15" s="7">
        <v>1</v>
      </c>
      <c r="F15" s="7">
        <v>1</v>
      </c>
      <c r="G15" s="7">
        <f t="shared" si="0"/>
        <v>1</v>
      </c>
      <c r="H15" s="7">
        <f t="shared" si="1"/>
        <v>1</v>
      </c>
      <c r="I15" s="7">
        <f t="shared" si="2"/>
        <v>1</v>
      </c>
      <c r="J15" s="3">
        <f t="shared" si="3"/>
        <v>1</v>
      </c>
      <c r="K15" s="4">
        <v>50</v>
      </c>
      <c r="L15" s="4">
        <v>8</v>
      </c>
      <c r="M15" s="4">
        <f t="shared" si="4"/>
        <v>51</v>
      </c>
      <c r="N15" s="4">
        <f t="shared" si="5"/>
        <v>1</v>
      </c>
      <c r="O15" s="4">
        <f>DEVSQ(K15,K23)</f>
        <v>2</v>
      </c>
      <c r="T15" s="7">
        <v>1</v>
      </c>
      <c r="U15" s="7">
        <v>1</v>
      </c>
      <c r="V15" s="7">
        <v>1</v>
      </c>
      <c r="W15" s="4">
        <v>50</v>
      </c>
    </row>
    <row r="16" spans="1:23">
      <c r="C16" s="19">
        <v>1</v>
      </c>
      <c r="D16" s="6">
        <v>-1</v>
      </c>
      <c r="E16" s="6">
        <v>-1</v>
      </c>
      <c r="F16" s="6">
        <v>-1</v>
      </c>
      <c r="G16" s="6">
        <f>D16*E16</f>
        <v>1</v>
      </c>
      <c r="H16" s="6">
        <f>D16*F16</f>
        <v>1</v>
      </c>
      <c r="I16" s="6">
        <f>E16*F16</f>
        <v>1</v>
      </c>
      <c r="J16" s="1">
        <f>D16*E16*F16</f>
        <v>-1</v>
      </c>
      <c r="K16" s="4">
        <v>118</v>
      </c>
      <c r="L16" s="4">
        <v>1</v>
      </c>
      <c r="M16" s="4">
        <v>119</v>
      </c>
      <c r="N16" s="4">
        <f t="shared" si="5"/>
        <v>1</v>
      </c>
      <c r="O16" s="4"/>
      <c r="T16" s="6">
        <v>-1</v>
      </c>
      <c r="U16" s="6">
        <v>-1</v>
      </c>
      <c r="V16" s="6">
        <v>-1</v>
      </c>
      <c r="W16" s="4">
        <v>118</v>
      </c>
    </row>
    <row r="17" spans="2:23">
      <c r="C17" s="20">
        <v>1</v>
      </c>
      <c r="D17" s="4">
        <v>-1</v>
      </c>
      <c r="E17" s="4">
        <v>-1</v>
      </c>
      <c r="F17" s="4">
        <v>1</v>
      </c>
      <c r="G17" s="4">
        <f t="shared" ref="G17:G23" si="7">D17*E17</f>
        <v>1</v>
      </c>
      <c r="H17" s="4">
        <f t="shared" ref="H17:H23" si="8">D17*F17</f>
        <v>-1</v>
      </c>
      <c r="I17" s="4">
        <f t="shared" ref="I17:I23" si="9">E17*F17</f>
        <v>-1</v>
      </c>
      <c r="J17" s="2">
        <f t="shared" ref="J17:J23" si="10">D17*E17*F17</f>
        <v>1</v>
      </c>
      <c r="K17" s="4">
        <v>93</v>
      </c>
      <c r="L17" s="4">
        <v>2</v>
      </c>
      <c r="M17" s="4">
        <v>94</v>
      </c>
      <c r="N17" s="4">
        <f t="shared" si="5"/>
        <v>1</v>
      </c>
      <c r="O17" s="4"/>
      <c r="T17" s="4">
        <v>-1</v>
      </c>
      <c r="U17" s="4">
        <v>-1</v>
      </c>
      <c r="V17" s="4">
        <v>1</v>
      </c>
      <c r="W17" s="4">
        <v>93</v>
      </c>
    </row>
    <row r="18" spans="2:23">
      <c r="C18" s="20">
        <v>1</v>
      </c>
      <c r="D18" s="4">
        <v>-1</v>
      </c>
      <c r="E18" s="4">
        <v>1</v>
      </c>
      <c r="F18" s="4">
        <v>-1</v>
      </c>
      <c r="G18" s="4">
        <f t="shared" si="7"/>
        <v>-1</v>
      </c>
      <c r="H18" s="4">
        <f t="shared" si="8"/>
        <v>1</v>
      </c>
      <c r="I18" s="4">
        <f t="shared" si="9"/>
        <v>-1</v>
      </c>
      <c r="J18" s="2">
        <f t="shared" si="10"/>
        <v>1</v>
      </c>
      <c r="K18" s="4">
        <v>103</v>
      </c>
      <c r="L18" s="4">
        <v>3</v>
      </c>
      <c r="M18" s="4">
        <v>104</v>
      </c>
      <c r="N18" s="4">
        <f t="shared" si="5"/>
        <v>1</v>
      </c>
      <c r="O18" s="4"/>
      <c r="T18" s="4">
        <v>-1</v>
      </c>
      <c r="U18" s="4">
        <v>1</v>
      </c>
      <c r="V18" s="4">
        <v>-1</v>
      </c>
      <c r="W18" s="4">
        <v>103</v>
      </c>
    </row>
    <row r="19" spans="2:23">
      <c r="C19" s="20">
        <v>1</v>
      </c>
      <c r="D19" s="4">
        <v>-1</v>
      </c>
      <c r="E19" s="4">
        <v>1</v>
      </c>
      <c r="F19" s="4">
        <v>1</v>
      </c>
      <c r="G19" s="4">
        <f t="shared" si="7"/>
        <v>-1</v>
      </c>
      <c r="H19" s="4">
        <f t="shared" si="8"/>
        <v>-1</v>
      </c>
      <c r="I19" s="4">
        <f t="shared" si="9"/>
        <v>1</v>
      </c>
      <c r="J19" s="2">
        <f t="shared" si="10"/>
        <v>-1</v>
      </c>
      <c r="K19" s="4">
        <v>82</v>
      </c>
      <c r="L19" s="4">
        <v>4</v>
      </c>
      <c r="M19" s="4">
        <v>81</v>
      </c>
      <c r="N19" s="4">
        <f t="shared" si="5"/>
        <v>1</v>
      </c>
      <c r="O19" s="4"/>
      <c r="T19" s="4">
        <v>-1</v>
      </c>
      <c r="U19" s="4">
        <v>1</v>
      </c>
      <c r="V19" s="4">
        <v>1</v>
      </c>
      <c r="W19" s="4">
        <v>82</v>
      </c>
    </row>
    <row r="20" spans="2:23">
      <c r="C20" s="20">
        <v>1</v>
      </c>
      <c r="D20" s="4">
        <v>1</v>
      </c>
      <c r="E20" s="4">
        <v>-1</v>
      </c>
      <c r="F20" s="4">
        <v>-1</v>
      </c>
      <c r="G20" s="4">
        <f t="shared" si="7"/>
        <v>-1</v>
      </c>
      <c r="H20" s="4">
        <f t="shared" si="8"/>
        <v>-1</v>
      </c>
      <c r="I20" s="4">
        <f t="shared" si="9"/>
        <v>1</v>
      </c>
      <c r="J20" s="2">
        <f t="shared" si="10"/>
        <v>1</v>
      </c>
      <c r="K20" s="4">
        <v>88</v>
      </c>
      <c r="L20" s="4">
        <v>5</v>
      </c>
      <c r="M20" s="4">
        <v>89</v>
      </c>
      <c r="N20" s="4">
        <f t="shared" si="5"/>
        <v>1</v>
      </c>
      <c r="O20" s="4"/>
      <c r="T20" s="4">
        <v>1</v>
      </c>
      <c r="U20" s="4">
        <v>-1</v>
      </c>
      <c r="V20" s="4">
        <v>-1</v>
      </c>
      <c r="W20" s="4">
        <v>88</v>
      </c>
    </row>
    <row r="21" spans="2:23">
      <c r="C21" s="20">
        <v>1</v>
      </c>
      <c r="D21" s="4">
        <v>1</v>
      </c>
      <c r="E21" s="4">
        <v>-1</v>
      </c>
      <c r="F21" s="4">
        <v>1</v>
      </c>
      <c r="G21" s="4">
        <f t="shared" si="7"/>
        <v>-1</v>
      </c>
      <c r="H21" s="4">
        <f t="shared" si="8"/>
        <v>1</v>
      </c>
      <c r="I21" s="4">
        <f t="shared" si="9"/>
        <v>-1</v>
      </c>
      <c r="J21" s="2">
        <f t="shared" si="10"/>
        <v>-1</v>
      </c>
      <c r="K21" s="4">
        <v>67</v>
      </c>
      <c r="L21" s="4">
        <v>6</v>
      </c>
      <c r="M21" s="4">
        <v>66</v>
      </c>
      <c r="N21" s="4">
        <f t="shared" si="5"/>
        <v>1</v>
      </c>
      <c r="O21" s="4"/>
      <c r="T21" s="4">
        <v>1</v>
      </c>
      <c r="U21" s="4">
        <v>-1</v>
      </c>
      <c r="V21" s="4">
        <v>1</v>
      </c>
      <c r="W21" s="4">
        <v>67</v>
      </c>
    </row>
    <row r="22" spans="2:23">
      <c r="C22" s="20">
        <v>1</v>
      </c>
      <c r="D22" s="4">
        <v>1</v>
      </c>
      <c r="E22" s="4">
        <v>1</v>
      </c>
      <c r="F22" s="4">
        <v>-1</v>
      </c>
      <c r="G22" s="4">
        <f t="shared" si="7"/>
        <v>1</v>
      </c>
      <c r="H22" s="4">
        <f t="shared" si="8"/>
        <v>-1</v>
      </c>
      <c r="I22" s="4">
        <f t="shared" si="9"/>
        <v>-1</v>
      </c>
      <c r="J22" s="2">
        <f t="shared" si="10"/>
        <v>-1</v>
      </c>
      <c r="K22" s="4">
        <v>77</v>
      </c>
      <c r="L22" s="4">
        <v>7</v>
      </c>
      <c r="M22" s="4">
        <v>76</v>
      </c>
      <c r="N22" s="4">
        <f t="shared" si="5"/>
        <v>1</v>
      </c>
      <c r="O22" s="4"/>
      <c r="T22" s="4">
        <v>1</v>
      </c>
      <c r="U22" s="4">
        <v>1</v>
      </c>
      <c r="V22" s="4">
        <v>-1</v>
      </c>
      <c r="W22" s="4">
        <v>77</v>
      </c>
    </row>
    <row r="23" spans="2:23">
      <c r="C23" s="21">
        <v>1</v>
      </c>
      <c r="D23" s="7">
        <v>1</v>
      </c>
      <c r="E23" s="7">
        <v>1</v>
      </c>
      <c r="F23" s="7">
        <v>1</v>
      </c>
      <c r="G23" s="7">
        <f t="shared" si="7"/>
        <v>1</v>
      </c>
      <c r="H23" s="7">
        <f t="shared" si="8"/>
        <v>1</v>
      </c>
      <c r="I23" s="7">
        <f t="shared" si="9"/>
        <v>1</v>
      </c>
      <c r="J23" s="3">
        <f t="shared" si="10"/>
        <v>1</v>
      </c>
      <c r="K23" s="4">
        <v>52</v>
      </c>
      <c r="L23" s="4">
        <v>8</v>
      </c>
      <c r="M23" s="4">
        <v>51</v>
      </c>
      <c r="N23" s="4">
        <f t="shared" si="5"/>
        <v>1</v>
      </c>
      <c r="O23" s="4"/>
      <c r="T23" s="7">
        <v>1</v>
      </c>
      <c r="U23" s="7">
        <v>1</v>
      </c>
      <c r="V23" s="7">
        <v>1</v>
      </c>
      <c r="W23" s="4">
        <v>52</v>
      </c>
    </row>
    <row r="24" spans="2:23">
      <c r="M24" s="4"/>
      <c r="N24" s="4">
        <f>SUM(N8:N23)</f>
        <v>16</v>
      </c>
      <c r="O24">
        <f>SUM(O8:O15)</f>
        <v>16</v>
      </c>
      <c r="U24" s="4"/>
      <c r="V24" t="s">
        <v>47</v>
      </c>
      <c r="W24">
        <f>AVERAGE(W8:W23)</f>
        <v>85</v>
      </c>
    </row>
    <row r="28" spans="2:23">
      <c r="C28" s="29" t="s">
        <v>43</v>
      </c>
      <c r="D28" cm="1">
        <f t="array" ref="D28:S35">TRANSPOSE(C8:J23)</f>
        <v>1</v>
      </c>
      <c r="E28">
        <v>1</v>
      </c>
      <c r="F28">
        <v>1</v>
      </c>
      <c r="G28">
        <v>1</v>
      </c>
      <c r="H28">
        <v>1</v>
      </c>
      <c r="I28">
        <v>1</v>
      </c>
      <c r="J28">
        <v>1</v>
      </c>
      <c r="K28">
        <v>1</v>
      </c>
      <c r="L28">
        <v>1</v>
      </c>
      <c r="M28">
        <v>1</v>
      </c>
      <c r="N28">
        <v>1</v>
      </c>
      <c r="O28">
        <v>1</v>
      </c>
      <c r="P28">
        <v>1</v>
      </c>
      <c r="Q28">
        <v>1</v>
      </c>
      <c r="R28">
        <v>1</v>
      </c>
      <c r="S28">
        <v>1</v>
      </c>
    </row>
    <row r="29" spans="2:23">
      <c r="B29" t="s">
        <v>44</v>
      </c>
      <c r="D29">
        <v>-1</v>
      </c>
      <c r="E29">
        <v>-1</v>
      </c>
      <c r="F29">
        <v>-1</v>
      </c>
      <c r="G29">
        <v>-1</v>
      </c>
      <c r="H29">
        <v>1</v>
      </c>
      <c r="I29">
        <v>1</v>
      </c>
      <c r="J29">
        <v>1</v>
      </c>
      <c r="K29">
        <v>1</v>
      </c>
      <c r="L29">
        <v>-1</v>
      </c>
      <c r="M29">
        <v>-1</v>
      </c>
      <c r="N29">
        <v>-1</v>
      </c>
      <c r="O29">
        <v>-1</v>
      </c>
      <c r="P29">
        <v>1</v>
      </c>
      <c r="Q29">
        <v>1</v>
      </c>
      <c r="R29">
        <v>1</v>
      </c>
      <c r="S29">
        <v>1</v>
      </c>
    </row>
    <row r="30" spans="2:23">
      <c r="D30">
        <v>-1</v>
      </c>
      <c r="E30">
        <v>-1</v>
      </c>
      <c r="F30">
        <v>1</v>
      </c>
      <c r="G30">
        <v>1</v>
      </c>
      <c r="H30">
        <v>-1</v>
      </c>
      <c r="I30">
        <v>-1</v>
      </c>
      <c r="J30">
        <v>1</v>
      </c>
      <c r="K30">
        <v>1</v>
      </c>
      <c r="L30">
        <v>-1</v>
      </c>
      <c r="M30">
        <v>-1</v>
      </c>
      <c r="N30">
        <v>1</v>
      </c>
      <c r="O30">
        <v>1</v>
      </c>
      <c r="P30">
        <v>-1</v>
      </c>
      <c r="Q30">
        <v>-1</v>
      </c>
      <c r="R30">
        <v>1</v>
      </c>
      <c r="S30">
        <v>1</v>
      </c>
    </row>
    <row r="31" spans="2:23">
      <c r="D31">
        <v>-1</v>
      </c>
      <c r="E31">
        <v>1</v>
      </c>
      <c r="F31">
        <v>-1</v>
      </c>
      <c r="G31">
        <v>1</v>
      </c>
      <c r="H31">
        <v>-1</v>
      </c>
      <c r="I31">
        <v>1</v>
      </c>
      <c r="J31">
        <v>-1</v>
      </c>
      <c r="K31">
        <v>1</v>
      </c>
      <c r="L31">
        <v>-1</v>
      </c>
      <c r="M31">
        <v>1</v>
      </c>
      <c r="N31">
        <v>-1</v>
      </c>
      <c r="O31">
        <v>1</v>
      </c>
      <c r="P31">
        <v>-1</v>
      </c>
      <c r="Q31">
        <v>1</v>
      </c>
      <c r="R31">
        <v>-1</v>
      </c>
      <c r="S31">
        <v>1</v>
      </c>
    </row>
    <row r="32" spans="2:23">
      <c r="D32">
        <v>1</v>
      </c>
      <c r="E32">
        <v>1</v>
      </c>
      <c r="F32">
        <v>-1</v>
      </c>
      <c r="G32">
        <v>-1</v>
      </c>
      <c r="H32">
        <v>-1</v>
      </c>
      <c r="I32">
        <v>-1</v>
      </c>
      <c r="J32">
        <v>1</v>
      </c>
      <c r="K32">
        <v>1</v>
      </c>
      <c r="L32">
        <v>1</v>
      </c>
      <c r="M32">
        <v>1</v>
      </c>
      <c r="N32">
        <v>-1</v>
      </c>
      <c r="O32">
        <v>-1</v>
      </c>
      <c r="P32">
        <v>-1</v>
      </c>
      <c r="Q32">
        <v>-1</v>
      </c>
      <c r="R32">
        <v>1</v>
      </c>
      <c r="S32">
        <v>1</v>
      </c>
    </row>
    <row r="33" spans="3:20">
      <c r="D33">
        <v>1</v>
      </c>
      <c r="E33">
        <v>-1</v>
      </c>
      <c r="F33">
        <v>1</v>
      </c>
      <c r="G33">
        <v>-1</v>
      </c>
      <c r="H33">
        <v>-1</v>
      </c>
      <c r="I33">
        <v>1</v>
      </c>
      <c r="J33">
        <v>-1</v>
      </c>
      <c r="K33">
        <v>1</v>
      </c>
      <c r="L33">
        <v>1</v>
      </c>
      <c r="M33">
        <v>-1</v>
      </c>
      <c r="N33">
        <v>1</v>
      </c>
      <c r="O33">
        <v>-1</v>
      </c>
      <c r="P33">
        <v>-1</v>
      </c>
      <c r="Q33">
        <v>1</v>
      </c>
      <c r="R33">
        <v>-1</v>
      </c>
      <c r="S33">
        <v>1</v>
      </c>
    </row>
    <row r="34" spans="3:20">
      <c r="D34">
        <v>1</v>
      </c>
      <c r="E34">
        <v>-1</v>
      </c>
      <c r="F34">
        <v>-1</v>
      </c>
      <c r="G34">
        <v>1</v>
      </c>
      <c r="H34">
        <v>1</v>
      </c>
      <c r="I34">
        <v>-1</v>
      </c>
      <c r="J34">
        <v>-1</v>
      </c>
      <c r="K34">
        <v>1</v>
      </c>
      <c r="L34">
        <v>1</v>
      </c>
      <c r="M34">
        <v>-1</v>
      </c>
      <c r="N34">
        <v>-1</v>
      </c>
      <c r="O34">
        <v>1</v>
      </c>
      <c r="P34">
        <v>1</v>
      </c>
      <c r="Q34">
        <v>-1</v>
      </c>
      <c r="R34">
        <v>-1</v>
      </c>
      <c r="S34">
        <v>1</v>
      </c>
    </row>
    <row r="35" spans="3:20">
      <c r="D35">
        <v>-1</v>
      </c>
      <c r="E35">
        <v>1</v>
      </c>
      <c r="F35">
        <v>1</v>
      </c>
      <c r="G35">
        <v>-1</v>
      </c>
      <c r="H35">
        <v>1</v>
      </c>
      <c r="I35">
        <v>-1</v>
      </c>
      <c r="J35">
        <v>-1</v>
      </c>
      <c r="K35">
        <v>1</v>
      </c>
      <c r="L35">
        <v>-1</v>
      </c>
      <c r="M35">
        <v>1</v>
      </c>
      <c r="N35">
        <v>1</v>
      </c>
      <c r="O35">
        <v>-1</v>
      </c>
      <c r="P35">
        <v>1</v>
      </c>
      <c r="Q35">
        <v>-1</v>
      </c>
      <c r="R35">
        <v>-1</v>
      </c>
      <c r="S35">
        <v>1</v>
      </c>
      <c r="T35" t="s">
        <v>46</v>
      </c>
    </row>
    <row r="37" spans="3:20">
      <c r="F37" t="s">
        <v>55</v>
      </c>
    </row>
    <row r="38" spans="3:20">
      <c r="C38" s="29" t="s">
        <v>45</v>
      </c>
      <c r="D38">
        <f t="array" ref="D38:D45">MMULT(D28:S35,K8:K23)</f>
        <v>1360</v>
      </c>
      <c r="F38" s="22" t="s">
        <v>47</v>
      </c>
      <c r="G38">
        <f>D38/16</f>
        <v>85</v>
      </c>
    </row>
    <row r="39" spans="3:20">
      <c r="D39">
        <v>-232</v>
      </c>
      <c r="F39" s="22" t="s">
        <v>48</v>
      </c>
      <c r="G39">
        <f t="shared" ref="G39:G45" si="11">D39/16</f>
        <v>-14.5</v>
      </c>
    </row>
    <row r="40" spans="3:20">
      <c r="D40">
        <v>-112</v>
      </c>
      <c r="F40" s="22" t="s">
        <v>49</v>
      </c>
      <c r="G40">
        <f t="shared" si="11"/>
        <v>-7</v>
      </c>
    </row>
    <row r="41" spans="3:20">
      <c r="D41">
        <v>-192</v>
      </c>
      <c r="F41" s="22" t="s">
        <v>50</v>
      </c>
      <c r="G41">
        <f t="shared" si="11"/>
        <v>-12</v>
      </c>
    </row>
    <row r="42" spans="3:20">
      <c r="D42">
        <v>0</v>
      </c>
      <c r="F42" s="22" t="s">
        <v>51</v>
      </c>
      <c r="G42">
        <f t="shared" si="11"/>
        <v>0</v>
      </c>
    </row>
    <row r="43" spans="3:20">
      <c r="D43">
        <v>0</v>
      </c>
      <c r="F43" s="22" t="s">
        <v>52</v>
      </c>
      <c r="G43">
        <f t="shared" si="11"/>
        <v>0</v>
      </c>
    </row>
    <row r="44" spans="3:20">
      <c r="D44">
        <v>0</v>
      </c>
      <c r="F44" s="22" t="s">
        <v>53</v>
      </c>
      <c r="G44">
        <f t="shared" si="11"/>
        <v>0</v>
      </c>
    </row>
    <row r="45" spans="3:20">
      <c r="D45">
        <v>-8</v>
      </c>
      <c r="F45" s="22" t="s">
        <v>54</v>
      </c>
      <c r="G45">
        <f t="shared" si="11"/>
        <v>-0.5</v>
      </c>
    </row>
    <row r="47" spans="3:20">
      <c r="J47" t="s">
        <v>57</v>
      </c>
    </row>
    <row r="48" spans="3:20" ht="15" thickBot="1"/>
    <row r="49" spans="1:19">
      <c r="J49" s="25" t="s">
        <v>58</v>
      </c>
      <c r="K49" s="25"/>
    </row>
    <row r="50" spans="1:19">
      <c r="J50" t="s">
        <v>59</v>
      </c>
      <c r="K50">
        <v>0.9987631411469492</v>
      </c>
    </row>
    <row r="51" spans="1:19">
      <c r="J51" t="s">
        <v>60</v>
      </c>
      <c r="K51">
        <v>0.99752781211372066</v>
      </c>
    </row>
    <row r="52" spans="1:19">
      <c r="A52" s="4" t="s">
        <v>8</v>
      </c>
      <c r="B52" s="4" t="s">
        <v>7</v>
      </c>
      <c r="C52" s="4" t="s">
        <v>6</v>
      </c>
      <c r="D52" s="4" t="s">
        <v>30</v>
      </c>
      <c r="E52" s="4" t="s">
        <v>31</v>
      </c>
      <c r="F52" s="4" t="s">
        <v>32</v>
      </c>
      <c r="G52" s="4" t="s">
        <v>33</v>
      </c>
      <c r="H52" s="4" t="s">
        <v>9</v>
      </c>
      <c r="J52" t="s">
        <v>61</v>
      </c>
      <c r="K52">
        <v>0.9953646477132263</v>
      </c>
    </row>
    <row r="53" spans="1:19">
      <c r="A53" s="19">
        <v>-1</v>
      </c>
      <c r="B53" s="6">
        <v>-1</v>
      </c>
      <c r="C53" s="6">
        <v>-1</v>
      </c>
      <c r="D53" s="6">
        <f>A53*B53</f>
        <v>1</v>
      </c>
      <c r="E53" s="6">
        <f>A53*C53</f>
        <v>1</v>
      </c>
      <c r="F53" s="6">
        <f>B53*C53</f>
        <v>1</v>
      </c>
      <c r="G53" s="1">
        <f>A53*B53*C53</f>
        <v>-1</v>
      </c>
      <c r="H53" s="4">
        <v>120</v>
      </c>
      <c r="J53" t="s">
        <v>62</v>
      </c>
      <c r="K53">
        <v>1.4142135623730976</v>
      </c>
    </row>
    <row r="54" spans="1:19" ht="15" thickBot="1">
      <c r="A54" s="20">
        <v>-1</v>
      </c>
      <c r="B54" s="4">
        <v>-1</v>
      </c>
      <c r="C54" s="4">
        <v>1</v>
      </c>
      <c r="D54" s="4">
        <f t="shared" ref="D54:D60" si="12">A54*B54</f>
        <v>1</v>
      </c>
      <c r="E54" s="4">
        <f t="shared" ref="E54:E60" si="13">A54*C54</f>
        <v>-1</v>
      </c>
      <c r="F54" s="4">
        <f t="shared" ref="F54:F60" si="14">B54*C54</f>
        <v>-1</v>
      </c>
      <c r="G54" s="2">
        <f t="shared" ref="G54:G60" si="15">A54*B54*C54</f>
        <v>1</v>
      </c>
      <c r="H54" s="4">
        <v>95</v>
      </c>
      <c r="J54" s="23" t="s">
        <v>63</v>
      </c>
      <c r="K54" s="23">
        <v>16</v>
      </c>
    </row>
    <row r="55" spans="1:19">
      <c r="A55" s="20">
        <v>-1</v>
      </c>
      <c r="B55" s="4">
        <v>1</v>
      </c>
      <c r="C55" s="4">
        <v>-1</v>
      </c>
      <c r="D55" s="4">
        <f t="shared" si="12"/>
        <v>-1</v>
      </c>
      <c r="E55" s="4">
        <f t="shared" si="13"/>
        <v>1</v>
      </c>
      <c r="F55" s="4">
        <f t="shared" si="14"/>
        <v>-1</v>
      </c>
      <c r="G55" s="2">
        <f t="shared" si="15"/>
        <v>1</v>
      </c>
      <c r="H55" s="4">
        <v>105</v>
      </c>
    </row>
    <row r="56" spans="1:19" ht="15" thickBot="1">
      <c r="A56" s="20">
        <v>-1</v>
      </c>
      <c r="B56" s="4">
        <v>1</v>
      </c>
      <c r="C56" s="4">
        <v>1</v>
      </c>
      <c r="D56" s="4">
        <f t="shared" si="12"/>
        <v>-1</v>
      </c>
      <c r="E56" s="4">
        <f t="shared" si="13"/>
        <v>-1</v>
      </c>
      <c r="F56" s="4">
        <f t="shared" si="14"/>
        <v>1</v>
      </c>
      <c r="G56" s="2">
        <f t="shared" si="15"/>
        <v>-1</v>
      </c>
      <c r="H56" s="4">
        <v>80</v>
      </c>
      <c r="J56" t="s">
        <v>64</v>
      </c>
    </row>
    <row r="57" spans="1:19">
      <c r="A57" s="20">
        <v>1</v>
      </c>
      <c r="B57" s="4">
        <v>-1</v>
      </c>
      <c r="C57" s="4">
        <v>-1</v>
      </c>
      <c r="D57" s="4">
        <f t="shared" si="12"/>
        <v>-1</v>
      </c>
      <c r="E57" s="4">
        <f t="shared" si="13"/>
        <v>-1</v>
      </c>
      <c r="F57" s="4">
        <f t="shared" si="14"/>
        <v>1</v>
      </c>
      <c r="G57" s="2">
        <f t="shared" si="15"/>
        <v>1</v>
      </c>
      <c r="H57" s="4">
        <v>90</v>
      </c>
      <c r="J57" s="24"/>
      <c r="K57" s="24" t="s">
        <v>69</v>
      </c>
      <c r="L57" s="24" t="s">
        <v>70</v>
      </c>
      <c r="M57" s="24" t="s">
        <v>71</v>
      </c>
      <c r="N57" s="24" t="s">
        <v>72</v>
      </c>
      <c r="O57" s="24" t="s">
        <v>73</v>
      </c>
    </row>
    <row r="58" spans="1:19">
      <c r="A58" s="20">
        <v>1</v>
      </c>
      <c r="B58" s="4">
        <v>-1</v>
      </c>
      <c r="C58" s="4">
        <v>1</v>
      </c>
      <c r="D58" s="4">
        <f t="shared" si="12"/>
        <v>-1</v>
      </c>
      <c r="E58" s="4">
        <f t="shared" si="13"/>
        <v>1</v>
      </c>
      <c r="F58" s="4">
        <f t="shared" si="14"/>
        <v>-1</v>
      </c>
      <c r="G58" s="2">
        <f t="shared" si="15"/>
        <v>-1</v>
      </c>
      <c r="H58" s="4">
        <v>65</v>
      </c>
      <c r="J58" t="s">
        <v>65</v>
      </c>
      <c r="K58">
        <v>7</v>
      </c>
      <c r="L58">
        <v>6456</v>
      </c>
      <c r="M58">
        <v>922.28571428571433</v>
      </c>
      <c r="N58">
        <v>461.14285714285552</v>
      </c>
      <c r="O58">
        <v>8.7201097445905621E-10</v>
      </c>
    </row>
    <row r="59" spans="1:19">
      <c r="A59" s="20">
        <v>1</v>
      </c>
      <c r="B59" s="4">
        <v>1</v>
      </c>
      <c r="C59" s="4">
        <v>-1</v>
      </c>
      <c r="D59" s="4">
        <f t="shared" si="12"/>
        <v>1</v>
      </c>
      <c r="E59" s="4">
        <f t="shared" si="13"/>
        <v>-1</v>
      </c>
      <c r="F59" s="4">
        <f t="shared" si="14"/>
        <v>-1</v>
      </c>
      <c r="G59" s="2">
        <f t="shared" si="15"/>
        <v>-1</v>
      </c>
      <c r="H59" s="4">
        <v>75</v>
      </c>
      <c r="J59" t="s">
        <v>66</v>
      </c>
      <c r="K59">
        <v>8</v>
      </c>
      <c r="L59">
        <v>16.000000000000057</v>
      </c>
      <c r="M59">
        <v>2.0000000000000071</v>
      </c>
    </row>
    <row r="60" spans="1:19" ht="15" thickBot="1">
      <c r="A60" s="21">
        <v>1</v>
      </c>
      <c r="B60" s="7">
        <v>1</v>
      </c>
      <c r="C60" s="7">
        <v>1</v>
      </c>
      <c r="D60" s="7">
        <f t="shared" si="12"/>
        <v>1</v>
      </c>
      <c r="E60" s="7">
        <f t="shared" si="13"/>
        <v>1</v>
      </c>
      <c r="F60" s="7">
        <f t="shared" si="14"/>
        <v>1</v>
      </c>
      <c r="G60" s="3">
        <f t="shared" si="15"/>
        <v>1</v>
      </c>
      <c r="H60" s="4">
        <v>50</v>
      </c>
      <c r="J60" s="23" t="s">
        <v>67</v>
      </c>
      <c r="K60" s="23">
        <v>15</v>
      </c>
      <c r="L60" s="23">
        <v>6472</v>
      </c>
      <c r="M60" s="23"/>
      <c r="N60" s="23"/>
      <c r="O60" s="23"/>
    </row>
    <row r="61" spans="1:19" ht="15" thickBot="1">
      <c r="A61" s="19">
        <v>-1</v>
      </c>
      <c r="B61" s="6">
        <v>-1</v>
      </c>
      <c r="C61" s="6">
        <v>-1</v>
      </c>
      <c r="D61" s="6">
        <f>A61*B61</f>
        <v>1</v>
      </c>
      <c r="E61" s="6">
        <f>A61*C61</f>
        <v>1</v>
      </c>
      <c r="F61" s="6">
        <f>B61*C61</f>
        <v>1</v>
      </c>
      <c r="G61" s="1">
        <f>A61*B61*C61</f>
        <v>-1</v>
      </c>
      <c r="H61" s="4">
        <v>118</v>
      </c>
    </row>
    <row r="62" spans="1:19">
      <c r="A62" s="20">
        <v>-1</v>
      </c>
      <c r="B62" s="4">
        <v>-1</v>
      </c>
      <c r="C62" s="4">
        <v>1</v>
      </c>
      <c r="D62" s="4">
        <f t="shared" ref="D62:D68" si="16">A62*B62</f>
        <v>1</v>
      </c>
      <c r="E62" s="4">
        <f t="shared" ref="E62:E68" si="17">A62*C62</f>
        <v>-1</v>
      </c>
      <c r="F62" s="4">
        <f t="shared" ref="F62:F68" si="18">B62*C62</f>
        <v>-1</v>
      </c>
      <c r="G62" s="2">
        <f t="shared" ref="G62:G68" si="19">A62*B62*C62</f>
        <v>1</v>
      </c>
      <c r="H62" s="4">
        <v>93</v>
      </c>
      <c r="J62" s="24"/>
      <c r="K62" s="24" t="s">
        <v>74</v>
      </c>
      <c r="L62" s="24" t="s">
        <v>62</v>
      </c>
      <c r="M62" s="24" t="s">
        <v>75</v>
      </c>
      <c r="N62" s="24" t="s">
        <v>76</v>
      </c>
      <c r="O62" s="24" t="s">
        <v>77</v>
      </c>
      <c r="P62" s="24" t="s">
        <v>78</v>
      </c>
      <c r="Q62" s="24" t="s">
        <v>79</v>
      </c>
      <c r="R62" s="24" t="s">
        <v>80</v>
      </c>
    </row>
    <row r="63" spans="1:19">
      <c r="A63" s="20">
        <v>-1</v>
      </c>
      <c r="B63" s="4">
        <v>1</v>
      </c>
      <c r="C63" s="4">
        <v>-1</v>
      </c>
      <c r="D63" s="4">
        <f t="shared" si="16"/>
        <v>-1</v>
      </c>
      <c r="E63" s="4">
        <f t="shared" si="17"/>
        <v>1</v>
      </c>
      <c r="F63" s="4">
        <f t="shared" si="18"/>
        <v>-1</v>
      </c>
      <c r="G63" s="2">
        <f t="shared" si="19"/>
        <v>1</v>
      </c>
      <c r="H63" s="4">
        <v>103</v>
      </c>
      <c r="J63" t="s">
        <v>68</v>
      </c>
      <c r="K63">
        <v>85</v>
      </c>
      <c r="L63">
        <v>0.3535533905932744</v>
      </c>
      <c r="M63">
        <v>240.41630560342571</v>
      </c>
      <c r="N63" s="22">
        <v>1.0029754153475941E-16</v>
      </c>
      <c r="O63">
        <v>84.184704419276457</v>
      </c>
      <c r="P63">
        <v>85.815295580723543</v>
      </c>
      <c r="Q63">
        <v>84.184704419276457</v>
      </c>
      <c r="R63">
        <v>85.815295580723543</v>
      </c>
    </row>
    <row r="64" spans="1:19">
      <c r="A64" s="20">
        <v>-1</v>
      </c>
      <c r="B64" s="4">
        <v>1</v>
      </c>
      <c r="C64" s="4">
        <v>1</v>
      </c>
      <c r="D64" s="4">
        <f t="shared" si="16"/>
        <v>-1</v>
      </c>
      <c r="E64" s="4">
        <f t="shared" si="17"/>
        <v>-1</v>
      </c>
      <c r="F64" s="4">
        <f t="shared" si="18"/>
        <v>1</v>
      </c>
      <c r="G64" s="2">
        <f t="shared" si="19"/>
        <v>-1</v>
      </c>
      <c r="H64" s="4">
        <v>82</v>
      </c>
      <c r="J64" t="s">
        <v>8</v>
      </c>
      <c r="K64">
        <v>-14.500000000000002</v>
      </c>
      <c r="L64">
        <v>0.3535533905932744</v>
      </c>
      <c r="M64">
        <v>-41.01219330881969</v>
      </c>
      <c r="N64" s="22">
        <v>1.3756095936484027E-10</v>
      </c>
      <c r="O64">
        <v>-15.315295580723546</v>
      </c>
      <c r="P64">
        <v>-13.684704419276457</v>
      </c>
      <c r="Q64">
        <v>-15.315295580723546</v>
      </c>
      <c r="R64">
        <v>-13.684704419276457</v>
      </c>
      <c r="S64" t="s">
        <v>87</v>
      </c>
    </row>
    <row r="65" spans="1:31">
      <c r="A65" s="20">
        <v>1</v>
      </c>
      <c r="B65" s="4">
        <v>-1</v>
      </c>
      <c r="C65" s="4">
        <v>-1</v>
      </c>
      <c r="D65" s="4">
        <f t="shared" si="16"/>
        <v>-1</v>
      </c>
      <c r="E65" s="4">
        <f t="shared" si="17"/>
        <v>-1</v>
      </c>
      <c r="F65" s="4">
        <f t="shared" si="18"/>
        <v>1</v>
      </c>
      <c r="G65" s="2">
        <f t="shared" si="19"/>
        <v>1</v>
      </c>
      <c r="H65" s="4">
        <v>88</v>
      </c>
      <c r="J65" t="s">
        <v>7</v>
      </c>
      <c r="K65">
        <v>-6.9999999999999982</v>
      </c>
      <c r="L65">
        <v>0.3535533905932744</v>
      </c>
      <c r="M65">
        <v>-19.798989873223292</v>
      </c>
      <c r="N65" s="22">
        <v>4.4104438472601394E-8</v>
      </c>
      <c r="O65">
        <v>-7.8152955807235429</v>
      </c>
      <c r="P65">
        <v>-6.1847044192764535</v>
      </c>
      <c r="Q65">
        <v>-7.8152955807235429</v>
      </c>
      <c r="R65">
        <v>-6.1847044192764535</v>
      </c>
      <c r="S65" t="s">
        <v>88</v>
      </c>
    </row>
    <row r="66" spans="1:31">
      <c r="A66" s="20">
        <v>1</v>
      </c>
      <c r="B66" s="4">
        <v>-1</v>
      </c>
      <c r="C66" s="4">
        <v>1</v>
      </c>
      <c r="D66" s="4">
        <f t="shared" si="16"/>
        <v>-1</v>
      </c>
      <c r="E66" s="4">
        <f t="shared" si="17"/>
        <v>1</v>
      </c>
      <c r="F66" s="4">
        <f t="shared" si="18"/>
        <v>-1</v>
      </c>
      <c r="G66" s="2">
        <f t="shared" si="19"/>
        <v>-1</v>
      </c>
      <c r="H66" s="4">
        <v>67</v>
      </c>
      <c r="J66" t="s">
        <v>6</v>
      </c>
      <c r="K66">
        <v>-12</v>
      </c>
      <c r="L66">
        <v>0.3535533905932744</v>
      </c>
      <c r="M66">
        <v>-33.941125496954221</v>
      </c>
      <c r="N66" s="22">
        <v>6.2027981022310657E-10</v>
      </c>
      <c r="O66">
        <v>-12.815295580723545</v>
      </c>
      <c r="P66">
        <v>-11.184704419276455</v>
      </c>
      <c r="Q66">
        <v>-12.815295580723545</v>
      </c>
      <c r="R66">
        <v>-11.184704419276455</v>
      </c>
      <c r="S66" t="s">
        <v>88</v>
      </c>
      <c r="V66" t="s">
        <v>81</v>
      </c>
    </row>
    <row r="67" spans="1:31">
      <c r="A67" s="20">
        <v>1</v>
      </c>
      <c r="B67" s="4">
        <v>1</v>
      </c>
      <c r="C67" s="4">
        <v>-1</v>
      </c>
      <c r="D67" s="4">
        <f t="shared" si="16"/>
        <v>1</v>
      </c>
      <c r="E67" s="4">
        <f t="shared" si="17"/>
        <v>-1</v>
      </c>
      <c r="F67" s="4">
        <f t="shared" si="18"/>
        <v>-1</v>
      </c>
      <c r="G67" s="2">
        <f t="shared" si="19"/>
        <v>-1</v>
      </c>
      <c r="H67" s="4">
        <v>77</v>
      </c>
      <c r="J67" t="s">
        <v>30</v>
      </c>
      <c r="K67">
        <v>1.5404344466674051E-15</v>
      </c>
      <c r="L67">
        <v>0.3535533905932744</v>
      </c>
      <c r="M67">
        <v>4.3570065728474692E-15</v>
      </c>
      <c r="N67" s="22">
        <v>1</v>
      </c>
      <c r="O67">
        <v>-0.81529558072354325</v>
      </c>
      <c r="P67">
        <v>0.81529558072354635</v>
      </c>
      <c r="Q67">
        <v>-0.81529558072354325</v>
      </c>
      <c r="R67">
        <v>0.81529558072354635</v>
      </c>
      <c r="S67" t="s">
        <v>89</v>
      </c>
    </row>
    <row r="68" spans="1:31">
      <c r="A68" s="21">
        <v>1</v>
      </c>
      <c r="B68" s="7">
        <v>1</v>
      </c>
      <c r="C68" s="7">
        <v>1</v>
      </c>
      <c r="D68" s="7">
        <f t="shared" si="16"/>
        <v>1</v>
      </c>
      <c r="E68" s="7">
        <f t="shared" si="17"/>
        <v>1</v>
      </c>
      <c r="F68" s="7">
        <f t="shared" si="18"/>
        <v>1</v>
      </c>
      <c r="G68" s="3">
        <f t="shared" si="19"/>
        <v>1</v>
      </c>
      <c r="H68" s="4">
        <v>52</v>
      </c>
      <c r="J68" t="s">
        <v>31</v>
      </c>
      <c r="K68">
        <v>-2.7755575615629111E-17</v>
      </c>
      <c r="L68">
        <v>0.3535533905932744</v>
      </c>
      <c r="M68">
        <v>-7.8504622934189165E-17</v>
      </c>
      <c r="N68" s="22">
        <v>1</v>
      </c>
      <c r="O68">
        <v>-0.8152955807235448</v>
      </c>
      <c r="P68">
        <v>0.8152955807235448</v>
      </c>
      <c r="Q68">
        <v>-0.8152955807235448</v>
      </c>
      <c r="R68">
        <v>0.8152955807235448</v>
      </c>
      <c r="S68" t="s">
        <v>89</v>
      </c>
    </row>
    <row r="69" spans="1:31">
      <c r="D69" s="4"/>
      <c r="E69" s="4"/>
      <c r="F69" s="4"/>
      <c r="G69" s="4"/>
      <c r="J69" t="s">
        <v>32</v>
      </c>
      <c r="K69">
        <v>3.4208746946262636E-15</v>
      </c>
      <c r="L69">
        <v>0.3535533905932744</v>
      </c>
      <c r="M69">
        <v>9.6756947766387457E-15</v>
      </c>
      <c r="N69" s="22">
        <v>1</v>
      </c>
      <c r="O69">
        <v>-0.81529558072354136</v>
      </c>
      <c r="P69">
        <v>0.81529558072354824</v>
      </c>
      <c r="Q69">
        <v>-0.81529558072354136</v>
      </c>
      <c r="R69">
        <v>0.81529558072354824</v>
      </c>
      <c r="S69" t="s">
        <v>89</v>
      </c>
    </row>
    <row r="70" spans="1:31" ht="15" thickBot="1">
      <c r="J70" s="23" t="s">
        <v>33</v>
      </c>
      <c r="K70" s="23">
        <v>-0.49999999999999878</v>
      </c>
      <c r="L70" s="23">
        <v>0.3535533905932744</v>
      </c>
      <c r="M70" s="23">
        <v>-1.4142135623730892</v>
      </c>
      <c r="N70" s="26">
        <v>0.19501552810007722</v>
      </c>
      <c r="O70" s="23">
        <v>-1.3152955807235436</v>
      </c>
      <c r="P70" s="23">
        <v>0.31529558072354602</v>
      </c>
      <c r="Q70" s="23">
        <v>-1.3152955807235436</v>
      </c>
      <c r="R70" s="23">
        <v>0.31529558072354602</v>
      </c>
      <c r="S70" t="s">
        <v>89</v>
      </c>
    </row>
    <row r="71" spans="1:31"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</row>
    <row r="72" spans="1:31" ht="15">
      <c r="K72" s="37" t="s">
        <v>86</v>
      </c>
    </row>
    <row r="73" spans="1:31">
      <c r="K73" s="40" t="s">
        <v>126</v>
      </c>
      <c r="L73" s="39">
        <f>G38</f>
        <v>85</v>
      </c>
      <c r="M73" s="39" t="s">
        <v>85</v>
      </c>
      <c r="N73" s="39">
        <f>G39</f>
        <v>-14.5</v>
      </c>
      <c r="O73" s="39" t="s">
        <v>120</v>
      </c>
      <c r="P73" s="39">
        <f>G40</f>
        <v>-7</v>
      </c>
      <c r="Q73" s="39" t="s">
        <v>84</v>
      </c>
      <c r="R73" s="39">
        <f>G41</f>
        <v>-12</v>
      </c>
      <c r="S73" s="39" t="s">
        <v>121</v>
      </c>
      <c r="T73" s="39">
        <f>L76</f>
        <v>0</v>
      </c>
      <c r="U73" s="39" t="s">
        <v>82</v>
      </c>
      <c r="V73" s="39">
        <f>L77</f>
        <v>0</v>
      </c>
      <c r="W73" s="39" t="s">
        <v>122</v>
      </c>
      <c r="X73" s="39">
        <f>L78</f>
        <v>0</v>
      </c>
      <c r="Y73" s="39" t="s">
        <v>123</v>
      </c>
      <c r="Z73" s="39">
        <f>G45</f>
        <v>-0.5</v>
      </c>
      <c r="AA73" s="39" t="s">
        <v>83</v>
      </c>
      <c r="AC73" s="28"/>
      <c r="AD73" s="28"/>
    </row>
    <row r="74" spans="1:31">
      <c r="A74" t="s">
        <v>241</v>
      </c>
    </row>
    <row r="76" spans="1:31">
      <c r="B76" s="30" t="s">
        <v>90</v>
      </c>
      <c r="C76">
        <v>0.05</v>
      </c>
    </row>
    <row r="77" spans="1:31">
      <c r="B77" s="30" t="s">
        <v>69</v>
      </c>
      <c r="C77">
        <f>K59</f>
        <v>8</v>
      </c>
    </row>
    <row r="78" spans="1:31">
      <c r="B78" s="30" t="s">
        <v>91</v>
      </c>
      <c r="C78">
        <f>_xlfn.T.INV(1-C76/2,C77)</f>
        <v>2.3060041352041662</v>
      </c>
    </row>
    <row r="80" spans="1:31" ht="15">
      <c r="B80" s="30" t="s">
        <v>92</v>
      </c>
      <c r="C80" s="29" t="s">
        <v>93</v>
      </c>
      <c r="D80">
        <f>-C78</f>
        <v>-2.3060041352041662</v>
      </c>
      <c r="E80" t="s">
        <v>94</v>
      </c>
      <c r="F80" s="31" t="s">
        <v>95</v>
      </c>
      <c r="G80" s="29" t="s">
        <v>96</v>
      </c>
      <c r="H80">
        <f>C78</f>
        <v>2.3060041352041662</v>
      </c>
      <c r="I80" t="s">
        <v>97</v>
      </c>
    </row>
    <row r="82" spans="1:38">
      <c r="A82" s="30" t="s">
        <v>105</v>
      </c>
      <c r="F82" t="s">
        <v>106</v>
      </c>
      <c r="K82" t="s">
        <v>107</v>
      </c>
      <c r="P82" t="s">
        <v>108</v>
      </c>
      <c r="V82" t="s">
        <v>109</v>
      </c>
      <c r="AB82" t="s">
        <v>110</v>
      </c>
      <c r="AH82" t="s">
        <v>111</v>
      </c>
    </row>
    <row r="83" spans="1:38">
      <c r="A83" s="30" t="s">
        <v>98</v>
      </c>
      <c r="B83">
        <f>M64</f>
        <v>-41.01219330881969</v>
      </c>
      <c r="F83" t="s">
        <v>98</v>
      </c>
      <c r="G83">
        <f>M65</f>
        <v>-19.798989873223292</v>
      </c>
      <c r="K83" t="s">
        <v>98</v>
      </c>
      <c r="L83">
        <f>M66</f>
        <v>-33.941125496954221</v>
      </c>
      <c r="P83" t="s">
        <v>98</v>
      </c>
      <c r="Q83">
        <f>M67</f>
        <v>4.3570065728474692E-15</v>
      </c>
      <c r="V83" t="s">
        <v>98</v>
      </c>
      <c r="W83">
        <f>M68</f>
        <v>-7.8504622934189165E-17</v>
      </c>
      <c r="AB83" t="s">
        <v>98</v>
      </c>
      <c r="AC83">
        <f>M69</f>
        <v>9.6756947766387457E-15</v>
      </c>
      <c r="AH83" t="s">
        <v>98</v>
      </c>
      <c r="AI83">
        <f>M70</f>
        <v>-1.4142135623730892</v>
      </c>
    </row>
    <row r="84" spans="1:38">
      <c r="A84" s="32" t="str">
        <f>A83</f>
        <v>t0</v>
      </c>
      <c r="B84" t="str">
        <f>IF(AND(B83&gt;$D$80,B83&lt;$H$80),"∉","∈")</f>
        <v>∈</v>
      </c>
      <c r="C84" s="33" t="s">
        <v>92</v>
      </c>
      <c r="F84" s="33" t="str">
        <f>F83</f>
        <v>t0</v>
      </c>
      <c r="G84" t="str">
        <f>IF(AND(G83&gt;$D$80,G83&lt;$H$80),"∉","∈")</f>
        <v>∈</v>
      </c>
      <c r="H84" s="33" t="s">
        <v>92</v>
      </c>
      <c r="K84" t="s">
        <v>98</v>
      </c>
      <c r="L84" t="str">
        <f>IF(AND(L83&gt;$D$80,L83&lt;$H$80),"∉","∈")</f>
        <v>∈</v>
      </c>
      <c r="M84" s="33" t="s">
        <v>92</v>
      </c>
      <c r="P84" t="s">
        <v>98</v>
      </c>
      <c r="Q84" t="str">
        <f>IF(AND(Q83&gt;$D$80,Q83&lt;$H$80),"∉","∈")</f>
        <v>∉</v>
      </c>
      <c r="R84" s="33" t="s">
        <v>92</v>
      </c>
      <c r="V84" t="s">
        <v>98</v>
      </c>
      <c r="W84" t="str">
        <f>IF(AND(W83&gt;$D$80,W83&lt;$H$80),"∉","∈")</f>
        <v>∉</v>
      </c>
      <c r="X84" s="33" t="s">
        <v>92</v>
      </c>
      <c r="AB84" t="s">
        <v>98</v>
      </c>
      <c r="AC84" t="str">
        <f>IF(AND(AC83&gt;$D$80,AC83&lt;$H$80),"∉","∈")</f>
        <v>∉</v>
      </c>
      <c r="AD84" s="33" t="s">
        <v>92</v>
      </c>
      <c r="AH84" t="s">
        <v>98</v>
      </c>
      <c r="AI84" t="str">
        <f>IF(AND(AI83&gt;$D$80,AI83&lt;$H$80),"∉","∈")</f>
        <v>∉</v>
      </c>
      <c r="AJ84" s="33" t="s">
        <v>92</v>
      </c>
    </row>
    <row r="85" spans="1:38">
      <c r="A85" s="30" t="s">
        <v>99</v>
      </c>
      <c r="B85" t="s">
        <v>100</v>
      </c>
      <c r="C85" t="str">
        <f>IF(AND(B83&gt;$D$80,B83&lt;$H$80),"nezamietam","zamietam")</f>
        <v>zamietam</v>
      </c>
      <c r="F85" t="s">
        <v>99</v>
      </c>
      <c r="G85" t="s">
        <v>100</v>
      </c>
      <c r="H85" t="str">
        <f>IF(AND(G83&gt;$D$80,G83&lt;$H$80),"nezamietam","zamietam")</f>
        <v>zamietam</v>
      </c>
      <c r="K85" t="s">
        <v>99</v>
      </c>
      <c r="L85" t="s">
        <v>100</v>
      </c>
      <c r="M85" t="str">
        <f>IF(AND(L83&gt;$D$80,L83&lt;$H$80),"nezamietam","zamietam")</f>
        <v>zamietam</v>
      </c>
      <c r="P85" t="s">
        <v>99</v>
      </c>
      <c r="Q85" t="s">
        <v>100</v>
      </c>
      <c r="R85" t="str">
        <f>IF(AND(Q83&gt;$D$80,Q83&lt;$H$80),"nezamietam","zamietam")</f>
        <v>nezamietam</v>
      </c>
      <c r="V85" t="s">
        <v>99</v>
      </c>
      <c r="W85" t="s">
        <v>100</v>
      </c>
      <c r="X85" t="str">
        <f>IF(AND(W83&gt;$D$80,W83&lt;$H$80),"nezamietam","zamietam")</f>
        <v>nezamietam</v>
      </c>
      <c r="AB85" t="s">
        <v>99</v>
      </c>
      <c r="AC85" t="s">
        <v>100</v>
      </c>
      <c r="AD85" t="str">
        <f>IF(AND(AC83&gt;$D$80,AC83&lt;$H$80),"nezamietam","zamietam")</f>
        <v>nezamietam</v>
      </c>
      <c r="AH85" t="s">
        <v>99</v>
      </c>
      <c r="AI85" t="s">
        <v>100</v>
      </c>
      <c r="AJ85" t="str">
        <f>IF(AND(AI83&gt;$D$80,AI83&lt;$H$80),"nezamietam","zamietam")</f>
        <v>nezamietam</v>
      </c>
    </row>
    <row r="86" spans="1:38">
      <c r="A86" s="30"/>
      <c r="B86" t="s">
        <v>101</v>
      </c>
      <c r="C86" t="str">
        <f>IF(AND(B83&gt;$D$80,B83&lt;$H$80),"zamietam","nezamietam")</f>
        <v>nezamietam</v>
      </c>
      <c r="G86" t="s">
        <v>101</v>
      </c>
      <c r="H86" t="str">
        <f>IF(AND(G83&gt;$D$80,G83&lt;$H$80),"zamietam","nezamietam")</f>
        <v>nezamietam</v>
      </c>
      <c r="L86" t="s">
        <v>101</v>
      </c>
      <c r="M86" t="str">
        <f>IF(AND(L83&gt;$D$80,L83&lt;$H$80),"zamietam","nezamietam")</f>
        <v>nezamietam</v>
      </c>
      <c r="Q86" t="s">
        <v>101</v>
      </c>
      <c r="R86" t="str">
        <f>IF(AND(Q83&gt;$D$80,Q83&lt;$H$80),"zamietam","nezamietam")</f>
        <v>zamietam</v>
      </c>
      <c r="W86" t="s">
        <v>101</v>
      </c>
      <c r="X86" t="str">
        <f>IF(AND(W83&gt;$D$80,W83&lt;$H$80),"zamietam","nezamietam")</f>
        <v>zamietam</v>
      </c>
      <c r="AC86" t="s">
        <v>101</v>
      </c>
      <c r="AD86" t="str">
        <f>IF(AND(AC83&gt;$D$80,AC83&lt;$H$80),"zamietam","nezamietam")</f>
        <v>zamietam</v>
      </c>
      <c r="AI86" t="s">
        <v>101</v>
      </c>
      <c r="AJ86" t="str">
        <f>IF(AND(AI83&gt;$D$80,AI83&lt;$H$80),"zamietam","nezamietam")</f>
        <v>zamietam</v>
      </c>
    </row>
    <row r="87" spans="1:38">
      <c r="A87" s="30"/>
    </row>
    <row r="88" spans="1:38">
      <c r="A88" s="30" t="s">
        <v>102</v>
      </c>
      <c r="B88">
        <f>N64</f>
        <v>1.3756095936484027E-10</v>
      </c>
      <c r="C88">
        <f>2*(1-_xlfn.T.DIST(B83,C77,TRUE))</f>
        <v>1.9999999998624391</v>
      </c>
      <c r="F88" t="s">
        <v>102</v>
      </c>
      <c r="G88">
        <f>N65</f>
        <v>4.4104438472601394E-8</v>
      </c>
      <c r="H88">
        <f>2*(1-_xlfn.T.DIST(G83,C77,TRUE))</f>
        <v>1.9999999558955615</v>
      </c>
      <c r="K88" t="s">
        <v>102</v>
      </c>
      <c r="L88">
        <f>N66</f>
        <v>6.2027981022310657E-10</v>
      </c>
      <c r="M88">
        <f>2*(_xlfn.T.DIST(L83,C77,TRUE))</f>
        <v>6.2027981022310657E-10</v>
      </c>
      <c r="P88" t="s">
        <v>102</v>
      </c>
      <c r="Q88">
        <f>N67</f>
        <v>1</v>
      </c>
      <c r="R88">
        <f>2*(_xlfn.T.DIST(Q83,C77,TRUE))</f>
        <v>1</v>
      </c>
      <c r="V88" t="s">
        <v>102</v>
      </c>
      <c r="W88">
        <f>N68</f>
        <v>1</v>
      </c>
      <c r="X88">
        <f>2*(_xlfn.T.DIST(W83,C77,TRUE))</f>
        <v>1</v>
      </c>
      <c r="AB88" t="s">
        <v>102</v>
      </c>
      <c r="AC88">
        <f>N69</f>
        <v>1</v>
      </c>
      <c r="AD88">
        <f>2*(1-_xlfn.T.DIST(AC83,C77,TRUE))</f>
        <v>1</v>
      </c>
      <c r="AH88" t="s">
        <v>102</v>
      </c>
      <c r="AI88">
        <f>N70</f>
        <v>0.19501552810007722</v>
      </c>
      <c r="AJ88">
        <f>2*(_xlfn.T.DIST(AI83,C77,TRUE))</f>
        <v>0.19501552810007722</v>
      </c>
    </row>
    <row r="89" spans="1:38">
      <c r="A89" s="30" t="s">
        <v>99</v>
      </c>
      <c r="B89" t="s">
        <v>100</v>
      </c>
      <c r="C89" t="str">
        <f>IF(B88&gt;$C$76,"nezamietam","zamietam")</f>
        <v>zamietam</v>
      </c>
      <c r="F89" t="s">
        <v>99</v>
      </c>
      <c r="G89" t="s">
        <v>100</v>
      </c>
      <c r="H89" t="str">
        <f>IF(G88&gt;$C$76,"nezamietam","zamietam")</f>
        <v>zamietam</v>
      </c>
      <c r="K89" t="s">
        <v>99</v>
      </c>
      <c r="L89" t="s">
        <v>100</v>
      </c>
      <c r="M89" t="str">
        <f>IF(L88&gt;$C$76,"nezamietam","zamietam")</f>
        <v>zamietam</v>
      </c>
      <c r="P89" t="s">
        <v>99</v>
      </c>
      <c r="Q89" t="s">
        <v>100</v>
      </c>
      <c r="R89" t="str">
        <f>IF(Q88&gt;$C$76,"nezamietam","zamietam")</f>
        <v>nezamietam</v>
      </c>
      <c r="V89" t="s">
        <v>99</v>
      </c>
      <c r="W89" t="s">
        <v>100</v>
      </c>
      <c r="X89" t="str">
        <f>IF(W88&gt;$C$76,"nezamietam","zamietam")</f>
        <v>nezamietam</v>
      </c>
      <c r="AB89" t="s">
        <v>99</v>
      </c>
      <c r="AC89" t="s">
        <v>100</v>
      </c>
      <c r="AD89" t="str">
        <f>IF(AC88&gt;$C$76,"nezamietam","zamietam")</f>
        <v>nezamietam</v>
      </c>
      <c r="AH89" t="s">
        <v>99</v>
      </c>
      <c r="AI89" t="s">
        <v>100</v>
      </c>
      <c r="AJ89" t="str">
        <f>IF(AI88&gt;$C$76,"nezamietam","zamietam")</f>
        <v>nezamietam</v>
      </c>
    </row>
    <row r="90" spans="1:38">
      <c r="A90" s="30"/>
      <c r="B90" t="s">
        <v>101</v>
      </c>
      <c r="C90" t="str">
        <f>IF(B88&lt;$C$76,"nezamietam","zamietam")</f>
        <v>nezamietam</v>
      </c>
      <c r="G90" t="s">
        <v>101</v>
      </c>
      <c r="H90" t="str">
        <f>IF(G88&lt;$C$76,"nezamietam","zamietam")</f>
        <v>nezamietam</v>
      </c>
      <c r="L90" t="s">
        <v>101</v>
      </c>
      <c r="M90" t="str">
        <f>IF(L88&lt;$C$76,"nezamietam","zamietam")</f>
        <v>nezamietam</v>
      </c>
      <c r="Q90" t="s">
        <v>101</v>
      </c>
      <c r="R90" t="str">
        <f>IF(Q88&lt;$C$76,"nezamietam","zamietam")</f>
        <v>zamietam</v>
      </c>
      <c r="W90" t="s">
        <v>101</v>
      </c>
      <c r="X90" t="str">
        <f>IF(W88&lt;$C$76,"nezamietam","zamietam")</f>
        <v>zamietam</v>
      </c>
      <c r="AC90" t="s">
        <v>101</v>
      </c>
      <c r="AD90" t="str">
        <f>IF(AC88&lt;$C$76,"nezamietam","zamietam")</f>
        <v>zamietam</v>
      </c>
      <c r="AI90" t="s">
        <v>101</v>
      </c>
      <c r="AJ90" t="str">
        <f>IF(AI88&lt;$C$76,"nezamietam","zamietam")</f>
        <v>zamietam</v>
      </c>
    </row>
    <row r="91" spans="1:38">
      <c r="A91" s="30"/>
    </row>
    <row r="92" spans="1:38">
      <c r="A92" s="34" t="s">
        <v>103</v>
      </c>
      <c r="F92" s="35" t="s">
        <v>103</v>
      </c>
      <c r="K92" s="35" t="s">
        <v>103</v>
      </c>
      <c r="P92" s="35" t="s">
        <v>103</v>
      </c>
      <c r="V92" s="35" t="s">
        <v>103</v>
      </c>
      <c r="AB92" s="35" t="s">
        <v>103</v>
      </c>
      <c r="AH92" s="35" t="s">
        <v>103</v>
      </c>
    </row>
    <row r="93" spans="1:38">
      <c r="A93" s="36" t="s">
        <v>96</v>
      </c>
      <c r="B93">
        <f>O64</f>
        <v>-15.315295580723546</v>
      </c>
      <c r="C93" t="s">
        <v>104</v>
      </c>
      <c r="D93">
        <f>P64</f>
        <v>-13.684704419276457</v>
      </c>
      <c r="E93" t="s">
        <v>94</v>
      </c>
      <c r="F93" s="29" t="s">
        <v>96</v>
      </c>
      <c r="G93">
        <f>O65</f>
        <v>-7.8152955807235429</v>
      </c>
      <c r="H93" t="s">
        <v>104</v>
      </c>
      <c r="I93">
        <f>P65</f>
        <v>-6.1847044192764535</v>
      </c>
      <c r="J93" t="s">
        <v>94</v>
      </c>
      <c r="K93" s="29" t="s">
        <v>96</v>
      </c>
      <c r="L93">
        <f>O66</f>
        <v>-12.815295580723545</v>
      </c>
      <c r="M93" t="s">
        <v>104</v>
      </c>
      <c r="N93">
        <f>P66</f>
        <v>-11.184704419276455</v>
      </c>
      <c r="O93" t="s">
        <v>94</v>
      </c>
      <c r="P93" s="29" t="s">
        <v>96</v>
      </c>
      <c r="Q93">
        <f>O67</f>
        <v>-0.81529558072354325</v>
      </c>
      <c r="R93" t="s">
        <v>104</v>
      </c>
      <c r="S93">
        <f>P67</f>
        <v>0.81529558072354635</v>
      </c>
      <c r="T93" t="s">
        <v>94</v>
      </c>
      <c r="V93" s="29" t="s">
        <v>96</v>
      </c>
      <c r="W93">
        <f>O68</f>
        <v>-0.8152955807235448</v>
      </c>
      <c r="X93" t="s">
        <v>104</v>
      </c>
      <c r="Y93">
        <f>P68</f>
        <v>0.8152955807235448</v>
      </c>
      <c r="Z93" t="s">
        <v>94</v>
      </c>
      <c r="AB93" s="29" t="s">
        <v>96</v>
      </c>
      <c r="AC93">
        <f>O69</f>
        <v>-0.81529558072354136</v>
      </c>
      <c r="AD93" t="s">
        <v>104</v>
      </c>
      <c r="AE93">
        <f>P69</f>
        <v>0.81529558072354824</v>
      </c>
      <c r="AF93" t="s">
        <v>94</v>
      </c>
      <c r="AH93" s="29" t="s">
        <v>96</v>
      </c>
      <c r="AI93">
        <f>O70</f>
        <v>-1.3152955807235436</v>
      </c>
      <c r="AJ93" t="s">
        <v>104</v>
      </c>
      <c r="AK93">
        <f>P70</f>
        <v>0.31529558072354602</v>
      </c>
      <c r="AL93" t="s">
        <v>94</v>
      </c>
    </row>
    <row r="94" spans="1:38">
      <c r="A94" s="30" t="s">
        <v>112</v>
      </c>
      <c r="B94" t="str">
        <f>IF(AND(0&gt;B93,0&lt;D93),"∈","∉")</f>
        <v>∉</v>
      </c>
      <c r="C94" t="s">
        <v>103</v>
      </c>
      <c r="F94" t="s">
        <v>113</v>
      </c>
      <c r="G94" t="str">
        <f>IF(AND(0&gt;G93,0&lt;I93),"∈","∉")</f>
        <v>∉</v>
      </c>
      <c r="H94" t="s">
        <v>103</v>
      </c>
      <c r="K94" t="s">
        <v>114</v>
      </c>
      <c r="L94" t="str">
        <f>IF(AND(0&gt;L93,0&lt;N93),"∈","∉")</f>
        <v>∉</v>
      </c>
      <c r="M94" t="s">
        <v>103</v>
      </c>
      <c r="P94" t="s">
        <v>115</v>
      </c>
      <c r="Q94" t="str">
        <f>IF(AND(0&gt;Q93,0&lt;S93),"∈","∉")</f>
        <v>∈</v>
      </c>
      <c r="R94" t="s">
        <v>103</v>
      </c>
      <c r="V94" t="s">
        <v>116</v>
      </c>
      <c r="W94" t="str">
        <f>IF(AND(0&gt;W93,0&lt;Y93),"∈","∉")</f>
        <v>∈</v>
      </c>
      <c r="X94" t="s">
        <v>103</v>
      </c>
      <c r="AB94" t="s">
        <v>117</v>
      </c>
      <c r="AC94" t="str">
        <f>IF(AND(0&gt;AC93,0&lt;AE93),"∈","∉")</f>
        <v>∈</v>
      </c>
      <c r="AD94" t="s">
        <v>103</v>
      </c>
      <c r="AH94" t="s">
        <v>118</v>
      </c>
      <c r="AI94" t="str">
        <f>IF(AND(0&gt;AI93,0&lt;AK93),"∈","∉")</f>
        <v>∈</v>
      </c>
      <c r="AJ94" t="s">
        <v>103</v>
      </c>
    </row>
    <row r="95" spans="1:38">
      <c r="A95" s="30" t="s">
        <v>99</v>
      </c>
      <c r="B95" t="s">
        <v>100</v>
      </c>
      <c r="C95" t="str">
        <f>IF(AND(0&gt;B93,0&lt;D93),"nezamietam","zamietam")</f>
        <v>zamietam</v>
      </c>
      <c r="F95" t="s">
        <v>99</v>
      </c>
      <c r="G95" t="s">
        <v>100</v>
      </c>
      <c r="H95" t="str">
        <f>IF(AND(0&gt;G93,0&lt;I93),"nezamietam","zamietam")</f>
        <v>zamietam</v>
      </c>
      <c r="K95" t="s">
        <v>99</v>
      </c>
      <c r="L95" t="s">
        <v>100</v>
      </c>
      <c r="M95" t="str">
        <f>IF(AND(0&gt;L93,0&lt;N93),"nezamietam","zamietam")</f>
        <v>zamietam</v>
      </c>
      <c r="P95" t="s">
        <v>99</v>
      </c>
      <c r="Q95" t="s">
        <v>100</v>
      </c>
      <c r="R95" t="str">
        <f>IF(AND(0&gt;Q93,0&lt;S93),"nezamietam","zamietam")</f>
        <v>nezamietam</v>
      </c>
      <c r="V95" t="s">
        <v>99</v>
      </c>
      <c r="W95" t="s">
        <v>100</v>
      </c>
      <c r="X95" t="str">
        <f>IF(AND(0&gt;W93,0&lt;Y93),"nezamietam","zamietam")</f>
        <v>nezamietam</v>
      </c>
      <c r="AB95" t="s">
        <v>99</v>
      </c>
      <c r="AC95" t="s">
        <v>100</v>
      </c>
      <c r="AD95" t="str">
        <f>IF(AND(0&gt;AC93,0&lt;AE93),"nezamietam","zamietam")</f>
        <v>nezamietam</v>
      </c>
      <c r="AH95" t="s">
        <v>99</v>
      </c>
      <c r="AI95" t="s">
        <v>100</v>
      </c>
      <c r="AJ95" t="str">
        <f>IF(AND(0&gt;AI93,0&lt;AK93),"nezamietam","zamietam")</f>
        <v>nezamietam</v>
      </c>
    </row>
    <row r="96" spans="1:38">
      <c r="B96" t="s">
        <v>101</v>
      </c>
      <c r="C96" t="str">
        <f>IF(AND(0&gt;B93,0&lt;D93),"zamietam","nezamietam")</f>
        <v>nezamietam</v>
      </c>
      <c r="G96" t="s">
        <v>101</v>
      </c>
      <c r="H96" t="str">
        <f>IF(AND(0&gt;G93,0&lt;I93),"zamietam","nezamietam")</f>
        <v>nezamietam</v>
      </c>
      <c r="L96" t="s">
        <v>101</v>
      </c>
      <c r="M96" t="str">
        <f>IF(AND(0&gt;L93,0&lt;N93),"zamietam","nezamietam")</f>
        <v>nezamietam</v>
      </c>
      <c r="Q96" t="s">
        <v>101</v>
      </c>
      <c r="R96" t="str">
        <f>IF(AND(0&gt;Q93,0&lt;S93),"zamietam","nezamietam")</f>
        <v>zamietam</v>
      </c>
      <c r="W96" t="s">
        <v>101</v>
      </c>
      <c r="X96" t="str">
        <f>IF(AND(0&gt;W93,0&lt;Y93),"zamietam","nezamietam")</f>
        <v>zamietam</v>
      </c>
      <c r="AC96" t="s">
        <v>101</v>
      </c>
      <c r="AD96" t="str">
        <f>IF(AND(0&gt;AC93,0&lt;AE93),"zamietam","nezamietam")</f>
        <v>zamietam</v>
      </c>
      <c r="AI96" t="s">
        <v>101</v>
      </c>
      <c r="AJ96" t="str">
        <f>IF(AND(0&gt;AI93,0&lt;AK93),"zamietam","nezamietam")</f>
        <v>zamietam</v>
      </c>
    </row>
    <row r="97" spans="1:11">
      <c r="F97" s="66" t="s">
        <v>292</v>
      </c>
    </row>
    <row r="98" spans="1:11">
      <c r="F98" t="s">
        <v>240</v>
      </c>
    </row>
    <row r="99" spans="1:11">
      <c r="A99" t="s">
        <v>128</v>
      </c>
    </row>
    <row r="102" spans="1:11">
      <c r="A102" s="4" t="s">
        <v>8</v>
      </c>
      <c r="B102" s="4" t="s">
        <v>7</v>
      </c>
      <c r="C102" s="4" t="s">
        <v>6</v>
      </c>
      <c r="D102" s="4" t="s">
        <v>9</v>
      </c>
      <c r="F102" t="s">
        <v>57</v>
      </c>
    </row>
    <row r="103" spans="1:11" ht="15" thickBot="1">
      <c r="A103" s="6">
        <v>-1</v>
      </c>
      <c r="B103" s="6">
        <v>-1</v>
      </c>
      <c r="C103" s="6">
        <v>-1</v>
      </c>
      <c r="D103" s="4">
        <v>120</v>
      </c>
    </row>
    <row r="104" spans="1:11">
      <c r="A104" s="4">
        <v>-1</v>
      </c>
      <c r="B104" s="4">
        <v>-1</v>
      </c>
      <c r="C104" s="4">
        <v>1</v>
      </c>
      <c r="D104" s="4">
        <v>95</v>
      </c>
      <c r="F104" s="25" t="s">
        <v>58</v>
      </c>
      <c r="G104" s="25"/>
    </row>
    <row r="105" spans="1:11">
      <c r="A105" s="4">
        <v>-1</v>
      </c>
      <c r="B105" s="4">
        <v>1</v>
      </c>
      <c r="C105" s="4">
        <v>-1</v>
      </c>
      <c r="D105" s="4">
        <v>105</v>
      </c>
      <c r="F105" t="s">
        <v>59</v>
      </c>
      <c r="G105">
        <v>0.99845368702917348</v>
      </c>
    </row>
    <row r="106" spans="1:11">
      <c r="A106" s="4">
        <v>-1</v>
      </c>
      <c r="B106" s="4">
        <v>1</v>
      </c>
      <c r="C106" s="4">
        <v>1</v>
      </c>
      <c r="D106" s="4">
        <v>80</v>
      </c>
      <c r="F106" t="s">
        <v>60</v>
      </c>
      <c r="G106">
        <v>0.99690976514215079</v>
      </c>
    </row>
    <row r="107" spans="1:11">
      <c r="A107" s="4">
        <v>1</v>
      </c>
      <c r="B107" s="4">
        <v>-1</v>
      </c>
      <c r="C107" s="4">
        <v>-1</v>
      </c>
      <c r="D107" s="4">
        <v>90</v>
      </c>
      <c r="F107" t="s">
        <v>61</v>
      </c>
      <c r="G107">
        <v>0.99613720642768844</v>
      </c>
    </row>
    <row r="108" spans="1:11">
      <c r="A108" s="4">
        <v>1</v>
      </c>
      <c r="B108" s="4">
        <v>-1</v>
      </c>
      <c r="C108" s="4">
        <v>1</v>
      </c>
      <c r="D108" s="4">
        <v>65</v>
      </c>
      <c r="F108" t="s">
        <v>62</v>
      </c>
      <c r="G108">
        <v>1.2909944487358063</v>
      </c>
    </row>
    <row r="109" spans="1:11" ht="15" thickBot="1">
      <c r="A109" s="4">
        <v>1</v>
      </c>
      <c r="B109" s="4">
        <v>1</v>
      </c>
      <c r="C109" s="4">
        <v>-1</v>
      </c>
      <c r="D109" s="4">
        <v>75</v>
      </c>
      <c r="F109" s="23" t="s">
        <v>63</v>
      </c>
      <c r="G109" s="23">
        <v>16</v>
      </c>
    </row>
    <row r="110" spans="1:11">
      <c r="A110" s="7">
        <v>1</v>
      </c>
      <c r="B110" s="7">
        <v>1</v>
      </c>
      <c r="C110" s="7">
        <v>1</v>
      </c>
      <c r="D110" s="4">
        <v>50</v>
      </c>
    </row>
    <row r="111" spans="1:11" ht="15" thickBot="1">
      <c r="A111" s="6">
        <v>-1</v>
      </c>
      <c r="B111" s="6">
        <v>-1</v>
      </c>
      <c r="C111" s="6">
        <v>-1</v>
      </c>
      <c r="D111" s="4">
        <v>118</v>
      </c>
      <c r="F111" t="s">
        <v>64</v>
      </c>
    </row>
    <row r="112" spans="1:11">
      <c r="A112" s="4">
        <v>-1</v>
      </c>
      <c r="B112" s="4">
        <v>-1</v>
      </c>
      <c r="C112" s="4">
        <v>1</v>
      </c>
      <c r="D112" s="4">
        <v>93</v>
      </c>
      <c r="F112" s="24"/>
      <c r="G112" s="24" t="s">
        <v>69</v>
      </c>
      <c r="H112" s="24" t="s">
        <v>70</v>
      </c>
      <c r="I112" s="24" t="s">
        <v>71</v>
      </c>
      <c r="J112" s="24" t="s">
        <v>72</v>
      </c>
      <c r="K112" s="24" t="s">
        <v>73</v>
      </c>
    </row>
    <row r="113" spans="1:23">
      <c r="A113" s="4">
        <v>-1</v>
      </c>
      <c r="B113" s="4">
        <v>1</v>
      </c>
      <c r="C113" s="4">
        <v>-1</v>
      </c>
      <c r="D113" s="4">
        <v>103</v>
      </c>
      <c r="F113" t="s">
        <v>65</v>
      </c>
      <c r="G113">
        <v>3</v>
      </c>
      <c r="H113">
        <v>6452</v>
      </c>
      <c r="I113">
        <v>2150.6666666666665</v>
      </c>
      <c r="J113">
        <v>1290.3999999999985</v>
      </c>
      <c r="K113">
        <v>2.5505177667781894E-15</v>
      </c>
    </row>
    <row r="114" spans="1:23">
      <c r="A114" s="4">
        <v>-1</v>
      </c>
      <c r="B114" s="4">
        <v>1</v>
      </c>
      <c r="C114" s="4">
        <v>1</v>
      </c>
      <c r="D114" s="4">
        <v>82</v>
      </c>
      <c r="F114" t="s">
        <v>66</v>
      </c>
      <c r="G114">
        <v>12</v>
      </c>
      <c r="H114">
        <v>20.000000000000021</v>
      </c>
      <c r="I114">
        <v>1.6666666666666685</v>
      </c>
    </row>
    <row r="115" spans="1:23" ht="15" thickBot="1">
      <c r="A115" s="4">
        <v>1</v>
      </c>
      <c r="B115" s="4">
        <v>-1</v>
      </c>
      <c r="C115" s="4">
        <v>-1</v>
      </c>
      <c r="D115" s="4">
        <v>88</v>
      </c>
      <c r="F115" s="23" t="s">
        <v>67</v>
      </c>
      <c r="G115" s="23">
        <v>15</v>
      </c>
      <c r="H115" s="23">
        <v>6472</v>
      </c>
      <c r="I115" s="23"/>
      <c r="J115" s="23"/>
      <c r="K115" s="23"/>
    </row>
    <row r="116" spans="1:23">
      <c r="A116" s="4">
        <v>1</v>
      </c>
      <c r="B116" s="4">
        <v>-1</v>
      </c>
      <c r="C116" s="4">
        <v>1</v>
      </c>
      <c r="D116" s="4">
        <v>67</v>
      </c>
    </row>
    <row r="117" spans="1:23">
      <c r="A117" s="4">
        <v>1</v>
      </c>
      <c r="B117" s="4">
        <v>1</v>
      </c>
      <c r="C117" s="4">
        <v>-1</v>
      </c>
      <c r="D117" s="4">
        <v>77</v>
      </c>
      <c r="G117" t="s">
        <v>74</v>
      </c>
      <c r="H117" t="s">
        <v>62</v>
      </c>
      <c r="I117" t="s">
        <v>75</v>
      </c>
      <c r="J117" t="s">
        <v>76</v>
      </c>
      <c r="K117" t="s">
        <v>77</v>
      </c>
      <c r="L117" t="s">
        <v>78</v>
      </c>
      <c r="M117" t="s">
        <v>79</v>
      </c>
      <c r="N117" t="s">
        <v>80</v>
      </c>
    </row>
    <row r="118" spans="1:23">
      <c r="A118" s="7">
        <v>1</v>
      </c>
      <c r="B118" s="7">
        <v>1</v>
      </c>
      <c r="C118" s="7">
        <v>1</v>
      </c>
      <c r="D118" s="4">
        <v>52</v>
      </c>
      <c r="F118" t="s">
        <v>68</v>
      </c>
      <c r="G118">
        <v>85</v>
      </c>
      <c r="H118">
        <v>0.32274861218395157</v>
      </c>
      <c r="I118">
        <v>263.3628675421042</v>
      </c>
      <c r="J118">
        <v>6.0440271377556814E-24</v>
      </c>
      <c r="K118">
        <v>84.29679118301631</v>
      </c>
      <c r="L118">
        <v>85.70320881698369</v>
      </c>
      <c r="M118">
        <v>84.29679118301631</v>
      </c>
      <c r="N118">
        <v>85.70320881698369</v>
      </c>
    </row>
    <row r="119" spans="1:23">
      <c r="F119" t="s">
        <v>8</v>
      </c>
      <c r="G119">
        <v>-14.5</v>
      </c>
      <c r="H119">
        <v>0.32274861218395157</v>
      </c>
      <c r="I119">
        <v>-44.926606816006014</v>
      </c>
      <c r="J119">
        <v>9.6385741190367645E-15</v>
      </c>
      <c r="K119">
        <v>-15.203208816983686</v>
      </c>
      <c r="L119">
        <v>-13.796791183016314</v>
      </c>
      <c r="M119">
        <v>-15.203208816983686</v>
      </c>
      <c r="N119">
        <v>-13.796791183016314</v>
      </c>
    </row>
    <row r="120" spans="1:23">
      <c r="F120" t="s">
        <v>7</v>
      </c>
      <c r="G120">
        <v>-6.9999999999999982</v>
      </c>
      <c r="H120">
        <v>0.32274861218395157</v>
      </c>
      <c r="I120">
        <v>-21.688706738761518</v>
      </c>
      <c r="J120">
        <v>5.4030301180222498E-11</v>
      </c>
      <c r="K120">
        <v>-7.7032088169836843</v>
      </c>
      <c r="L120">
        <v>-6.2967911830163121</v>
      </c>
      <c r="M120">
        <v>-7.7032088169836843</v>
      </c>
      <c r="N120">
        <v>-6.2967911830163121</v>
      </c>
    </row>
    <row r="121" spans="1:23">
      <c r="F121" t="s">
        <v>6</v>
      </c>
      <c r="G121">
        <v>-12</v>
      </c>
      <c r="H121">
        <v>0.32274861218395157</v>
      </c>
      <c r="I121">
        <v>-37.180640123591182</v>
      </c>
      <c r="J121">
        <v>9.1977828808568837E-14</v>
      </c>
      <c r="K121">
        <v>-12.703208816983686</v>
      </c>
      <c r="L121">
        <v>-11.296791183016314</v>
      </c>
      <c r="M121">
        <v>-12.703208816983686</v>
      </c>
      <c r="N121">
        <v>-11.296791183016314</v>
      </c>
    </row>
    <row r="123" spans="1:23">
      <c r="C123" s="29" t="s">
        <v>119</v>
      </c>
      <c r="D123">
        <f>G118</f>
        <v>85</v>
      </c>
      <c r="E123" t="s">
        <v>85</v>
      </c>
      <c r="F123">
        <f>G119</f>
        <v>-14.5</v>
      </c>
      <c r="G123" t="s">
        <v>124</v>
      </c>
      <c r="H123">
        <f>G120</f>
        <v>-6.9999999999999982</v>
      </c>
      <c r="I123" t="s">
        <v>84</v>
      </c>
      <c r="K123">
        <f>G121</f>
        <v>-12</v>
      </c>
      <c r="L123" t="s">
        <v>121</v>
      </c>
      <c r="M123">
        <v>0</v>
      </c>
      <c r="N123" t="s">
        <v>82</v>
      </c>
      <c r="P123">
        <v>0</v>
      </c>
      <c r="Q123" t="s">
        <v>122</v>
      </c>
      <c r="S123">
        <v>0</v>
      </c>
      <c r="T123" t="s">
        <v>123</v>
      </c>
      <c r="V123">
        <v>0</v>
      </c>
      <c r="W123" t="s">
        <v>83</v>
      </c>
    </row>
    <row r="125" spans="1:23">
      <c r="C125" t="s">
        <v>86</v>
      </c>
    </row>
    <row r="127" spans="1:23">
      <c r="C127" t="s">
        <v>119</v>
      </c>
      <c r="D127">
        <v>85</v>
      </c>
      <c r="E127" t="s">
        <v>85</v>
      </c>
      <c r="F127">
        <v>-14.5</v>
      </c>
      <c r="G127" t="s">
        <v>124</v>
      </c>
      <c r="H127">
        <v>-7</v>
      </c>
      <c r="I127" t="s">
        <v>84</v>
      </c>
      <c r="K127">
        <v>-12</v>
      </c>
      <c r="L127" t="s">
        <v>125</v>
      </c>
    </row>
    <row r="128" spans="1:23">
      <c r="A128" s="38"/>
      <c r="B128" s="39"/>
      <c r="C128" s="39"/>
      <c r="D128" s="39"/>
      <c r="E128" s="39"/>
      <c r="O128" s="39"/>
      <c r="P128" s="39"/>
      <c r="Q128" s="39"/>
    </row>
    <row r="129" spans="1:22">
      <c r="A129" s="30"/>
    </row>
    <row r="131" spans="1:22">
      <c r="A131" t="s">
        <v>127</v>
      </c>
    </row>
    <row r="133" spans="1:22">
      <c r="B133" s="17" t="s">
        <v>0</v>
      </c>
      <c r="C133" s="18" t="s">
        <v>1</v>
      </c>
    </row>
    <row r="134" spans="1:22">
      <c r="A134" t="s">
        <v>17</v>
      </c>
      <c r="B134" s="19">
        <f>(5+10)/2</f>
        <v>7.5</v>
      </c>
      <c r="C134" s="1">
        <f>(10-5)/2</f>
        <v>2.5</v>
      </c>
    </row>
    <row r="135" spans="1:22">
      <c r="A135" t="s">
        <v>20</v>
      </c>
      <c r="B135" s="20">
        <f>(1000+2000)/2</f>
        <v>1500</v>
      </c>
      <c r="C135" s="2">
        <f>(2000-1000)/2</f>
        <v>500</v>
      </c>
    </row>
    <row r="136" spans="1:22">
      <c r="A136" t="s">
        <v>21</v>
      </c>
      <c r="B136" s="21">
        <f>(60+90)/2</f>
        <v>75</v>
      </c>
      <c r="C136" s="3">
        <f>(90-60)/2</f>
        <v>15</v>
      </c>
      <c r="D136" s="28"/>
      <c r="E136" s="28"/>
      <c r="F136" s="28"/>
      <c r="G136" s="28"/>
      <c r="H136" s="28"/>
      <c r="J136" s="28"/>
      <c r="K136" s="28"/>
      <c r="L136" s="28"/>
      <c r="M136" s="28"/>
      <c r="O136" s="28"/>
      <c r="P136" s="28"/>
      <c r="R136" s="28"/>
      <c r="S136" s="28"/>
      <c r="U136" s="28"/>
      <c r="V136" s="28"/>
    </row>
    <row r="138" spans="1:22">
      <c r="B138" t="s">
        <v>119</v>
      </c>
      <c r="C138">
        <v>85</v>
      </c>
      <c r="D138" t="s">
        <v>85</v>
      </c>
      <c r="E138">
        <v>-14.5</v>
      </c>
      <c r="F138" t="s">
        <v>124</v>
      </c>
      <c r="G138">
        <v>-7</v>
      </c>
      <c r="H138" t="s">
        <v>137</v>
      </c>
      <c r="J138">
        <v>-12</v>
      </c>
      <c r="K138" t="s">
        <v>138</v>
      </c>
    </row>
    <row r="139" spans="1:22">
      <c r="B139" t="s">
        <v>145</v>
      </c>
      <c r="C139">
        <v>85</v>
      </c>
      <c r="D139">
        <v>-14.5</v>
      </c>
      <c r="E139" t="s">
        <v>139</v>
      </c>
      <c r="F139">
        <v>-7</v>
      </c>
      <c r="G139" t="s">
        <v>140</v>
      </c>
      <c r="H139">
        <v>-12</v>
      </c>
      <c r="I139" t="s">
        <v>267</v>
      </c>
    </row>
    <row r="140" spans="1:22">
      <c r="A140" t="s">
        <v>141</v>
      </c>
      <c r="B140" t="s">
        <v>145</v>
      </c>
      <c r="C140">
        <v>173.86</v>
      </c>
      <c r="D140">
        <v>-5.8</v>
      </c>
      <c r="E140" t="s">
        <v>142</v>
      </c>
      <c r="F140">
        <v>-1.4E-2</v>
      </c>
      <c r="G140" t="s">
        <v>143</v>
      </c>
      <c r="H140">
        <v>-0.8</v>
      </c>
      <c r="I140" t="s">
        <v>144</v>
      </c>
    </row>
    <row r="143" spans="1:22">
      <c r="A143" t="s">
        <v>131</v>
      </c>
    </row>
    <row r="144" spans="1:22">
      <c r="A144" s="30" t="s">
        <v>132</v>
      </c>
      <c r="B144">
        <f>H113/H115</f>
        <v>0.99690976514215079</v>
      </c>
      <c r="D144" t="s">
        <v>146</v>
      </c>
    </row>
    <row r="145" spans="1:8">
      <c r="D145" t="s">
        <v>147</v>
      </c>
    </row>
    <row r="148" spans="1:8">
      <c r="A148" t="s">
        <v>133</v>
      </c>
    </row>
    <row r="149" spans="1:8">
      <c r="B149" s="30" t="s">
        <v>134</v>
      </c>
      <c r="C149">
        <f>K52</f>
        <v>0.9953646477132263</v>
      </c>
      <c r="F149" t="s">
        <v>148</v>
      </c>
    </row>
    <row r="150" spans="1:8">
      <c r="B150" s="30" t="s">
        <v>135</v>
      </c>
      <c r="C150">
        <f>G107</f>
        <v>0.99613720642768844</v>
      </c>
      <c r="F150" t="s">
        <v>149</v>
      </c>
    </row>
    <row r="151" spans="1:8">
      <c r="B151" s="30" t="s">
        <v>136</v>
      </c>
      <c r="C151" t="str">
        <f>IF(C150&gt;C149,"&gt;","&lt;")</f>
        <v>&gt;</v>
      </c>
      <c r="D151" t="s">
        <v>134</v>
      </c>
    </row>
    <row r="153" spans="1:8">
      <c r="A153" t="s">
        <v>150</v>
      </c>
    </row>
    <row r="154" spans="1:8">
      <c r="F154" t="s">
        <v>151</v>
      </c>
      <c r="G154" s="42">
        <v>0.99450000000000005</v>
      </c>
      <c r="H154" t="s">
        <v>154</v>
      </c>
    </row>
    <row r="155" spans="1:8">
      <c r="F155" t="s">
        <v>153</v>
      </c>
    </row>
    <row r="157" spans="1:8">
      <c r="B157" s="41"/>
    </row>
    <row r="161" spans="1:8">
      <c r="A161" t="s">
        <v>152</v>
      </c>
    </row>
    <row r="163" spans="1:8">
      <c r="A163" t="s">
        <v>155</v>
      </c>
      <c r="D163" t="s">
        <v>161</v>
      </c>
      <c r="H163" t="s">
        <v>163</v>
      </c>
    </row>
    <row r="164" spans="1:8">
      <c r="D164" t="s">
        <v>162</v>
      </c>
      <c r="H164" t="s">
        <v>164</v>
      </c>
    </row>
    <row r="165" spans="1:8">
      <c r="A165" s="30" t="s">
        <v>157</v>
      </c>
      <c r="B165" s="43">
        <v>0.05</v>
      </c>
    </row>
    <row r="166" spans="1:8">
      <c r="A166" t="s">
        <v>156</v>
      </c>
      <c r="B166">
        <f>J113</f>
        <v>1290.3999999999985</v>
      </c>
    </row>
    <row r="167" spans="1:8">
      <c r="A167" s="30" t="s">
        <v>158</v>
      </c>
      <c r="C167">
        <f>_xlfn.F.INV(1-B165,3,12)</f>
        <v>3.4902948194976031</v>
      </c>
    </row>
    <row r="168" spans="1:8">
      <c r="A168" t="s">
        <v>159</v>
      </c>
      <c r="B168" s="29" t="s">
        <v>96</v>
      </c>
      <c r="C168">
        <f>C167</f>
        <v>3.4902948194976031</v>
      </c>
      <c r="D168" t="s">
        <v>160</v>
      </c>
    </row>
    <row r="170" spans="1:8">
      <c r="A170" t="s">
        <v>168</v>
      </c>
      <c r="B170" t="s">
        <v>99</v>
      </c>
      <c r="C170" t="s">
        <v>169</v>
      </c>
    </row>
    <row r="171" spans="1:8">
      <c r="C171" t="s">
        <v>170</v>
      </c>
    </row>
    <row r="173" spans="1:8">
      <c r="A173" t="s">
        <v>102</v>
      </c>
      <c r="B173">
        <f>K113</f>
        <v>2.5505177667781894E-15</v>
      </c>
      <c r="C173" t="s">
        <v>171</v>
      </c>
      <c r="D173" s="43">
        <f>B165</f>
        <v>0.05</v>
      </c>
      <c r="F173" t="s">
        <v>99</v>
      </c>
      <c r="G173" t="s">
        <v>169</v>
      </c>
    </row>
    <row r="174" spans="1:8">
      <c r="G174" t="s">
        <v>170</v>
      </c>
    </row>
    <row r="178" spans="1:16">
      <c r="M178" t="s">
        <v>173</v>
      </c>
    </row>
    <row r="180" spans="1:16">
      <c r="A180" t="s">
        <v>172</v>
      </c>
    </row>
    <row r="181" spans="1:16">
      <c r="B181" t="s">
        <v>177</v>
      </c>
    </row>
    <row r="182" spans="1:16" ht="15" thickBot="1">
      <c r="B182" t="s">
        <v>176</v>
      </c>
    </row>
    <row r="183" spans="1:16" ht="15.75" thickBot="1">
      <c r="B183" s="44" t="s">
        <v>174</v>
      </c>
      <c r="C183" s="44" t="s">
        <v>3</v>
      </c>
      <c r="D183" s="11" t="s">
        <v>4</v>
      </c>
      <c r="E183" s="44" t="s">
        <v>5</v>
      </c>
      <c r="F183" s="12" t="s">
        <v>56</v>
      </c>
      <c r="H183" s="4" t="s">
        <v>8</v>
      </c>
      <c r="I183" s="4" t="s">
        <v>7</v>
      </c>
      <c r="J183" s="4" t="s">
        <v>6</v>
      </c>
      <c r="K183" s="4" t="s">
        <v>9</v>
      </c>
      <c r="L183" s="4" t="s">
        <v>187</v>
      </c>
      <c r="M183" s="4" t="s">
        <v>193</v>
      </c>
    </row>
    <row r="184" spans="1:16" ht="15" thickBot="1">
      <c r="B184" s="45">
        <v>1</v>
      </c>
      <c r="C184" s="45">
        <v>7.5</v>
      </c>
      <c r="D184" s="45">
        <v>1500</v>
      </c>
      <c r="E184" s="45">
        <v>75</v>
      </c>
      <c r="F184" s="45">
        <v>92</v>
      </c>
      <c r="H184" s="6">
        <v>-1</v>
      </c>
      <c r="I184" s="6">
        <v>-1</v>
      </c>
      <c r="J184" s="6">
        <v>-1</v>
      </c>
      <c r="K184" s="4">
        <v>120</v>
      </c>
      <c r="L184">
        <f>DEVSQ(K184:K185,K192:K193)</f>
        <v>629</v>
      </c>
      <c r="M184">
        <f>4-1</f>
        <v>3</v>
      </c>
      <c r="O184" t="s">
        <v>57</v>
      </c>
    </row>
    <row r="185" spans="1:16" ht="15" thickBot="1">
      <c r="B185" s="45">
        <v>2</v>
      </c>
      <c r="C185" s="45">
        <v>7.5</v>
      </c>
      <c r="D185" s="45">
        <v>1500</v>
      </c>
      <c r="E185" s="45">
        <v>75</v>
      </c>
      <c r="F185" s="45">
        <v>90.5</v>
      </c>
      <c r="H185" s="4">
        <v>-1</v>
      </c>
      <c r="I185" s="4">
        <v>-1</v>
      </c>
      <c r="J185" s="4">
        <v>1</v>
      </c>
      <c r="K185" s="4">
        <v>95</v>
      </c>
    </row>
    <row r="186" spans="1:16" ht="15" thickBot="1">
      <c r="B186" s="45">
        <v>3</v>
      </c>
      <c r="C186" s="45">
        <v>7.5</v>
      </c>
      <c r="D186" s="45">
        <v>1500</v>
      </c>
      <c r="E186" s="45">
        <v>75</v>
      </c>
      <c r="F186" s="45">
        <v>91.5</v>
      </c>
      <c r="H186" s="4">
        <v>-1</v>
      </c>
      <c r="I186" s="4">
        <v>1</v>
      </c>
      <c r="J186" s="4">
        <v>-1</v>
      </c>
      <c r="K186" s="4">
        <v>105</v>
      </c>
      <c r="L186">
        <f>DEVSQ(K186:K187,K194:K195)</f>
        <v>533</v>
      </c>
      <c r="M186">
        <f>4-1</f>
        <v>3</v>
      </c>
      <c r="O186" s="25" t="s">
        <v>58</v>
      </c>
      <c r="P186" s="25"/>
    </row>
    <row r="187" spans="1:16" ht="15" thickBot="1">
      <c r="B187" s="45">
        <v>4</v>
      </c>
      <c r="C187" s="45">
        <v>7.5</v>
      </c>
      <c r="D187" s="45">
        <v>1500</v>
      </c>
      <c r="E187" s="45">
        <v>75</v>
      </c>
      <c r="F187" s="45" t="s">
        <v>175</v>
      </c>
      <c r="H187" s="4">
        <v>-1</v>
      </c>
      <c r="I187" s="4">
        <v>1</v>
      </c>
      <c r="J187" s="4">
        <v>1</v>
      </c>
      <c r="K187" s="4">
        <v>80</v>
      </c>
      <c r="O187" t="s">
        <v>59</v>
      </c>
      <c r="P187">
        <v>0.98795726395165007</v>
      </c>
    </row>
    <row r="188" spans="1:16" ht="15" thickBot="1">
      <c r="B188" s="45">
        <v>5</v>
      </c>
      <c r="C188" s="45">
        <v>7.5</v>
      </c>
      <c r="D188" s="45">
        <v>1500</v>
      </c>
      <c r="E188" s="45">
        <v>75</v>
      </c>
      <c r="F188" s="45">
        <v>91</v>
      </c>
      <c r="H188" s="4">
        <v>1</v>
      </c>
      <c r="I188" s="4">
        <v>-1</v>
      </c>
      <c r="J188" s="4">
        <v>-1</v>
      </c>
      <c r="K188" s="4">
        <v>90</v>
      </c>
      <c r="L188">
        <f>DEVSQ(K188:K189,K196:K197)</f>
        <v>533</v>
      </c>
      <c r="M188">
        <f>4-1</f>
        <v>3</v>
      </c>
      <c r="O188" t="s">
        <v>60</v>
      </c>
      <c r="P188">
        <v>0.97605955539483036</v>
      </c>
    </row>
    <row r="189" spans="1:16">
      <c r="H189" s="4">
        <v>1</v>
      </c>
      <c r="I189" s="4">
        <v>-1</v>
      </c>
      <c r="J189" s="4">
        <v>1</v>
      </c>
      <c r="K189" s="4">
        <v>65</v>
      </c>
      <c r="O189" t="s">
        <v>61</v>
      </c>
      <c r="P189">
        <v>0.97183477105274152</v>
      </c>
    </row>
    <row r="190" spans="1:16">
      <c r="A190" s="30" t="s">
        <v>90</v>
      </c>
      <c r="B190">
        <v>0.05</v>
      </c>
      <c r="H190" s="4">
        <v>1</v>
      </c>
      <c r="I190" s="4">
        <v>1</v>
      </c>
      <c r="J190" s="4">
        <v>-1</v>
      </c>
      <c r="K190" s="4">
        <v>75</v>
      </c>
      <c r="L190">
        <f>DEVSQ(K190:K191,K198:K199)</f>
        <v>629</v>
      </c>
      <c r="M190">
        <f>4-1</f>
        <v>3</v>
      </c>
      <c r="O190" t="s">
        <v>62</v>
      </c>
      <c r="P190">
        <v>3.051059420174274</v>
      </c>
    </row>
    <row r="191" spans="1:16" ht="15" thickBot="1">
      <c r="A191" t="s">
        <v>181</v>
      </c>
      <c r="B191" t="s">
        <v>178</v>
      </c>
      <c r="H191" s="7">
        <v>1</v>
      </c>
      <c r="I191" s="7">
        <v>1</v>
      </c>
      <c r="J191" s="7">
        <v>1</v>
      </c>
      <c r="K191" s="4">
        <v>50</v>
      </c>
      <c r="O191" s="23" t="s">
        <v>63</v>
      </c>
      <c r="P191" s="23">
        <v>21</v>
      </c>
    </row>
    <row r="192" spans="1:16">
      <c r="A192" t="s">
        <v>180</v>
      </c>
      <c r="B192" t="s">
        <v>179</v>
      </c>
      <c r="H192" s="6">
        <v>-1</v>
      </c>
      <c r="I192" s="6">
        <v>-1</v>
      </c>
      <c r="J192" s="6">
        <v>-1</v>
      </c>
      <c r="K192" s="4">
        <v>118</v>
      </c>
    </row>
    <row r="193" spans="1:23" ht="15" thickBot="1">
      <c r="H193" s="4">
        <v>-1</v>
      </c>
      <c r="I193" s="4">
        <v>-1</v>
      </c>
      <c r="J193" s="4">
        <v>1</v>
      </c>
      <c r="K193" s="4">
        <v>93</v>
      </c>
      <c r="O193" t="s">
        <v>64</v>
      </c>
    </row>
    <row r="194" spans="1:23">
      <c r="B194" t="s">
        <v>69</v>
      </c>
      <c r="C194" t="s">
        <v>70</v>
      </c>
      <c r="D194" t="s">
        <v>71</v>
      </c>
      <c r="H194" s="4">
        <v>-1</v>
      </c>
      <c r="I194" s="4">
        <v>1</v>
      </c>
      <c r="J194" s="4">
        <v>-1</v>
      </c>
      <c r="K194" s="4">
        <v>103</v>
      </c>
      <c r="O194" s="24"/>
      <c r="P194" s="24" t="s">
        <v>69</v>
      </c>
      <c r="Q194" s="24" t="s">
        <v>70</v>
      </c>
      <c r="R194" s="24" t="s">
        <v>71</v>
      </c>
      <c r="S194" s="24" t="s">
        <v>72</v>
      </c>
      <c r="T194" s="24" t="s">
        <v>73</v>
      </c>
    </row>
    <row r="195" spans="1:23">
      <c r="A195" t="s">
        <v>186</v>
      </c>
      <c r="B195">
        <f>P196-B196</f>
        <v>1</v>
      </c>
      <c r="C195">
        <f>Q196-C196</f>
        <v>142.25238095238103</v>
      </c>
      <c r="D195">
        <f>C195/B195</f>
        <v>142.25238095238103</v>
      </c>
      <c r="H195" s="4">
        <v>-1</v>
      </c>
      <c r="I195" s="4">
        <v>1</v>
      </c>
      <c r="J195" s="4">
        <v>1</v>
      </c>
      <c r="K195" s="4">
        <v>82</v>
      </c>
      <c r="O195" t="s">
        <v>65</v>
      </c>
      <c r="P195">
        <v>3</v>
      </c>
      <c r="Q195">
        <v>6452.0000000000009</v>
      </c>
      <c r="R195">
        <v>2150.666666666667</v>
      </c>
      <c r="S195">
        <v>231.03180573526308</v>
      </c>
      <c r="T195">
        <v>5.6692639474930572E-14</v>
      </c>
    </row>
    <row r="196" spans="1:23">
      <c r="A196" t="s">
        <v>187</v>
      </c>
      <c r="B196">
        <f>M205</f>
        <v>16</v>
      </c>
      <c r="C196">
        <f>N24</f>
        <v>16</v>
      </c>
      <c r="D196">
        <f>C196/B196</f>
        <v>1</v>
      </c>
      <c r="H196" s="4">
        <v>1</v>
      </c>
      <c r="I196" s="4">
        <v>-1</v>
      </c>
      <c r="J196" s="4">
        <v>-1</v>
      </c>
      <c r="K196" s="4">
        <v>88</v>
      </c>
      <c r="O196" t="s">
        <v>66</v>
      </c>
      <c r="P196">
        <v>17</v>
      </c>
      <c r="Q196">
        <v>158.25238095238103</v>
      </c>
      <c r="R196">
        <v>9.3089635854341779</v>
      </c>
    </row>
    <row r="197" spans="1:23" ht="15" thickBot="1">
      <c r="H197" s="4">
        <v>1</v>
      </c>
      <c r="I197" s="4">
        <v>-1</v>
      </c>
      <c r="J197" s="4">
        <v>1</v>
      </c>
      <c r="K197" s="4">
        <v>67</v>
      </c>
      <c r="O197" s="23" t="s">
        <v>67</v>
      </c>
      <c r="P197" s="23">
        <v>20</v>
      </c>
      <c r="Q197" s="23">
        <v>6610.2523809523818</v>
      </c>
      <c r="R197" s="23"/>
      <c r="S197" s="23"/>
      <c r="T197" s="23"/>
    </row>
    <row r="198" spans="1:23" ht="15" thickBot="1">
      <c r="A198" s="30" t="s">
        <v>210</v>
      </c>
      <c r="C198">
        <f>_xlfn.F.INV(1-B190,B195,B196)</f>
        <v>4.4939984776663584</v>
      </c>
      <c r="H198" s="4">
        <v>1</v>
      </c>
      <c r="I198" s="4">
        <v>1</v>
      </c>
      <c r="J198" s="4">
        <v>-1</v>
      </c>
      <c r="K198" s="4">
        <v>77</v>
      </c>
    </row>
    <row r="199" spans="1:23">
      <c r="A199" t="s">
        <v>194</v>
      </c>
      <c r="C199">
        <f>D195/D196</f>
        <v>142.25238095238103</v>
      </c>
      <c r="H199" s="7">
        <v>1</v>
      </c>
      <c r="I199" s="7">
        <v>1</v>
      </c>
      <c r="J199" s="7">
        <v>1</v>
      </c>
      <c r="K199" s="4">
        <v>52</v>
      </c>
      <c r="O199" s="24"/>
      <c r="P199" s="24" t="s">
        <v>74</v>
      </c>
      <c r="Q199" s="24" t="s">
        <v>62</v>
      </c>
      <c r="R199" s="24" t="s">
        <v>75</v>
      </c>
      <c r="S199" s="24" t="s">
        <v>76</v>
      </c>
      <c r="T199" s="24" t="s">
        <v>77</v>
      </c>
      <c r="U199" s="24" t="s">
        <v>78</v>
      </c>
      <c r="V199" s="24" t="s">
        <v>79</v>
      </c>
      <c r="W199" s="24" t="s">
        <v>80</v>
      </c>
    </row>
    <row r="200" spans="1:23">
      <c r="A200" s="30" t="s">
        <v>195</v>
      </c>
      <c r="C200">
        <f>1-_xlfn.F.DIST(C199,B195,B196,1)</f>
        <v>2.2476280836514206E-9</v>
      </c>
      <c r="H200" s="46">
        <v>0</v>
      </c>
      <c r="I200" s="46">
        <v>0</v>
      </c>
      <c r="J200" s="46">
        <v>0</v>
      </c>
      <c r="K200" s="46">
        <v>92</v>
      </c>
      <c r="L200">
        <f>DEVSQ(K200,K201,K202,K203,K204)</f>
        <v>2.9320000000000066</v>
      </c>
      <c r="M200">
        <f>5-1</f>
        <v>4</v>
      </c>
      <c r="O200" t="s">
        <v>68</v>
      </c>
      <c r="P200">
        <v>86.419047619047618</v>
      </c>
      <c r="Q200">
        <v>0.66579574965508037</v>
      </c>
      <c r="R200">
        <v>129.79813653634397</v>
      </c>
      <c r="S200">
        <v>6.4573979578092434E-27</v>
      </c>
      <c r="T200">
        <v>85.014341374770112</v>
      </c>
      <c r="U200">
        <v>87.823753863325123</v>
      </c>
      <c r="V200">
        <v>85.014341374770112</v>
      </c>
      <c r="W200">
        <v>87.823753863325123</v>
      </c>
    </row>
    <row r="201" spans="1:23">
      <c r="H201" s="46">
        <v>0</v>
      </c>
      <c r="I201" s="46">
        <v>0</v>
      </c>
      <c r="J201" s="46">
        <v>0</v>
      </c>
      <c r="K201" s="46">
        <v>90.5</v>
      </c>
      <c r="O201" t="s">
        <v>8</v>
      </c>
      <c r="P201">
        <v>-14.499999999999998</v>
      </c>
      <c r="Q201">
        <v>0.7627648550435685</v>
      </c>
      <c r="R201">
        <v>-19.009790375268103</v>
      </c>
      <c r="S201">
        <v>6.8509140515336598E-13</v>
      </c>
      <c r="T201">
        <v>-16.10929317339469</v>
      </c>
      <c r="U201">
        <v>-12.890706826605305</v>
      </c>
      <c r="V201">
        <v>-16.10929317339469</v>
      </c>
      <c r="W201">
        <v>-12.890706826605305</v>
      </c>
    </row>
    <row r="202" spans="1:23">
      <c r="A202" t="s">
        <v>92</v>
      </c>
      <c r="B202" s="29" t="s">
        <v>96</v>
      </c>
      <c r="C202">
        <f>C198</f>
        <v>4.4939984776663584</v>
      </c>
      <c r="D202" t="s">
        <v>97</v>
      </c>
      <c r="H202" s="46">
        <v>0</v>
      </c>
      <c r="I202" s="46">
        <v>0</v>
      </c>
      <c r="J202" s="46">
        <v>0</v>
      </c>
      <c r="K202" s="46">
        <v>91.5</v>
      </c>
      <c r="O202" t="s">
        <v>7</v>
      </c>
      <c r="P202">
        <v>-7.0000000000000018</v>
      </c>
      <c r="Q202">
        <v>0.7627648550435685</v>
      </c>
      <c r="R202">
        <v>-9.1771401811639155</v>
      </c>
      <c r="S202">
        <v>5.3678957548401585E-8</v>
      </c>
      <c r="T202">
        <v>-8.6092931733946951</v>
      </c>
      <c r="U202">
        <v>-5.3907068266053093</v>
      </c>
      <c r="V202">
        <v>-8.6092931733946951</v>
      </c>
      <c r="W202">
        <v>-5.3907068266053093</v>
      </c>
    </row>
    <row r="203" spans="1:23" ht="15" thickBot="1">
      <c r="H203" s="47">
        <v>0</v>
      </c>
      <c r="I203" s="47">
        <v>0</v>
      </c>
      <c r="J203" s="47">
        <v>0</v>
      </c>
      <c r="K203" s="47">
        <v>89.8</v>
      </c>
      <c r="O203" s="23" t="s">
        <v>6</v>
      </c>
      <c r="P203" s="23">
        <v>-12.000000000000004</v>
      </c>
      <c r="Q203" s="23">
        <v>0.7627648550435685</v>
      </c>
      <c r="R203" s="23">
        <v>-15.732240310566713</v>
      </c>
      <c r="S203" s="23">
        <v>1.4499411055817947E-11</v>
      </c>
      <c r="T203" s="23">
        <v>-13.609293173394697</v>
      </c>
      <c r="U203" s="23">
        <v>-10.39070682660531</v>
      </c>
      <c r="V203" s="23">
        <v>-13.609293173394697</v>
      </c>
      <c r="W203" s="23">
        <v>-10.39070682660531</v>
      </c>
    </row>
    <row r="204" spans="1:23">
      <c r="A204" t="s">
        <v>167</v>
      </c>
      <c r="B204" s="4" t="s">
        <v>166</v>
      </c>
      <c r="C204" t="s">
        <v>92</v>
      </c>
      <c r="H204" s="48">
        <v>0</v>
      </c>
      <c r="I204" s="48">
        <v>0</v>
      </c>
      <c r="J204" s="48">
        <v>0</v>
      </c>
      <c r="K204" s="47">
        <v>91</v>
      </c>
    </row>
    <row r="205" spans="1:23">
      <c r="A205" s="30" t="s">
        <v>99</v>
      </c>
      <c r="B205" t="s">
        <v>197</v>
      </c>
      <c r="L205">
        <f>SUM(L184:L204)</f>
        <v>2326.9319999999998</v>
      </c>
      <c r="M205">
        <f>SUM(M184:M204)</f>
        <v>16</v>
      </c>
    </row>
    <row r="206" spans="1:23">
      <c r="B206" t="s">
        <v>198</v>
      </c>
      <c r="F206" t="s">
        <v>199</v>
      </c>
    </row>
    <row r="207" spans="1:23">
      <c r="F207" t="s">
        <v>200</v>
      </c>
    </row>
    <row r="208" spans="1:23">
      <c r="A208" t="s">
        <v>102</v>
      </c>
      <c r="B208">
        <f>C200</f>
        <v>2.2476280836514206E-9</v>
      </c>
      <c r="C208" t="s">
        <v>171</v>
      </c>
      <c r="D208">
        <v>0.05</v>
      </c>
    </row>
    <row r="209" spans="1:10">
      <c r="A209" s="30" t="s">
        <v>99</v>
      </c>
      <c r="B209" t="s">
        <v>197</v>
      </c>
    </row>
    <row r="210" spans="1:10">
      <c r="A210" t="s">
        <v>196</v>
      </c>
      <c r="B210" t="s">
        <v>198</v>
      </c>
    </row>
    <row r="211" spans="1:10">
      <c r="J211" s="4"/>
    </row>
    <row r="212" spans="1:10">
      <c r="J212" s="4"/>
    </row>
    <row r="213" spans="1:10">
      <c r="A213" t="s">
        <v>201</v>
      </c>
      <c r="J213" s="4"/>
    </row>
    <row r="214" spans="1:10">
      <c r="J214" s="4"/>
    </row>
    <row r="215" spans="1:10">
      <c r="B215" t="s">
        <v>202</v>
      </c>
      <c r="J215" s="4"/>
    </row>
    <row r="216" spans="1:10">
      <c r="A216" s="30" t="s">
        <v>90</v>
      </c>
      <c r="B216">
        <v>0.05</v>
      </c>
      <c r="J216" s="4"/>
    </row>
    <row r="217" spans="1:10">
      <c r="A217" t="s">
        <v>203</v>
      </c>
      <c r="B217">
        <v>5</v>
      </c>
      <c r="J217" s="4"/>
    </row>
    <row r="218" spans="1:10">
      <c r="A218" t="s">
        <v>204</v>
      </c>
      <c r="B218">
        <v>16</v>
      </c>
      <c r="J218" s="4"/>
    </row>
    <row r="219" spans="1:10">
      <c r="A219" s="30" t="s">
        <v>205</v>
      </c>
      <c r="B219">
        <f>AVERAGE(K200:K204)</f>
        <v>90.960000000000008</v>
      </c>
      <c r="J219" s="4"/>
    </row>
    <row r="220" spans="1:10">
      <c r="A220" s="30" t="s">
        <v>206</v>
      </c>
      <c r="B220">
        <f>AVERAGE(K184:K199)</f>
        <v>85</v>
      </c>
      <c r="J220" s="4"/>
    </row>
    <row r="221" spans="1:10">
      <c r="A221" t="s">
        <v>208</v>
      </c>
      <c r="B221">
        <f>L205</f>
        <v>2326.9319999999998</v>
      </c>
      <c r="J221" s="4"/>
    </row>
    <row r="222" spans="1:10">
      <c r="A222" s="30" t="s">
        <v>207</v>
      </c>
      <c r="B222">
        <f>(B217*B218*(B220-B219)^2)/(B217+B218)</f>
        <v>135.3203809523813</v>
      </c>
      <c r="J222" s="4"/>
    </row>
    <row r="223" spans="1:10">
      <c r="A223" s="30" t="s">
        <v>167</v>
      </c>
      <c r="B223">
        <f>B222/B195/(B221/B196)</f>
        <v>0.93046384476989485</v>
      </c>
      <c r="J223" s="4"/>
    </row>
    <row r="224" spans="1:10">
      <c r="A224" s="30" t="s">
        <v>210</v>
      </c>
      <c r="B224">
        <f>_xlfn.F.INV(1-B216,B195,B196)</f>
        <v>4.4939984776663584</v>
      </c>
      <c r="J224" s="4"/>
    </row>
    <row r="225" spans="1:11">
      <c r="J225" s="4"/>
    </row>
    <row r="226" spans="1:11">
      <c r="A226" t="s">
        <v>92</v>
      </c>
      <c r="B226" s="29" t="s">
        <v>96</v>
      </c>
      <c r="C226">
        <f>B224</f>
        <v>4.4939984776663584</v>
      </c>
      <c r="D226" t="s">
        <v>97</v>
      </c>
      <c r="J226" s="4"/>
      <c r="K226" t="s">
        <v>215</v>
      </c>
    </row>
    <row r="227" spans="1:11">
      <c r="J227" s="4"/>
    </row>
    <row r="228" spans="1:11">
      <c r="A228" t="s">
        <v>167</v>
      </c>
      <c r="B228" s="4" t="s">
        <v>211</v>
      </c>
      <c r="C228" s="4" t="s">
        <v>92</v>
      </c>
    </row>
    <row r="229" spans="1:11">
      <c r="A229" s="30" t="s">
        <v>99</v>
      </c>
      <c r="B229" t="s">
        <v>212</v>
      </c>
    </row>
    <row r="230" spans="1:11">
      <c r="A230" s="30"/>
      <c r="B230" t="s">
        <v>213</v>
      </c>
    </row>
    <row r="232" spans="1:11">
      <c r="A232" t="s">
        <v>102</v>
      </c>
      <c r="B232">
        <f>1-_xlfn.F.DIST(B223,B195,B196,TRUE)</f>
        <v>0.34909649212852256</v>
      </c>
      <c r="C232" s="4" t="s">
        <v>214</v>
      </c>
      <c r="D232">
        <v>0.05</v>
      </c>
      <c r="F232" t="s">
        <v>216</v>
      </c>
    </row>
    <row r="233" spans="1:11">
      <c r="A233" s="30" t="s">
        <v>99</v>
      </c>
      <c r="B233" t="s">
        <v>212</v>
      </c>
    </row>
    <row r="234" spans="1:11">
      <c r="B234" t="s">
        <v>213</v>
      </c>
    </row>
    <row r="236" spans="1:11">
      <c r="A236" t="s">
        <v>209</v>
      </c>
    </row>
    <row r="239" spans="1:11">
      <c r="A239" t="s">
        <v>57</v>
      </c>
    </row>
    <row r="240" spans="1:11" ht="15" thickBot="1"/>
    <row r="241" spans="1:9">
      <c r="A241" s="25" t="s">
        <v>58</v>
      </c>
      <c r="B241" s="25"/>
    </row>
    <row r="242" spans="1:9">
      <c r="A242" t="s">
        <v>59</v>
      </c>
      <c r="B242">
        <v>0.98795726395165007</v>
      </c>
    </row>
    <row r="243" spans="1:9">
      <c r="A243" t="s">
        <v>60</v>
      </c>
      <c r="B243">
        <v>0.97605955539483036</v>
      </c>
    </row>
    <row r="244" spans="1:9">
      <c r="A244" t="s">
        <v>61</v>
      </c>
      <c r="B244">
        <v>0.97183477105274152</v>
      </c>
    </row>
    <row r="245" spans="1:9">
      <c r="A245" t="s">
        <v>62</v>
      </c>
      <c r="B245">
        <v>3.051059420174274</v>
      </c>
    </row>
    <row r="246" spans="1:9" ht="15" thickBot="1">
      <c r="A246" s="23" t="s">
        <v>63</v>
      </c>
      <c r="B246" s="23">
        <v>21</v>
      </c>
    </row>
    <row r="248" spans="1:9" ht="15" thickBot="1">
      <c r="A248" t="s">
        <v>64</v>
      </c>
    </row>
    <row r="249" spans="1:9">
      <c r="A249" s="24"/>
      <c r="B249" s="24" t="s">
        <v>69</v>
      </c>
      <c r="C249" s="24" t="s">
        <v>70</v>
      </c>
      <c r="D249" s="24" t="s">
        <v>71</v>
      </c>
      <c r="E249" s="24" t="s">
        <v>72</v>
      </c>
      <c r="F249" s="24" t="s">
        <v>73</v>
      </c>
    </row>
    <row r="250" spans="1:9">
      <c r="A250" t="s">
        <v>65</v>
      </c>
      <c r="B250">
        <v>3</v>
      </c>
      <c r="C250">
        <v>6452.0000000000009</v>
      </c>
      <c r="D250">
        <v>2150.666666666667</v>
      </c>
      <c r="E250">
        <v>231.03180573526308</v>
      </c>
      <c r="F250">
        <v>5.6692639474930572E-14</v>
      </c>
    </row>
    <row r="251" spans="1:9">
      <c r="A251" t="s">
        <v>66</v>
      </c>
      <c r="B251">
        <v>17</v>
      </c>
      <c r="C251">
        <v>158.25238095238103</v>
      </c>
      <c r="D251">
        <v>9.3089635854341779</v>
      </c>
    </row>
    <row r="252" spans="1:9" ht="15" thickBot="1">
      <c r="A252" s="23" t="s">
        <v>67</v>
      </c>
      <c r="B252" s="23">
        <v>20</v>
      </c>
      <c r="C252" s="23">
        <v>6610.2523809523818</v>
      </c>
      <c r="D252" s="23"/>
      <c r="E252" s="23"/>
      <c r="F252" s="23"/>
    </row>
    <row r="253" spans="1:9" ht="15" thickBot="1"/>
    <row r="254" spans="1:9">
      <c r="A254" s="24"/>
      <c r="B254" s="24" t="s">
        <v>74</v>
      </c>
      <c r="C254" s="24" t="s">
        <v>62</v>
      </c>
      <c r="D254" s="24" t="s">
        <v>75</v>
      </c>
      <c r="E254" s="24" t="s">
        <v>76</v>
      </c>
      <c r="F254" s="24" t="s">
        <v>77</v>
      </c>
      <c r="G254" s="24" t="s">
        <v>78</v>
      </c>
      <c r="H254" s="24" t="s">
        <v>79</v>
      </c>
      <c r="I254" s="24" t="s">
        <v>80</v>
      </c>
    </row>
    <row r="255" spans="1:9">
      <c r="A255" t="s">
        <v>68</v>
      </c>
      <c r="B255">
        <v>86.419047619047603</v>
      </c>
      <c r="C255">
        <v>0.66579574965508037</v>
      </c>
      <c r="D255">
        <v>129.79813653634397</v>
      </c>
      <c r="E255">
        <v>6.4573979578092434E-27</v>
      </c>
      <c r="F255">
        <v>85.014341374770112</v>
      </c>
      <c r="G255">
        <v>87.823753863325123</v>
      </c>
      <c r="H255">
        <v>85.014341374770112</v>
      </c>
      <c r="I255">
        <v>87.823753863325123</v>
      </c>
    </row>
    <row r="256" spans="1:9">
      <c r="A256" t="s">
        <v>8</v>
      </c>
      <c r="B256">
        <v>-14.499999999999998</v>
      </c>
      <c r="C256">
        <v>0.7627648550435685</v>
      </c>
      <c r="D256">
        <v>-19.009790375268103</v>
      </c>
      <c r="E256">
        <v>6.8509140515336598E-13</v>
      </c>
      <c r="F256">
        <v>-16.10929317339469</v>
      </c>
      <c r="G256">
        <v>-12.890706826605305</v>
      </c>
      <c r="H256">
        <v>-16.10929317339469</v>
      </c>
      <c r="I256">
        <v>-12.890706826605305</v>
      </c>
    </row>
    <row r="257" spans="1:9">
      <c r="A257" t="s">
        <v>7</v>
      </c>
      <c r="B257">
        <v>-7</v>
      </c>
      <c r="C257">
        <v>0.7627648550435685</v>
      </c>
      <c r="D257">
        <v>-9.1771401811639155</v>
      </c>
      <c r="E257">
        <v>5.3678957548401585E-8</v>
      </c>
      <c r="F257">
        <v>-8.6092931733946951</v>
      </c>
      <c r="G257">
        <v>-5.3907068266053093</v>
      </c>
      <c r="H257">
        <v>-8.6092931733946951</v>
      </c>
      <c r="I257">
        <v>-5.3907068266053093</v>
      </c>
    </row>
    <row r="258" spans="1:9" ht="15" thickBot="1">
      <c r="A258" s="23" t="s">
        <v>6</v>
      </c>
      <c r="B258" s="23">
        <v>-12.000000000000004</v>
      </c>
      <c r="C258" s="23">
        <v>0.7627648550435685</v>
      </c>
      <c r="D258" s="23">
        <v>-15.732240310566713</v>
      </c>
      <c r="E258" s="23">
        <v>1.4499411055817947E-11</v>
      </c>
      <c r="F258" s="23">
        <v>-13.609293173394697</v>
      </c>
      <c r="G258" s="23">
        <v>-10.39070682660531</v>
      </c>
      <c r="H258" s="23">
        <v>-13.609293173394697</v>
      </c>
      <c r="I258" s="23">
        <v>-10.39070682660531</v>
      </c>
    </row>
    <row r="262" spans="1:9">
      <c r="A262" t="s">
        <v>188</v>
      </c>
      <c r="F262" t="s">
        <v>217</v>
      </c>
    </row>
    <row r="263" spans="1:9" ht="15" thickBot="1"/>
    <row r="264" spans="1:9">
      <c r="A264" s="24" t="s">
        <v>189</v>
      </c>
      <c r="B264" s="24" t="s">
        <v>190</v>
      </c>
      <c r="C264" s="24" t="s">
        <v>191</v>
      </c>
      <c r="D264" s="24" t="s">
        <v>192</v>
      </c>
      <c r="F264" s="24" t="s">
        <v>218</v>
      </c>
      <c r="G264" s="24" t="s">
        <v>9</v>
      </c>
    </row>
    <row r="265" spans="1:9">
      <c r="A265">
        <v>1</v>
      </c>
      <c r="B265">
        <v>119.91904761904762</v>
      </c>
      <c r="C265">
        <v>8.0952380952382441E-2</v>
      </c>
      <c r="D265">
        <v>2.8778589078588837E-2</v>
      </c>
      <c r="F265">
        <v>2.3809523809523809</v>
      </c>
      <c r="G265">
        <v>50</v>
      </c>
    </row>
    <row r="266" spans="1:9">
      <c r="A266">
        <v>2</v>
      </c>
      <c r="B266">
        <v>95.919047619047618</v>
      </c>
      <c r="C266">
        <v>-0.91904761904761756</v>
      </c>
      <c r="D266">
        <v>-0.32672162895103146</v>
      </c>
      <c r="F266">
        <v>7.1428571428571423</v>
      </c>
      <c r="G266">
        <v>52</v>
      </c>
    </row>
    <row r="267" spans="1:9">
      <c r="A267">
        <v>3</v>
      </c>
      <c r="B267">
        <v>105.91904761904762</v>
      </c>
      <c r="C267">
        <v>-0.91904761904761756</v>
      </c>
      <c r="D267">
        <v>-0.32672162895103146</v>
      </c>
      <c r="F267">
        <v>11.904761904761905</v>
      </c>
      <c r="G267">
        <v>65</v>
      </c>
    </row>
    <row r="268" spans="1:9">
      <c r="A268">
        <v>4</v>
      </c>
      <c r="B268">
        <v>81.919047619047618</v>
      </c>
      <c r="C268">
        <v>-1.9190476190476176</v>
      </c>
      <c r="D268">
        <v>-0.68222184698065169</v>
      </c>
      <c r="F268">
        <v>16.666666666666664</v>
      </c>
      <c r="G268">
        <v>67</v>
      </c>
    </row>
    <row r="269" spans="1:9">
      <c r="A269">
        <v>5</v>
      </c>
      <c r="B269">
        <v>90.919047619047618</v>
      </c>
      <c r="C269">
        <v>-0.91904761904761756</v>
      </c>
      <c r="D269">
        <v>-0.32672162895103146</v>
      </c>
      <c r="F269">
        <v>21.428571428571427</v>
      </c>
      <c r="G269">
        <v>75</v>
      </c>
    </row>
    <row r="270" spans="1:9">
      <c r="A270">
        <v>6</v>
      </c>
      <c r="B270">
        <v>66.919047619047618</v>
      </c>
      <c r="C270">
        <v>-1.9190476190476176</v>
      </c>
      <c r="D270">
        <v>-0.68222184698065169</v>
      </c>
      <c r="F270">
        <v>26.19047619047619</v>
      </c>
      <c r="G270">
        <v>77</v>
      </c>
    </row>
    <row r="271" spans="1:9">
      <c r="A271">
        <v>7</v>
      </c>
      <c r="B271">
        <v>76.919047619047618</v>
      </c>
      <c r="C271">
        <v>-1.9190476190476176</v>
      </c>
      <c r="D271">
        <v>-0.68222184698065169</v>
      </c>
      <c r="F271">
        <v>30.952380952380949</v>
      </c>
      <c r="G271">
        <v>80</v>
      </c>
    </row>
    <row r="272" spans="1:9">
      <c r="A272">
        <v>8</v>
      </c>
      <c r="B272">
        <v>52.919047619047618</v>
      </c>
      <c r="C272">
        <v>-2.9190476190476176</v>
      </c>
      <c r="D272">
        <v>-1.0377220650102721</v>
      </c>
      <c r="F272">
        <v>35.714285714285715</v>
      </c>
      <c r="G272">
        <v>82</v>
      </c>
    </row>
    <row r="273" spans="1:7">
      <c r="A273">
        <v>9</v>
      </c>
      <c r="B273">
        <v>119.91904761904762</v>
      </c>
      <c r="C273">
        <v>-1.9190476190476176</v>
      </c>
      <c r="D273">
        <v>-0.68222184698065169</v>
      </c>
      <c r="F273">
        <v>40.476190476190474</v>
      </c>
      <c r="G273">
        <v>88</v>
      </c>
    </row>
    <row r="274" spans="1:7">
      <c r="A274">
        <v>10</v>
      </c>
      <c r="B274">
        <v>95.919047619047618</v>
      </c>
      <c r="C274">
        <v>-2.9190476190476176</v>
      </c>
      <c r="D274">
        <v>-1.0377220650102721</v>
      </c>
      <c r="F274">
        <v>45.238095238095234</v>
      </c>
      <c r="G274">
        <v>89.8</v>
      </c>
    </row>
    <row r="275" spans="1:7">
      <c r="A275">
        <v>11</v>
      </c>
      <c r="B275">
        <v>105.91904761904762</v>
      </c>
      <c r="C275">
        <v>-2.9190476190476176</v>
      </c>
      <c r="D275">
        <v>-1.0377220650102721</v>
      </c>
      <c r="F275">
        <v>50</v>
      </c>
      <c r="G275">
        <v>90</v>
      </c>
    </row>
    <row r="276" spans="1:7">
      <c r="A276">
        <v>12</v>
      </c>
      <c r="B276">
        <v>81.919047619047618</v>
      </c>
      <c r="C276">
        <v>8.0952380952382441E-2</v>
      </c>
      <c r="D276">
        <v>2.8778589078588837E-2</v>
      </c>
      <c r="F276">
        <v>54.761904761904759</v>
      </c>
      <c r="G276">
        <v>90.5</v>
      </c>
    </row>
    <row r="277" spans="1:7">
      <c r="A277">
        <v>13</v>
      </c>
      <c r="B277">
        <v>90.919047619047618</v>
      </c>
      <c r="C277">
        <v>-2.9190476190476176</v>
      </c>
      <c r="D277">
        <v>-1.0377220650102721</v>
      </c>
      <c r="F277">
        <v>59.523809523809518</v>
      </c>
      <c r="G277">
        <v>91</v>
      </c>
    </row>
    <row r="278" spans="1:7">
      <c r="A278">
        <v>14</v>
      </c>
      <c r="B278">
        <v>66.919047619047618</v>
      </c>
      <c r="C278">
        <v>8.0952380952382441E-2</v>
      </c>
      <c r="D278">
        <v>2.8778589078588837E-2</v>
      </c>
      <c r="F278">
        <v>64.285714285714292</v>
      </c>
      <c r="G278">
        <v>91.5</v>
      </c>
    </row>
    <row r="279" spans="1:7">
      <c r="A279">
        <v>15</v>
      </c>
      <c r="B279">
        <v>76.919047619047618</v>
      </c>
      <c r="C279">
        <v>8.0952380952382441E-2</v>
      </c>
      <c r="D279">
        <v>2.8778589078588837E-2</v>
      </c>
      <c r="F279">
        <v>69.047619047619051</v>
      </c>
      <c r="G279">
        <v>92</v>
      </c>
    </row>
    <row r="280" spans="1:7">
      <c r="A280">
        <v>16</v>
      </c>
      <c r="B280">
        <v>52.919047619047618</v>
      </c>
      <c r="C280">
        <v>-0.91904761904761756</v>
      </c>
      <c r="D280">
        <v>-0.32672162895103146</v>
      </c>
      <c r="F280">
        <v>73.80952380952381</v>
      </c>
      <c r="G280">
        <v>93</v>
      </c>
    </row>
    <row r="281" spans="1:7">
      <c r="A281">
        <v>17</v>
      </c>
      <c r="B281">
        <v>86.419047619047618</v>
      </c>
      <c r="C281">
        <v>5.5809523809523824</v>
      </c>
      <c r="D281">
        <v>1.9840297882415003</v>
      </c>
      <c r="F281">
        <v>78.571428571428569</v>
      </c>
      <c r="G281">
        <v>95</v>
      </c>
    </row>
    <row r="282" spans="1:7">
      <c r="A282">
        <v>18</v>
      </c>
      <c r="B282">
        <v>86.419047619047618</v>
      </c>
      <c r="C282">
        <v>4.0809523809523824</v>
      </c>
      <c r="D282">
        <v>1.4507794611970699</v>
      </c>
      <c r="F282">
        <v>83.333333333333329</v>
      </c>
      <c r="G282">
        <v>103</v>
      </c>
    </row>
    <row r="283" spans="1:7">
      <c r="A283">
        <v>19</v>
      </c>
      <c r="B283">
        <v>86.419047619047618</v>
      </c>
      <c r="C283">
        <v>5.0809523809523824</v>
      </c>
      <c r="D283">
        <v>1.8062796792266902</v>
      </c>
      <c r="F283">
        <v>88.095238095238088</v>
      </c>
      <c r="G283">
        <v>105</v>
      </c>
    </row>
    <row r="284" spans="1:7">
      <c r="A284">
        <v>20</v>
      </c>
      <c r="B284">
        <v>86.419047619047618</v>
      </c>
      <c r="C284">
        <v>3.3809523809523796</v>
      </c>
      <c r="D284">
        <v>1.2019293085763347</v>
      </c>
      <c r="F284">
        <v>92.857142857142861</v>
      </c>
      <c r="G284">
        <v>118</v>
      </c>
    </row>
    <row r="285" spans="1:7" ht="15" thickBot="1">
      <c r="A285" s="23">
        <v>21</v>
      </c>
      <c r="B285" s="23">
        <v>86.419047619047618</v>
      </c>
      <c r="C285" s="23">
        <v>4.5809523809523824</v>
      </c>
      <c r="D285" s="23">
        <v>1.6285295702118801</v>
      </c>
      <c r="F285" s="23">
        <v>97.61904761904762</v>
      </c>
      <c r="G285" s="23">
        <v>120</v>
      </c>
    </row>
    <row r="305" spans="1:11">
      <c r="A305" t="s">
        <v>219</v>
      </c>
    </row>
    <row r="307" spans="1:11">
      <c r="B307" t="s">
        <v>221</v>
      </c>
    </row>
    <row r="308" spans="1:11">
      <c r="B308" t="s">
        <v>222</v>
      </c>
    </row>
    <row r="310" spans="1:11">
      <c r="A310" s="30" t="s">
        <v>90</v>
      </c>
      <c r="B310">
        <v>0.05</v>
      </c>
    </row>
    <row r="311" spans="1:11">
      <c r="A311" s="30" t="s">
        <v>220</v>
      </c>
      <c r="B311">
        <f>H114</f>
        <v>20.000000000000021</v>
      </c>
    </row>
    <row r="312" spans="1:11">
      <c r="A312" t="s">
        <v>228</v>
      </c>
      <c r="H312" t="s">
        <v>223</v>
      </c>
    </row>
    <row r="313" spans="1:11">
      <c r="D313" s="4" t="s">
        <v>8</v>
      </c>
      <c r="E313" s="4" t="s">
        <v>7</v>
      </c>
      <c r="F313" s="4" t="s">
        <v>6</v>
      </c>
      <c r="G313" s="4" t="s">
        <v>9</v>
      </c>
      <c r="H313" s="4" t="s">
        <v>224</v>
      </c>
      <c r="I313" s="4" t="s">
        <v>225</v>
      </c>
      <c r="J313" s="4" t="s">
        <v>226</v>
      </c>
      <c r="K313" s="4" t="s">
        <v>227</v>
      </c>
    </row>
    <row r="314" spans="1:11">
      <c r="D314" s="6">
        <v>-1</v>
      </c>
      <c r="E314" s="6">
        <v>-1</v>
      </c>
      <c r="F314" s="6">
        <v>-1</v>
      </c>
      <c r="G314" s="4">
        <v>120</v>
      </c>
      <c r="H314">
        <f>$G$118+$G$119*D314+$G$120*E314+$G$121*F314</f>
        <v>118.5</v>
      </c>
      <c r="I314">
        <f>$G$118+$G$120*E314+$G$121*F314</f>
        <v>104</v>
      </c>
      <c r="J314">
        <f>(H314-$G$118)^2</f>
        <v>1122.25</v>
      </c>
      <c r="K314">
        <f>(I314-$G$118)^2</f>
        <v>361</v>
      </c>
    </row>
    <row r="315" spans="1:11">
      <c r="D315" s="4">
        <v>-1</v>
      </c>
      <c r="E315" s="4">
        <v>-1</v>
      </c>
      <c r="F315" s="4">
        <v>1</v>
      </c>
      <c r="G315" s="4">
        <v>95</v>
      </c>
      <c r="H315">
        <f t="shared" ref="H315:H329" si="20">$G$118+$G$119*D315+$G$120*E315+$G$121*F315</f>
        <v>94.5</v>
      </c>
      <c r="I315">
        <f t="shared" ref="I315:I329" si="21">$G$118+$G$120*E315+$G$121*F315</f>
        <v>80</v>
      </c>
      <c r="J315">
        <f t="shared" ref="J315:J329" si="22">(H315-$G$118)^2</f>
        <v>90.25</v>
      </c>
      <c r="K315">
        <f>(I315-$G$118)^2</f>
        <v>25</v>
      </c>
    </row>
    <row r="316" spans="1:11">
      <c r="D316" s="4">
        <v>-1</v>
      </c>
      <c r="E316" s="4">
        <v>1</v>
      </c>
      <c r="F316" s="4">
        <v>-1</v>
      </c>
      <c r="G316" s="4">
        <v>105</v>
      </c>
      <c r="H316">
        <f t="shared" si="20"/>
        <v>104.5</v>
      </c>
      <c r="I316">
        <f t="shared" si="21"/>
        <v>90</v>
      </c>
      <c r="J316">
        <f t="shared" si="22"/>
        <v>380.25</v>
      </c>
      <c r="K316">
        <f t="shared" ref="K316:K329" si="23">(I316-$G$118)^2</f>
        <v>25</v>
      </c>
    </row>
    <row r="317" spans="1:11">
      <c r="D317" s="4">
        <v>-1</v>
      </c>
      <c r="E317" s="4">
        <v>1</v>
      </c>
      <c r="F317" s="4">
        <v>1</v>
      </c>
      <c r="G317" s="4">
        <v>80</v>
      </c>
      <c r="H317">
        <f t="shared" si="20"/>
        <v>80.5</v>
      </c>
      <c r="I317">
        <f t="shared" si="21"/>
        <v>66</v>
      </c>
      <c r="J317">
        <f t="shared" si="22"/>
        <v>20.25</v>
      </c>
      <c r="K317">
        <f t="shared" si="23"/>
        <v>361</v>
      </c>
    </row>
    <row r="318" spans="1:11">
      <c r="D318" s="4">
        <v>1</v>
      </c>
      <c r="E318" s="4">
        <v>-1</v>
      </c>
      <c r="F318" s="4">
        <v>-1</v>
      </c>
      <c r="G318" s="4">
        <v>90</v>
      </c>
      <c r="H318">
        <f t="shared" si="20"/>
        <v>89.5</v>
      </c>
      <c r="I318">
        <f t="shared" si="21"/>
        <v>104</v>
      </c>
      <c r="J318">
        <f t="shared" si="22"/>
        <v>20.25</v>
      </c>
      <c r="K318">
        <f t="shared" si="23"/>
        <v>361</v>
      </c>
    </row>
    <row r="319" spans="1:11">
      <c r="D319" s="4">
        <v>1</v>
      </c>
      <c r="E319" s="4">
        <v>-1</v>
      </c>
      <c r="F319" s="4">
        <v>1</v>
      </c>
      <c r="G319" s="4">
        <v>65</v>
      </c>
      <c r="H319">
        <f t="shared" si="20"/>
        <v>65.5</v>
      </c>
      <c r="I319">
        <f t="shared" si="21"/>
        <v>80</v>
      </c>
      <c r="J319">
        <f t="shared" si="22"/>
        <v>380.25</v>
      </c>
      <c r="K319">
        <f t="shared" si="23"/>
        <v>25</v>
      </c>
    </row>
    <row r="320" spans="1:11">
      <c r="D320" s="4">
        <v>1</v>
      </c>
      <c r="E320" s="4">
        <v>1</v>
      </c>
      <c r="F320" s="4">
        <v>-1</v>
      </c>
      <c r="G320" s="4">
        <v>75</v>
      </c>
      <c r="H320">
        <f t="shared" si="20"/>
        <v>75.5</v>
      </c>
      <c r="I320">
        <f t="shared" si="21"/>
        <v>90</v>
      </c>
      <c r="J320">
        <f t="shared" si="22"/>
        <v>90.25</v>
      </c>
      <c r="K320">
        <f t="shared" si="23"/>
        <v>25</v>
      </c>
    </row>
    <row r="321" spans="2:11">
      <c r="D321" s="7">
        <v>1</v>
      </c>
      <c r="E321" s="7">
        <v>1</v>
      </c>
      <c r="F321" s="7">
        <v>1</v>
      </c>
      <c r="G321" s="4">
        <v>50</v>
      </c>
      <c r="H321">
        <f t="shared" si="20"/>
        <v>51.5</v>
      </c>
      <c r="I321">
        <f t="shared" si="21"/>
        <v>66</v>
      </c>
      <c r="J321">
        <f t="shared" si="22"/>
        <v>1122.25</v>
      </c>
      <c r="K321">
        <f t="shared" si="23"/>
        <v>361</v>
      </c>
    </row>
    <row r="322" spans="2:11">
      <c r="D322" s="6">
        <v>-1</v>
      </c>
      <c r="E322" s="6">
        <v>-1</v>
      </c>
      <c r="F322" s="6">
        <v>-1</v>
      </c>
      <c r="G322" s="4">
        <v>118</v>
      </c>
      <c r="H322">
        <f t="shared" si="20"/>
        <v>118.5</v>
      </c>
      <c r="I322">
        <f t="shared" si="21"/>
        <v>104</v>
      </c>
      <c r="J322">
        <f t="shared" si="22"/>
        <v>1122.25</v>
      </c>
      <c r="K322">
        <f t="shared" si="23"/>
        <v>361</v>
      </c>
    </row>
    <row r="323" spans="2:11">
      <c r="D323" s="4">
        <v>-1</v>
      </c>
      <c r="E323" s="4">
        <v>-1</v>
      </c>
      <c r="F323" s="4">
        <v>1</v>
      </c>
      <c r="G323" s="4">
        <v>93</v>
      </c>
      <c r="H323">
        <f t="shared" si="20"/>
        <v>94.5</v>
      </c>
      <c r="I323">
        <f t="shared" si="21"/>
        <v>80</v>
      </c>
      <c r="J323">
        <f t="shared" si="22"/>
        <v>90.25</v>
      </c>
      <c r="K323">
        <f t="shared" si="23"/>
        <v>25</v>
      </c>
    </row>
    <row r="324" spans="2:11">
      <c r="D324" s="4">
        <v>-1</v>
      </c>
      <c r="E324" s="4">
        <v>1</v>
      </c>
      <c r="F324" s="4">
        <v>-1</v>
      </c>
      <c r="G324" s="4">
        <v>103</v>
      </c>
      <c r="H324">
        <f t="shared" si="20"/>
        <v>104.5</v>
      </c>
      <c r="I324">
        <f t="shared" si="21"/>
        <v>90</v>
      </c>
      <c r="J324">
        <f t="shared" si="22"/>
        <v>380.25</v>
      </c>
      <c r="K324">
        <f t="shared" si="23"/>
        <v>25</v>
      </c>
    </row>
    <row r="325" spans="2:11">
      <c r="D325" s="4">
        <v>-1</v>
      </c>
      <c r="E325" s="4">
        <v>1</v>
      </c>
      <c r="F325" s="4">
        <v>1</v>
      </c>
      <c r="G325" s="4">
        <v>82</v>
      </c>
      <c r="H325">
        <f t="shared" si="20"/>
        <v>80.5</v>
      </c>
      <c r="I325">
        <f t="shared" si="21"/>
        <v>66</v>
      </c>
      <c r="J325">
        <f t="shared" si="22"/>
        <v>20.25</v>
      </c>
      <c r="K325">
        <f t="shared" si="23"/>
        <v>361</v>
      </c>
    </row>
    <row r="326" spans="2:11">
      <c r="D326" s="4">
        <v>1</v>
      </c>
      <c r="E326" s="4">
        <v>-1</v>
      </c>
      <c r="F326" s="4">
        <v>-1</v>
      </c>
      <c r="G326" s="4">
        <v>88</v>
      </c>
      <c r="H326">
        <f t="shared" si="20"/>
        <v>89.5</v>
      </c>
      <c r="I326">
        <f t="shared" si="21"/>
        <v>104</v>
      </c>
      <c r="J326">
        <f t="shared" si="22"/>
        <v>20.25</v>
      </c>
      <c r="K326">
        <f t="shared" si="23"/>
        <v>361</v>
      </c>
    </row>
    <row r="327" spans="2:11">
      <c r="D327" s="4">
        <v>1</v>
      </c>
      <c r="E327" s="4">
        <v>-1</v>
      </c>
      <c r="F327" s="4">
        <v>1</v>
      </c>
      <c r="G327" s="4">
        <v>67</v>
      </c>
      <c r="H327">
        <f t="shared" si="20"/>
        <v>65.5</v>
      </c>
      <c r="I327">
        <f t="shared" si="21"/>
        <v>80</v>
      </c>
      <c r="J327">
        <f t="shared" si="22"/>
        <v>380.25</v>
      </c>
      <c r="K327">
        <f t="shared" si="23"/>
        <v>25</v>
      </c>
    </row>
    <row r="328" spans="2:11">
      <c r="D328" s="4">
        <v>1</v>
      </c>
      <c r="E328" s="4">
        <v>1</v>
      </c>
      <c r="F328" s="4">
        <v>-1</v>
      </c>
      <c r="G328" s="4">
        <v>77</v>
      </c>
      <c r="H328">
        <f t="shared" si="20"/>
        <v>75.5</v>
      </c>
      <c r="I328">
        <f t="shared" si="21"/>
        <v>90</v>
      </c>
      <c r="J328">
        <f t="shared" si="22"/>
        <v>90.25</v>
      </c>
      <c r="K328">
        <f t="shared" si="23"/>
        <v>25</v>
      </c>
    </row>
    <row r="329" spans="2:11">
      <c r="D329" s="7">
        <v>1</v>
      </c>
      <c r="E329" s="7">
        <v>1</v>
      </c>
      <c r="F329" s="7">
        <v>1</v>
      </c>
      <c r="G329" s="4">
        <v>52</v>
      </c>
      <c r="H329">
        <f t="shared" si="20"/>
        <v>51.5</v>
      </c>
      <c r="I329">
        <f t="shared" si="21"/>
        <v>66</v>
      </c>
      <c r="J329" s="49">
        <f t="shared" si="22"/>
        <v>1122.25</v>
      </c>
      <c r="K329" s="49">
        <f t="shared" si="23"/>
        <v>361</v>
      </c>
    </row>
    <row r="330" spans="2:11">
      <c r="I330" t="s">
        <v>229</v>
      </c>
      <c r="J330">
        <f>SUM(J314:J329)</f>
        <v>6452</v>
      </c>
      <c r="K330">
        <f>SUM(K314:K329)</f>
        <v>3088</v>
      </c>
    </row>
    <row r="332" spans="2:11">
      <c r="I332" t="s">
        <v>230</v>
      </c>
      <c r="J332">
        <f>J330-K330</f>
        <v>3364</v>
      </c>
    </row>
    <row r="333" spans="2:11" ht="15" thickBot="1">
      <c r="B333" t="s">
        <v>64</v>
      </c>
    </row>
    <row r="334" spans="2:11">
      <c r="B334" s="24"/>
      <c r="C334" s="24" t="s">
        <v>69</v>
      </c>
      <c r="D334" s="24" t="s">
        <v>70</v>
      </c>
      <c r="E334" s="24" t="s">
        <v>71</v>
      </c>
      <c r="F334" s="24" t="s">
        <v>72</v>
      </c>
      <c r="G334" s="24" t="s">
        <v>73</v>
      </c>
    </row>
    <row r="335" spans="2:11">
      <c r="B335" t="s">
        <v>65</v>
      </c>
      <c r="C335">
        <v>3</v>
      </c>
      <c r="D335">
        <v>6452</v>
      </c>
      <c r="E335">
        <v>2150.6666666666665</v>
      </c>
      <c r="F335">
        <v>1290.3999999999985</v>
      </c>
      <c r="G335">
        <v>2.5505177667781894E-15</v>
      </c>
    </row>
    <row r="336" spans="2:11">
      <c r="B336" t="s">
        <v>66</v>
      </c>
      <c r="C336">
        <v>12</v>
      </c>
      <c r="D336">
        <v>20.000000000000021</v>
      </c>
      <c r="E336">
        <v>1.6666666666666685</v>
      </c>
    </row>
    <row r="337" spans="2:8" ht="15" thickBot="1">
      <c r="B337" s="23" t="s">
        <v>67</v>
      </c>
      <c r="C337" s="23">
        <v>15</v>
      </c>
      <c r="D337" s="23">
        <v>6472</v>
      </c>
      <c r="E337" s="23"/>
      <c r="F337" s="23"/>
      <c r="G337" s="23"/>
    </row>
    <row r="339" spans="2:8">
      <c r="B339" t="s">
        <v>231</v>
      </c>
      <c r="C339">
        <f>J332</f>
        <v>3364</v>
      </c>
    </row>
    <row r="340" spans="2:8">
      <c r="B340" t="s">
        <v>232</v>
      </c>
      <c r="C340">
        <f>J330</f>
        <v>6452</v>
      </c>
      <c r="H340" t="s">
        <v>234</v>
      </c>
    </row>
    <row r="341" spans="2:8">
      <c r="B341" t="s">
        <v>233</v>
      </c>
      <c r="C341">
        <f>D337-C340</f>
        <v>20</v>
      </c>
      <c r="H341" t="s">
        <v>235</v>
      </c>
    </row>
    <row r="342" spans="2:8">
      <c r="B342" t="s">
        <v>165</v>
      </c>
      <c r="C342">
        <f>(C339/1)/(C341/(16-3-1))</f>
        <v>2018.3999999999999</v>
      </c>
      <c r="H342" t="s">
        <v>236</v>
      </c>
    </row>
    <row r="343" spans="2:8">
      <c r="B343" t="s">
        <v>238</v>
      </c>
      <c r="C343">
        <f>_xlfn.F.INV(1-B310,1,12)</f>
        <v>4.7472253467225123</v>
      </c>
      <c r="H343" t="s">
        <v>237</v>
      </c>
    </row>
    <row r="345" spans="2:8">
      <c r="B345" t="s">
        <v>92</v>
      </c>
      <c r="C345" s="29" t="s">
        <v>96</v>
      </c>
      <c r="D345">
        <f>C343</f>
        <v>4.7472253467225123</v>
      </c>
      <c r="E345" t="s">
        <v>97</v>
      </c>
    </row>
    <row r="346" spans="2:8">
      <c r="B346" s="33" t="s">
        <v>167</v>
      </c>
      <c r="C346" t="s">
        <v>166</v>
      </c>
      <c r="D346" s="33" t="s">
        <v>92</v>
      </c>
    </row>
    <row r="347" spans="2:8">
      <c r="B347" t="s">
        <v>99</v>
      </c>
      <c r="C347" t="s">
        <v>100</v>
      </c>
      <c r="D347" t="str">
        <f>IF(C346="∈","zamietam","nezamietam")</f>
        <v>zamietam</v>
      </c>
    </row>
    <row r="348" spans="2:8">
      <c r="C348" t="s">
        <v>101</v>
      </c>
      <c r="D348" t="str">
        <f>IF(C346="∈","nezamietam","zamietam")</f>
        <v>nezamietam</v>
      </c>
    </row>
    <row r="349" spans="2:8">
      <c r="B349" t="s">
        <v>102</v>
      </c>
      <c r="C349">
        <f>1-_xlfn.F.DIST(C342,1,12,1)</f>
        <v>9.6589403142388619E-15</v>
      </c>
      <c r="D349" s="4" t="s">
        <v>171</v>
      </c>
      <c r="E349" s="4">
        <v>0.05</v>
      </c>
    </row>
    <row r="350" spans="2:8">
      <c r="B350" t="s">
        <v>99</v>
      </c>
      <c r="C350" t="s">
        <v>100</v>
      </c>
      <c r="D350" t="str">
        <f>IF(D349="&lt;","zamietam","nezamietam")</f>
        <v>zamietam</v>
      </c>
    </row>
    <row r="351" spans="2:8">
      <c r="C351" t="s">
        <v>101</v>
      </c>
      <c r="D351" t="str">
        <f>IF(D349="&lt;","nezamietam","zamietam")</f>
        <v>nezamietam</v>
      </c>
    </row>
    <row r="353" spans="1:7">
      <c r="B353" t="s">
        <v>239</v>
      </c>
    </row>
    <row r="356" spans="1:7">
      <c r="A356" t="s">
        <v>242</v>
      </c>
    </row>
    <row r="358" spans="1:7">
      <c r="A358" s="4" t="s">
        <v>243</v>
      </c>
      <c r="B358" s="4" t="s">
        <v>244</v>
      </c>
      <c r="C358" s="4" t="s">
        <v>245</v>
      </c>
      <c r="D358" s="4" t="s">
        <v>9</v>
      </c>
    </row>
    <row r="359" spans="1:7">
      <c r="A359" s="6">
        <v>-1</v>
      </c>
      <c r="B359" s="6">
        <v>-1</v>
      </c>
      <c r="C359" s="6">
        <v>-1</v>
      </c>
      <c r="D359" s="4">
        <v>120</v>
      </c>
      <c r="F359" t="s">
        <v>247</v>
      </c>
    </row>
    <row r="360" spans="1:7">
      <c r="A360" s="4">
        <v>-1</v>
      </c>
      <c r="B360" s="4">
        <v>-1</v>
      </c>
      <c r="C360" s="4">
        <v>-1</v>
      </c>
      <c r="D360" s="4">
        <v>118</v>
      </c>
      <c r="E360" s="29" t="s">
        <v>252</v>
      </c>
      <c r="F360" s="4">
        <v>-1</v>
      </c>
      <c r="G360">
        <f>AVERAGE(D359:D360,D363:D364,D367:D368,D371:D372)</f>
        <v>99.5</v>
      </c>
    </row>
    <row r="361" spans="1:7">
      <c r="A361" s="4">
        <v>1</v>
      </c>
      <c r="B361" s="4">
        <v>-1</v>
      </c>
      <c r="C361" s="4">
        <v>-1</v>
      </c>
      <c r="D361" s="4">
        <v>90</v>
      </c>
      <c r="E361" s="29" t="s">
        <v>252</v>
      </c>
      <c r="F361" s="4">
        <v>1</v>
      </c>
      <c r="G361">
        <f>AVERAGE(D361:D362,D365:D366,D369:D370,D373:D374)</f>
        <v>70.5</v>
      </c>
    </row>
    <row r="362" spans="1:7">
      <c r="A362" s="4">
        <v>1</v>
      </c>
      <c r="B362" s="4">
        <v>-1</v>
      </c>
      <c r="C362" s="4">
        <v>-1</v>
      </c>
      <c r="D362" s="4">
        <v>88</v>
      </c>
      <c r="F362" s="29" t="s">
        <v>246</v>
      </c>
      <c r="G362">
        <f>G361-G360</f>
        <v>-29</v>
      </c>
    </row>
    <row r="363" spans="1:7">
      <c r="A363" s="4">
        <v>-1</v>
      </c>
      <c r="B363" s="4">
        <v>1</v>
      </c>
      <c r="C363" s="4">
        <v>-1</v>
      </c>
      <c r="D363" s="4">
        <v>105</v>
      </c>
    </row>
    <row r="364" spans="1:7">
      <c r="A364" s="4">
        <v>-1</v>
      </c>
      <c r="B364" s="4">
        <v>1</v>
      </c>
      <c r="C364" s="4">
        <v>-1</v>
      </c>
      <c r="D364" s="4">
        <v>103</v>
      </c>
    </row>
    <row r="365" spans="1:7">
      <c r="A365" s="4">
        <v>1</v>
      </c>
      <c r="B365" s="4">
        <v>1</v>
      </c>
      <c r="C365" s="4">
        <v>-1</v>
      </c>
      <c r="D365" s="4">
        <v>75</v>
      </c>
      <c r="F365" t="s">
        <v>248</v>
      </c>
    </row>
    <row r="366" spans="1:7">
      <c r="A366" s="4">
        <v>1</v>
      </c>
      <c r="B366" s="4">
        <v>1</v>
      </c>
      <c r="C366" s="4">
        <v>-1</v>
      </c>
      <c r="D366" s="4">
        <v>77</v>
      </c>
      <c r="E366" s="29" t="s">
        <v>252</v>
      </c>
      <c r="F366" s="4">
        <v>-1</v>
      </c>
      <c r="G366">
        <f>AVERAGE(D359:D362,D367:D370)</f>
        <v>92</v>
      </c>
    </row>
    <row r="367" spans="1:7">
      <c r="A367" s="4">
        <v>-1</v>
      </c>
      <c r="B367" s="4">
        <v>-1</v>
      </c>
      <c r="C367" s="4">
        <v>1</v>
      </c>
      <c r="D367" s="4">
        <v>95</v>
      </c>
      <c r="E367" s="29" t="s">
        <v>252</v>
      </c>
      <c r="F367" s="4">
        <v>1</v>
      </c>
      <c r="G367">
        <f>AVERAGE(D363:D366,D371:D374)</f>
        <v>78</v>
      </c>
    </row>
    <row r="368" spans="1:7">
      <c r="A368" s="4">
        <v>-1</v>
      </c>
      <c r="B368" s="4">
        <v>-1</v>
      </c>
      <c r="C368" s="4">
        <v>1</v>
      </c>
      <c r="D368" s="4">
        <v>93</v>
      </c>
      <c r="F368" s="29" t="s">
        <v>249</v>
      </c>
      <c r="G368">
        <f>G367-G366</f>
        <v>-14</v>
      </c>
    </row>
    <row r="369" spans="1:7">
      <c r="A369" s="4">
        <v>1</v>
      </c>
      <c r="B369" s="4">
        <v>-1</v>
      </c>
      <c r="C369" s="4">
        <v>1</v>
      </c>
      <c r="D369" s="4">
        <v>65</v>
      </c>
    </row>
    <row r="370" spans="1:7">
      <c r="A370" s="4">
        <v>1</v>
      </c>
      <c r="B370" s="4">
        <v>-1</v>
      </c>
      <c r="C370" s="4">
        <v>1</v>
      </c>
      <c r="D370" s="4">
        <v>67</v>
      </c>
    </row>
    <row r="371" spans="1:7">
      <c r="A371" s="4">
        <v>-1</v>
      </c>
      <c r="B371" s="4">
        <v>1</v>
      </c>
      <c r="C371" s="4">
        <v>1</v>
      </c>
      <c r="D371" s="4">
        <v>80</v>
      </c>
      <c r="F371" t="s">
        <v>250</v>
      </c>
    </row>
    <row r="372" spans="1:7">
      <c r="A372" s="4">
        <v>-1</v>
      </c>
      <c r="B372" s="4">
        <v>1</v>
      </c>
      <c r="C372" s="4">
        <v>1</v>
      </c>
      <c r="D372" s="4">
        <v>82</v>
      </c>
      <c r="E372" s="29" t="s">
        <v>252</v>
      </c>
      <c r="F372" s="4">
        <v>-1</v>
      </c>
      <c r="G372">
        <f>AVERAGE(D359:D366)</f>
        <v>97</v>
      </c>
    </row>
    <row r="373" spans="1:7">
      <c r="A373" s="4">
        <v>1</v>
      </c>
      <c r="B373" s="4">
        <v>1</v>
      </c>
      <c r="C373" s="4">
        <v>1</v>
      </c>
      <c r="D373" s="4">
        <v>50</v>
      </c>
      <c r="E373" s="29" t="s">
        <v>252</v>
      </c>
      <c r="F373" s="4">
        <v>1</v>
      </c>
      <c r="G373">
        <f>AVERAGE(D367:D374)</f>
        <v>73</v>
      </c>
    </row>
    <row r="374" spans="1:7">
      <c r="A374" s="7">
        <v>1</v>
      </c>
      <c r="B374" s="7">
        <v>1</v>
      </c>
      <c r="C374" s="7">
        <v>1</v>
      </c>
      <c r="D374" s="4">
        <v>52</v>
      </c>
      <c r="F374" s="29" t="s">
        <v>251</v>
      </c>
      <c r="G374">
        <f>G373-G372</f>
        <v>-24</v>
      </c>
    </row>
    <row r="376" spans="1:7">
      <c r="G376" t="s">
        <v>253</v>
      </c>
    </row>
    <row r="377" spans="1:7">
      <c r="G377" t="s">
        <v>254</v>
      </c>
    </row>
    <row r="378" spans="1:7">
      <c r="G378" t="s">
        <v>255</v>
      </c>
    </row>
    <row r="381" spans="1:7">
      <c r="A381" t="s">
        <v>256</v>
      </c>
    </row>
    <row r="383" spans="1:7">
      <c r="A383" t="s">
        <v>257</v>
      </c>
    </row>
    <row r="384" spans="1:7">
      <c r="A384" s="51"/>
      <c r="B384" s="51"/>
      <c r="C384" s="51"/>
      <c r="D384" s="68" t="s">
        <v>259</v>
      </c>
      <c r="E384" s="68"/>
    </row>
    <row r="385" spans="1:6">
      <c r="A385" s="51"/>
      <c r="B385" s="51"/>
      <c r="C385" s="51"/>
      <c r="D385" s="50">
        <v>5</v>
      </c>
      <c r="E385" s="50">
        <v>10</v>
      </c>
    </row>
    <row r="386" spans="1:6">
      <c r="A386" s="51"/>
      <c r="B386" s="51"/>
      <c r="C386" s="51"/>
      <c r="D386" s="50">
        <v>-1</v>
      </c>
      <c r="E386" s="50">
        <v>1</v>
      </c>
    </row>
    <row r="387" spans="1:6">
      <c r="A387" s="68" t="s">
        <v>258</v>
      </c>
      <c r="B387" s="50">
        <v>1000</v>
      </c>
      <c r="C387" s="50">
        <v>-1</v>
      </c>
      <c r="D387" s="50">
        <f>AVERAGE(D359:D360,D367:D368)</f>
        <v>106.5</v>
      </c>
      <c r="E387" s="50">
        <f>AVERAGE(D361:D362,D369:D370)</f>
        <v>77.5</v>
      </c>
      <c r="F387">
        <f>AVERAGE(D387,E388)</f>
        <v>85</v>
      </c>
    </row>
    <row r="388" spans="1:6">
      <c r="A388" s="68"/>
      <c r="B388" s="50">
        <v>2000</v>
      </c>
      <c r="C388" s="50">
        <v>1</v>
      </c>
      <c r="D388" s="50">
        <f>AVERAGE(D363:D364,D371:D372)</f>
        <v>92.5</v>
      </c>
      <c r="E388" s="50">
        <f>AVERAGE(D365:D366,D373:D374)</f>
        <v>63.5</v>
      </c>
      <c r="F388">
        <f>AVERAGE(E387,D388)</f>
        <v>85</v>
      </c>
    </row>
    <row r="389" spans="1:6">
      <c r="E389" s="29" t="s">
        <v>260</v>
      </c>
      <c r="F389">
        <f>F387-F388</f>
        <v>0</v>
      </c>
    </row>
    <row r="391" spans="1:6">
      <c r="A391" t="s">
        <v>261</v>
      </c>
    </row>
    <row r="392" spans="1:6">
      <c r="A392" s="51"/>
      <c r="B392" s="51"/>
      <c r="C392" s="51"/>
      <c r="D392" s="68" t="s">
        <v>259</v>
      </c>
      <c r="E392" s="68"/>
    </row>
    <row r="393" spans="1:6">
      <c r="A393" s="51"/>
      <c r="B393" s="51"/>
      <c r="C393" s="51"/>
      <c r="D393" s="50">
        <v>5</v>
      </c>
      <c r="E393" s="50">
        <v>10</v>
      </c>
    </row>
    <row r="394" spans="1:6">
      <c r="A394" s="51"/>
      <c r="B394" s="51"/>
      <c r="C394" s="51"/>
      <c r="D394" s="50">
        <v>-1</v>
      </c>
      <c r="E394" s="50">
        <v>1</v>
      </c>
    </row>
    <row r="395" spans="1:6">
      <c r="A395" s="68" t="s">
        <v>262</v>
      </c>
      <c r="B395" s="50">
        <v>60</v>
      </c>
      <c r="C395" s="50">
        <v>-1</v>
      </c>
      <c r="D395" s="50">
        <f>AVERAGE(D359:D360,D363:D364)</f>
        <v>111.5</v>
      </c>
      <c r="E395" s="50">
        <f>AVERAGE(D361:D362,D365:D366)</f>
        <v>82.5</v>
      </c>
      <c r="F395">
        <f>AVERAGE(D395,E396)</f>
        <v>85</v>
      </c>
    </row>
    <row r="396" spans="1:6">
      <c r="A396" s="68"/>
      <c r="B396" s="50">
        <v>90</v>
      </c>
      <c r="C396" s="50">
        <v>1</v>
      </c>
      <c r="D396" s="50">
        <f>AVERAGE(D367:D368,D371:D372)</f>
        <v>87.5</v>
      </c>
      <c r="E396" s="50">
        <f>AVERAGE(D369:D370,D373:D374)</f>
        <v>58.5</v>
      </c>
      <c r="F396">
        <f>AVERAGE(E395,D396)</f>
        <v>85</v>
      </c>
    </row>
    <row r="397" spans="1:6">
      <c r="E397" s="29" t="s">
        <v>264</v>
      </c>
      <c r="F397">
        <f>F395-F396</f>
        <v>0</v>
      </c>
    </row>
    <row r="399" spans="1:6">
      <c r="A399" t="s">
        <v>263</v>
      </c>
    </row>
    <row r="400" spans="1:6">
      <c r="A400" s="51"/>
      <c r="B400" s="51"/>
      <c r="C400" s="51"/>
      <c r="D400" s="68" t="s">
        <v>258</v>
      </c>
      <c r="E400" s="68"/>
    </row>
    <row r="401" spans="1:6">
      <c r="A401" s="51"/>
      <c r="B401" s="51"/>
      <c r="C401" s="51"/>
      <c r="D401" s="50">
        <v>1000</v>
      </c>
      <c r="E401" s="50">
        <v>2000</v>
      </c>
    </row>
    <row r="402" spans="1:6">
      <c r="A402" s="51"/>
      <c r="B402" s="51"/>
      <c r="C402" s="51"/>
      <c r="D402" s="50">
        <v>-1</v>
      </c>
      <c r="E402" s="50">
        <v>1</v>
      </c>
    </row>
    <row r="403" spans="1:6">
      <c r="A403" s="68" t="s">
        <v>262</v>
      </c>
      <c r="B403" s="50">
        <v>60</v>
      </c>
      <c r="C403" s="50">
        <v>-1</v>
      </c>
      <c r="D403" s="50">
        <f>AVERAGE(D359:D360,D361:D362)</f>
        <v>104</v>
      </c>
      <c r="E403" s="50">
        <f>AVERAGE(D363:D364,D365:D366)</f>
        <v>90</v>
      </c>
      <c r="F403">
        <f>AVERAGE(D403,E404)</f>
        <v>85</v>
      </c>
    </row>
    <row r="404" spans="1:6">
      <c r="A404" s="68"/>
      <c r="B404" s="50">
        <v>90</v>
      </c>
      <c r="C404" s="50">
        <v>1</v>
      </c>
      <c r="D404" s="50">
        <f>AVERAGE(D367:D368,D369:D370)</f>
        <v>80</v>
      </c>
      <c r="E404" s="50">
        <f>AVERAGE(D371:D372,D373:D374)</f>
        <v>66</v>
      </c>
      <c r="F404">
        <f>AVERAGE(E403,D404)</f>
        <v>85</v>
      </c>
    </row>
    <row r="405" spans="1:6">
      <c r="E405" s="29" t="s">
        <v>265</v>
      </c>
      <c r="F405">
        <f>F403-F404</f>
        <v>0</v>
      </c>
    </row>
    <row r="412" spans="1:6">
      <c r="D412" t="s">
        <v>266</v>
      </c>
    </row>
    <row r="416" spans="1:6">
      <c r="A416" t="s">
        <v>270</v>
      </c>
    </row>
    <row r="417" spans="1:17" ht="15" thickBot="1"/>
    <row r="418" spans="1:17" ht="30">
      <c r="A418" s="59" t="s">
        <v>8</v>
      </c>
      <c r="B418" s="60" t="s">
        <v>7</v>
      </c>
      <c r="C418" s="60" t="s">
        <v>6</v>
      </c>
      <c r="D418" s="50" t="s">
        <v>9</v>
      </c>
      <c r="E418" s="61" t="s">
        <v>268</v>
      </c>
      <c r="F418" s="51" t="s">
        <v>269</v>
      </c>
      <c r="J418" s="65" t="s">
        <v>18</v>
      </c>
      <c r="K418" s="65" t="s">
        <v>3</v>
      </c>
      <c r="L418" s="65" t="s">
        <v>4</v>
      </c>
      <c r="M418" s="65" t="s">
        <v>5</v>
      </c>
      <c r="N418" s="62" t="s">
        <v>56</v>
      </c>
    </row>
    <row r="419" spans="1:17">
      <c r="A419" s="19">
        <v>-1</v>
      </c>
      <c r="B419" s="6">
        <v>-1</v>
      </c>
      <c r="C419" s="6">
        <v>-1</v>
      </c>
      <c r="D419" s="4">
        <v>120</v>
      </c>
      <c r="E419" s="58">
        <f t="shared" ref="E419:E439" si="24">$B$255+$B$256*A419+$B$257*B419+$B$258*C419</f>
        <v>119.9190476190476</v>
      </c>
      <c r="F419">
        <f>$B$255+$B$256*(K419-$P$427)/$Q$427+$B$257*(L419-$P$428)/$Q$428+$B$258*(M419-$P$429)/$Q$429</f>
        <v>119.9190476190476</v>
      </c>
      <c r="J419" s="64">
        <v>1</v>
      </c>
      <c r="K419" s="64">
        <v>5</v>
      </c>
      <c r="L419" s="64">
        <v>1000</v>
      </c>
      <c r="M419" s="64">
        <v>60</v>
      </c>
      <c r="N419" s="63">
        <v>120</v>
      </c>
    </row>
    <row r="420" spans="1:17">
      <c r="A420" s="20">
        <v>-1</v>
      </c>
      <c r="B420" s="4">
        <v>-1</v>
      </c>
      <c r="C420" s="4">
        <v>1</v>
      </c>
      <c r="D420" s="4">
        <v>95</v>
      </c>
      <c r="E420" s="52">
        <f t="shared" si="24"/>
        <v>95.919047619047603</v>
      </c>
      <c r="F420">
        <f t="shared" ref="F420:F439" si="25">$B$255+$B$256*(K420-$P$427)/$Q$427+$B$257*(L420-$P$428)/$Q$428+$B$258*(M420-$P$429)/$Q$429</f>
        <v>95.919047619047603</v>
      </c>
      <c r="J420" s="64">
        <v>2</v>
      </c>
      <c r="K420" s="64">
        <v>5</v>
      </c>
      <c r="L420" s="64">
        <v>1000</v>
      </c>
      <c r="M420" s="64">
        <v>90</v>
      </c>
      <c r="N420" s="63">
        <v>95</v>
      </c>
    </row>
    <row r="421" spans="1:17">
      <c r="A421" s="20">
        <v>-1</v>
      </c>
      <c r="B421" s="4">
        <v>1</v>
      </c>
      <c r="C421" s="4">
        <v>-1</v>
      </c>
      <c r="D421" s="4">
        <v>105</v>
      </c>
      <c r="E421" s="52">
        <f t="shared" si="24"/>
        <v>105.9190476190476</v>
      </c>
      <c r="F421">
        <f t="shared" si="25"/>
        <v>105.9190476190476</v>
      </c>
      <c r="J421" s="64">
        <v>3</v>
      </c>
      <c r="K421" s="64">
        <v>5</v>
      </c>
      <c r="L421" s="64">
        <v>2000</v>
      </c>
      <c r="M421" s="64">
        <v>60</v>
      </c>
      <c r="N421" s="63">
        <v>105</v>
      </c>
    </row>
    <row r="422" spans="1:17">
      <c r="A422" s="20">
        <v>-1</v>
      </c>
      <c r="B422" s="4">
        <v>1</v>
      </c>
      <c r="C422" s="4">
        <v>1</v>
      </c>
      <c r="D422" s="4">
        <v>80</v>
      </c>
      <c r="E422" s="52">
        <f t="shared" si="24"/>
        <v>81.919047619047603</v>
      </c>
      <c r="F422">
        <f t="shared" si="25"/>
        <v>81.919047619047603</v>
      </c>
      <c r="J422" s="64">
        <v>4</v>
      </c>
      <c r="K422" s="64">
        <v>5</v>
      </c>
      <c r="L422" s="64">
        <v>2000</v>
      </c>
      <c r="M422" s="64">
        <v>90</v>
      </c>
      <c r="N422" s="63">
        <v>80</v>
      </c>
    </row>
    <row r="423" spans="1:17">
      <c r="A423" s="20">
        <v>1</v>
      </c>
      <c r="B423" s="4">
        <v>-1</v>
      </c>
      <c r="C423" s="4">
        <v>-1</v>
      </c>
      <c r="D423" s="4">
        <v>90</v>
      </c>
      <c r="E423" s="52">
        <f t="shared" si="24"/>
        <v>90.919047619047603</v>
      </c>
      <c r="F423">
        <f t="shared" si="25"/>
        <v>90.919047619047603</v>
      </c>
      <c r="J423" s="64">
        <v>5</v>
      </c>
      <c r="K423" s="64">
        <v>10</v>
      </c>
      <c r="L423" s="64">
        <v>1000</v>
      </c>
      <c r="M423" s="64">
        <v>60</v>
      </c>
      <c r="N423" s="63">
        <v>90</v>
      </c>
    </row>
    <row r="424" spans="1:17">
      <c r="A424" s="20">
        <v>1</v>
      </c>
      <c r="B424" s="4">
        <v>-1</v>
      </c>
      <c r="C424" s="4">
        <v>1</v>
      </c>
      <c r="D424" s="4">
        <v>65</v>
      </c>
      <c r="E424" s="52">
        <f t="shared" si="24"/>
        <v>66.919047619047603</v>
      </c>
      <c r="F424">
        <f t="shared" si="25"/>
        <v>66.919047619047603</v>
      </c>
      <c r="J424" s="64">
        <v>6</v>
      </c>
      <c r="K424" s="64">
        <v>10</v>
      </c>
      <c r="L424" s="64">
        <v>1000</v>
      </c>
      <c r="M424" s="64">
        <v>90</v>
      </c>
      <c r="N424" s="63">
        <v>65</v>
      </c>
    </row>
    <row r="425" spans="1:17">
      <c r="A425" s="20">
        <v>1</v>
      </c>
      <c r="B425" s="4">
        <v>1</v>
      </c>
      <c r="C425" s="4">
        <v>-1</v>
      </c>
      <c r="D425" s="4">
        <v>75</v>
      </c>
      <c r="E425" s="52">
        <f t="shared" si="24"/>
        <v>76.919047619047603</v>
      </c>
      <c r="F425">
        <f t="shared" si="25"/>
        <v>76.919047619047603</v>
      </c>
      <c r="J425" s="64">
        <v>7</v>
      </c>
      <c r="K425" s="64">
        <v>10</v>
      </c>
      <c r="L425" s="64">
        <v>2000</v>
      </c>
      <c r="M425" s="64">
        <v>60</v>
      </c>
      <c r="N425" s="63">
        <v>75</v>
      </c>
    </row>
    <row r="426" spans="1:17">
      <c r="A426" s="21">
        <v>1</v>
      </c>
      <c r="B426" s="7">
        <v>1</v>
      </c>
      <c r="C426" s="7">
        <v>1</v>
      </c>
      <c r="D426" s="4">
        <v>50</v>
      </c>
      <c r="E426" s="52">
        <f t="shared" si="24"/>
        <v>52.919047619047603</v>
      </c>
      <c r="F426">
        <f t="shared" si="25"/>
        <v>52.919047619047603</v>
      </c>
      <c r="J426" s="64">
        <v>8</v>
      </c>
      <c r="K426" s="64">
        <v>10</v>
      </c>
      <c r="L426" s="64">
        <v>2000</v>
      </c>
      <c r="M426" s="64">
        <v>90</v>
      </c>
      <c r="N426" s="63">
        <v>50</v>
      </c>
      <c r="P426" s="17" t="s">
        <v>0</v>
      </c>
      <c r="Q426" s="18" t="s">
        <v>1</v>
      </c>
    </row>
    <row r="427" spans="1:17">
      <c r="A427" s="19">
        <v>-1</v>
      </c>
      <c r="B427" s="6">
        <v>-1</v>
      </c>
      <c r="C427" s="6">
        <v>-1</v>
      </c>
      <c r="D427" s="4">
        <v>118</v>
      </c>
      <c r="E427" s="52">
        <f t="shared" si="24"/>
        <v>119.9190476190476</v>
      </c>
      <c r="F427">
        <f t="shared" si="25"/>
        <v>119.9190476190476</v>
      </c>
      <c r="J427" s="64">
        <v>9</v>
      </c>
      <c r="K427" s="64">
        <v>5</v>
      </c>
      <c r="L427" s="64">
        <v>1000</v>
      </c>
      <c r="M427" s="64">
        <v>60</v>
      </c>
      <c r="N427" s="63">
        <v>118</v>
      </c>
      <c r="O427" t="s">
        <v>17</v>
      </c>
      <c r="P427" s="19">
        <f>(5+10)/2</f>
        <v>7.5</v>
      </c>
      <c r="Q427" s="1">
        <f>(10-5)/2</f>
        <v>2.5</v>
      </c>
    </row>
    <row r="428" spans="1:17">
      <c r="A428" s="20">
        <v>-1</v>
      </c>
      <c r="B428" s="4">
        <v>-1</v>
      </c>
      <c r="C428" s="4">
        <v>1</v>
      </c>
      <c r="D428" s="4">
        <v>93</v>
      </c>
      <c r="E428" s="52">
        <f t="shared" si="24"/>
        <v>95.919047619047603</v>
      </c>
      <c r="F428">
        <f t="shared" si="25"/>
        <v>95.919047619047603</v>
      </c>
      <c r="J428" s="64">
        <v>10</v>
      </c>
      <c r="K428" s="64">
        <v>5</v>
      </c>
      <c r="L428" s="64">
        <v>1000</v>
      </c>
      <c r="M428" s="64">
        <v>90</v>
      </c>
      <c r="N428" s="63">
        <v>93</v>
      </c>
      <c r="O428" t="s">
        <v>20</v>
      </c>
      <c r="P428" s="20">
        <f>(1000+2000)/2</f>
        <v>1500</v>
      </c>
      <c r="Q428" s="2">
        <f>(2000-1000)/2</f>
        <v>500</v>
      </c>
    </row>
    <row r="429" spans="1:17">
      <c r="A429" s="20">
        <v>-1</v>
      </c>
      <c r="B429" s="4">
        <v>1</v>
      </c>
      <c r="C429" s="4">
        <v>-1</v>
      </c>
      <c r="D429" s="4">
        <v>103</v>
      </c>
      <c r="E429" s="52">
        <f t="shared" si="24"/>
        <v>105.9190476190476</v>
      </c>
      <c r="F429">
        <f t="shared" si="25"/>
        <v>105.9190476190476</v>
      </c>
      <c r="J429" s="64">
        <v>11</v>
      </c>
      <c r="K429" s="64">
        <v>5</v>
      </c>
      <c r="L429" s="64">
        <v>2000</v>
      </c>
      <c r="M429" s="64">
        <v>60</v>
      </c>
      <c r="N429" s="63">
        <v>103</v>
      </c>
      <c r="O429" t="s">
        <v>21</v>
      </c>
      <c r="P429" s="21">
        <f>(60+90)/2</f>
        <v>75</v>
      </c>
      <c r="Q429" s="3">
        <f>(90-60)/2</f>
        <v>15</v>
      </c>
    </row>
    <row r="430" spans="1:17">
      <c r="A430" s="20">
        <v>-1</v>
      </c>
      <c r="B430" s="4">
        <v>1</v>
      </c>
      <c r="C430" s="4">
        <v>1</v>
      </c>
      <c r="D430" s="4">
        <v>82</v>
      </c>
      <c r="E430" s="52">
        <f t="shared" si="24"/>
        <v>81.919047619047603</v>
      </c>
      <c r="F430">
        <f t="shared" si="25"/>
        <v>81.919047619047603</v>
      </c>
      <c r="J430" s="64">
        <v>12</v>
      </c>
      <c r="K430" s="64">
        <v>5</v>
      </c>
      <c r="L430" s="64">
        <v>2000</v>
      </c>
      <c r="M430" s="64">
        <v>90</v>
      </c>
      <c r="N430" s="63">
        <v>82</v>
      </c>
    </row>
    <row r="431" spans="1:17">
      <c r="A431" s="20">
        <v>1</v>
      </c>
      <c r="B431" s="4">
        <v>-1</v>
      </c>
      <c r="C431" s="4">
        <v>-1</v>
      </c>
      <c r="D431" s="4">
        <v>88</v>
      </c>
      <c r="E431" s="52">
        <f t="shared" si="24"/>
        <v>90.919047619047603</v>
      </c>
      <c r="F431">
        <f t="shared" si="25"/>
        <v>90.919047619047603</v>
      </c>
      <c r="J431" s="64">
        <v>13</v>
      </c>
      <c r="K431" s="64">
        <v>10</v>
      </c>
      <c r="L431" s="64">
        <v>1000</v>
      </c>
      <c r="M431" s="64">
        <v>60</v>
      </c>
      <c r="N431" s="63">
        <v>88</v>
      </c>
    </row>
    <row r="432" spans="1:17">
      <c r="A432" s="20">
        <v>1</v>
      </c>
      <c r="B432" s="4">
        <v>-1</v>
      </c>
      <c r="C432" s="4">
        <v>1</v>
      </c>
      <c r="D432" s="4">
        <v>67</v>
      </c>
      <c r="E432" s="52">
        <f t="shared" si="24"/>
        <v>66.919047619047603</v>
      </c>
      <c r="F432">
        <f t="shared" si="25"/>
        <v>66.919047619047603</v>
      </c>
      <c r="J432" s="64">
        <v>14</v>
      </c>
      <c r="K432" s="64">
        <v>10</v>
      </c>
      <c r="L432" s="64">
        <v>1000</v>
      </c>
      <c r="M432" s="64">
        <v>90</v>
      </c>
      <c r="N432" s="63">
        <v>67</v>
      </c>
    </row>
    <row r="433" spans="1:17">
      <c r="A433" s="20">
        <v>1</v>
      </c>
      <c r="B433" s="4">
        <v>1</v>
      </c>
      <c r="C433" s="4">
        <v>-1</v>
      </c>
      <c r="D433" s="4">
        <v>77</v>
      </c>
      <c r="E433" s="52">
        <f t="shared" si="24"/>
        <v>76.919047619047603</v>
      </c>
      <c r="F433">
        <f t="shared" si="25"/>
        <v>76.919047619047603</v>
      </c>
      <c r="J433" s="64">
        <v>15</v>
      </c>
      <c r="K433" s="64">
        <v>10</v>
      </c>
      <c r="L433" s="64">
        <v>2000</v>
      </c>
      <c r="M433" s="64">
        <v>60</v>
      </c>
      <c r="N433" s="63">
        <v>77</v>
      </c>
    </row>
    <row r="434" spans="1:17">
      <c r="A434" s="21">
        <v>1</v>
      </c>
      <c r="B434" s="7">
        <v>1</v>
      </c>
      <c r="C434" s="7">
        <v>1</v>
      </c>
      <c r="D434" s="4">
        <v>52</v>
      </c>
      <c r="E434" s="52">
        <f t="shared" si="24"/>
        <v>52.919047619047603</v>
      </c>
      <c r="F434">
        <f t="shared" si="25"/>
        <v>52.919047619047603</v>
      </c>
      <c r="J434" s="64">
        <v>16</v>
      </c>
      <c r="K434" s="64">
        <v>10</v>
      </c>
      <c r="L434" s="64">
        <v>2000</v>
      </c>
      <c r="M434" s="64">
        <v>90</v>
      </c>
      <c r="N434" s="63">
        <v>52</v>
      </c>
    </row>
    <row r="435" spans="1:17">
      <c r="A435" s="54">
        <v>0</v>
      </c>
      <c r="B435" s="55">
        <v>0</v>
      </c>
      <c r="C435" s="55">
        <v>0</v>
      </c>
      <c r="D435" s="55">
        <v>92</v>
      </c>
      <c r="E435" s="52">
        <f t="shared" si="24"/>
        <v>86.419047619047603</v>
      </c>
      <c r="F435">
        <f t="shared" si="25"/>
        <v>86.419047619047603</v>
      </c>
      <c r="J435" s="64">
        <v>17</v>
      </c>
      <c r="K435" s="64">
        <v>7.5</v>
      </c>
      <c r="L435" s="64">
        <v>1500</v>
      </c>
      <c r="M435" s="64">
        <v>75</v>
      </c>
      <c r="N435" s="64">
        <v>92</v>
      </c>
    </row>
    <row r="436" spans="1:17">
      <c r="A436" s="54">
        <v>0</v>
      </c>
      <c r="B436" s="55">
        <v>0</v>
      </c>
      <c r="C436" s="55">
        <v>0</v>
      </c>
      <c r="D436" s="55">
        <v>90.5</v>
      </c>
      <c r="E436" s="52">
        <f t="shared" si="24"/>
        <v>86.419047619047603</v>
      </c>
      <c r="F436">
        <f t="shared" si="25"/>
        <v>86.419047619047603</v>
      </c>
      <c r="J436" s="64">
        <v>18</v>
      </c>
      <c r="K436" s="64">
        <v>7.5</v>
      </c>
      <c r="L436" s="64">
        <v>1500</v>
      </c>
      <c r="M436" s="64">
        <v>75</v>
      </c>
      <c r="N436" s="64">
        <v>90.5</v>
      </c>
    </row>
    <row r="437" spans="1:17">
      <c r="A437" s="54">
        <v>0</v>
      </c>
      <c r="B437" s="55">
        <v>0</v>
      </c>
      <c r="C437" s="55">
        <v>0</v>
      </c>
      <c r="D437" s="55">
        <v>91.5</v>
      </c>
      <c r="E437" s="52">
        <f t="shared" si="24"/>
        <v>86.419047619047603</v>
      </c>
      <c r="F437">
        <f t="shared" si="25"/>
        <v>86.419047619047603</v>
      </c>
      <c r="J437" s="64">
        <v>19</v>
      </c>
      <c r="K437" s="64">
        <v>7.5</v>
      </c>
      <c r="L437" s="64">
        <v>1500</v>
      </c>
      <c r="M437" s="64">
        <v>75</v>
      </c>
      <c r="N437" s="64">
        <v>91.5</v>
      </c>
    </row>
    <row r="438" spans="1:17">
      <c r="A438" s="54">
        <v>0</v>
      </c>
      <c r="B438" s="15">
        <v>0</v>
      </c>
      <c r="C438" s="15">
        <v>0</v>
      </c>
      <c r="D438" s="15">
        <v>89.8</v>
      </c>
      <c r="E438" s="52">
        <f t="shared" si="24"/>
        <v>86.419047619047603</v>
      </c>
      <c r="F438">
        <f t="shared" si="25"/>
        <v>86.419047619047603</v>
      </c>
      <c r="J438" s="64">
        <v>20</v>
      </c>
      <c r="K438" s="64">
        <v>7.5</v>
      </c>
      <c r="L438" s="64">
        <v>1500</v>
      </c>
      <c r="M438" s="64">
        <v>75</v>
      </c>
      <c r="N438" s="64" t="s">
        <v>175</v>
      </c>
    </row>
    <row r="439" spans="1:17">
      <c r="A439" s="56">
        <v>0</v>
      </c>
      <c r="B439" s="57">
        <v>0</v>
      </c>
      <c r="C439" s="57">
        <v>0</v>
      </c>
      <c r="D439" s="57">
        <v>91</v>
      </c>
      <c r="E439" s="53">
        <f t="shared" si="24"/>
        <v>86.419047619047603</v>
      </c>
      <c r="F439">
        <f t="shared" si="25"/>
        <v>86.419047619047603</v>
      </c>
      <c r="J439" s="64">
        <v>21</v>
      </c>
      <c r="K439" s="64">
        <v>7.5</v>
      </c>
      <c r="L439" s="64">
        <v>1500</v>
      </c>
      <c r="M439" s="64">
        <v>75</v>
      </c>
      <c r="N439" s="64">
        <v>91</v>
      </c>
    </row>
    <row r="440" spans="1:17">
      <c r="J440" t="s">
        <v>145</v>
      </c>
      <c r="K440">
        <v>86.419047619047603</v>
      </c>
      <c r="L440">
        <v>-14.5</v>
      </c>
      <c r="M440" t="s">
        <v>139</v>
      </c>
      <c r="N440">
        <v>-7</v>
      </c>
      <c r="O440" t="s">
        <v>140</v>
      </c>
      <c r="P440">
        <v>-12</v>
      </c>
      <c r="Q440" t="s">
        <v>267</v>
      </c>
    </row>
    <row r="474" spans="1:3">
      <c r="A474" t="s">
        <v>271</v>
      </c>
    </row>
    <row r="475" spans="1:3">
      <c r="B475" t="s">
        <v>272</v>
      </c>
      <c r="C475" t="s">
        <v>273</v>
      </c>
    </row>
    <row r="476" spans="1:3">
      <c r="C476" t="s">
        <v>274</v>
      </c>
    </row>
    <row r="477" spans="1:3">
      <c r="C477" t="s">
        <v>275</v>
      </c>
    </row>
    <row r="481" spans="1:8">
      <c r="B481" t="s">
        <v>276</v>
      </c>
    </row>
    <row r="483" spans="1:8">
      <c r="B483" t="s">
        <v>277</v>
      </c>
      <c r="F483" t="s">
        <v>278</v>
      </c>
    </row>
    <row r="484" spans="1:8">
      <c r="B484" t="s">
        <v>68</v>
      </c>
      <c r="C484">
        <v>86.419047619047603</v>
      </c>
      <c r="D484">
        <v>1</v>
      </c>
    </row>
    <row r="485" spans="1:8">
      <c r="B485" t="s">
        <v>8</v>
      </c>
      <c r="C485">
        <v>-14.499999999999998</v>
      </c>
      <c r="D485">
        <v>-0.76793629843230171</v>
      </c>
      <c r="F485" t="s">
        <v>17</v>
      </c>
      <c r="G485">
        <f>2.5*D485+7.5</f>
        <v>5.5801592539192457</v>
      </c>
      <c r="H485" t="s">
        <v>279</v>
      </c>
    </row>
    <row r="486" spans="1:8">
      <c r="B486" t="s">
        <v>7</v>
      </c>
      <c r="C486">
        <v>-7</v>
      </c>
      <c r="D486">
        <v>-0.38770799431696229</v>
      </c>
      <c r="F486" t="s">
        <v>20</v>
      </c>
      <c r="G486">
        <f>500*D486+1500</f>
        <v>1306.1460028415188</v>
      </c>
      <c r="H486" t="s">
        <v>280</v>
      </c>
    </row>
    <row r="487" spans="1:8" ht="15" thickBot="1">
      <c r="B487" s="23" t="s">
        <v>6</v>
      </c>
      <c r="C487" s="23">
        <v>-12.000000000000004</v>
      </c>
      <c r="D487" s="23">
        <v>2.2339929711228026E-2</v>
      </c>
      <c r="F487" t="s">
        <v>21</v>
      </c>
      <c r="G487">
        <f>15*D487+75</f>
        <v>75.33509894566842</v>
      </c>
      <c r="H487" t="s">
        <v>281</v>
      </c>
    </row>
    <row r="488" spans="1:8">
      <c r="D488">
        <f>SUMPRODUCT(C484:C487,D484:D487)</f>
        <v>100.00000074999998</v>
      </c>
    </row>
    <row r="490" spans="1:8">
      <c r="B490" t="s">
        <v>282</v>
      </c>
      <c r="G490" t="s">
        <v>283</v>
      </c>
    </row>
    <row r="491" spans="1:8">
      <c r="G491" t="s">
        <v>284</v>
      </c>
    </row>
    <row r="492" spans="1:8">
      <c r="G492" t="s">
        <v>285</v>
      </c>
    </row>
    <row r="494" spans="1:8">
      <c r="A494" t="s">
        <v>286</v>
      </c>
    </row>
    <row r="495" spans="1:8">
      <c r="A495" t="s">
        <v>291</v>
      </c>
    </row>
    <row r="514" spans="1:16">
      <c r="A514" t="s">
        <v>287</v>
      </c>
      <c r="L514" t="s">
        <v>288</v>
      </c>
    </row>
    <row r="515" spans="1:16">
      <c r="A515" t="s">
        <v>289</v>
      </c>
    </row>
    <row r="516" spans="1:16">
      <c r="A516" t="s">
        <v>57</v>
      </c>
    </row>
    <row r="517" spans="1:16" ht="15" thickBot="1"/>
    <row r="518" spans="1:16">
      <c r="A518" s="25" t="s">
        <v>58</v>
      </c>
      <c r="B518" s="25"/>
    </row>
    <row r="519" spans="1:16">
      <c r="A519" t="s">
        <v>59</v>
      </c>
      <c r="B519">
        <v>0.9987631411469492</v>
      </c>
      <c r="M519" s="41"/>
    </row>
    <row r="520" spans="1:16">
      <c r="A520" t="s">
        <v>60</v>
      </c>
      <c r="B520">
        <v>0.99752781211372066</v>
      </c>
      <c r="M520" s="41"/>
    </row>
    <row r="521" spans="1:16">
      <c r="A521" t="s">
        <v>61</v>
      </c>
      <c r="B521">
        <v>0.9953646477132263</v>
      </c>
      <c r="M521" s="41"/>
    </row>
    <row r="522" spans="1:16">
      <c r="A522" t="s">
        <v>62</v>
      </c>
      <c r="B522">
        <v>1.4142135623730976</v>
      </c>
      <c r="M522" s="41"/>
    </row>
    <row r="523" spans="1:16" ht="15" thickBot="1">
      <c r="A523" s="23" t="s">
        <v>63</v>
      </c>
      <c r="B523" s="23">
        <v>16</v>
      </c>
      <c r="P523" s="41"/>
    </row>
    <row r="524" spans="1:16">
      <c r="P524" s="41"/>
    </row>
    <row r="525" spans="1:16" ht="15" thickBot="1">
      <c r="A525" t="s">
        <v>64</v>
      </c>
      <c r="P525" s="41"/>
    </row>
    <row r="526" spans="1:16">
      <c r="A526" s="24"/>
      <c r="B526" s="24" t="s">
        <v>69</v>
      </c>
      <c r="C526" s="24" t="s">
        <v>70</v>
      </c>
      <c r="D526" s="24" t="s">
        <v>71</v>
      </c>
      <c r="E526" s="24" t="s">
        <v>72</v>
      </c>
      <c r="F526" s="24" t="s">
        <v>73</v>
      </c>
    </row>
    <row r="527" spans="1:16">
      <c r="A527" t="s">
        <v>65</v>
      </c>
      <c r="B527">
        <v>7</v>
      </c>
      <c r="C527">
        <v>6456</v>
      </c>
      <c r="D527">
        <v>922.28571428571433</v>
      </c>
      <c r="E527">
        <v>461.14285714285552</v>
      </c>
      <c r="F527">
        <v>8.7201097445905621E-10</v>
      </c>
    </row>
    <row r="528" spans="1:16">
      <c r="A528" t="s">
        <v>66</v>
      </c>
      <c r="B528">
        <v>8</v>
      </c>
      <c r="C528">
        <v>16.000000000000057</v>
      </c>
      <c r="D528">
        <v>2.0000000000000071</v>
      </c>
    </row>
    <row r="529" spans="1:21" ht="15" thickBot="1">
      <c r="A529" s="23" t="s">
        <v>67</v>
      </c>
      <c r="B529" s="23">
        <v>15</v>
      </c>
      <c r="C529" s="23">
        <v>6472</v>
      </c>
      <c r="D529" s="23"/>
      <c r="E529" s="23"/>
      <c r="F529" s="23"/>
    </row>
    <row r="530" spans="1:21" ht="15" thickBot="1">
      <c r="Q530" s="41"/>
    </row>
    <row r="531" spans="1:21">
      <c r="A531" s="24"/>
      <c r="B531" s="24" t="s">
        <v>74</v>
      </c>
      <c r="C531" s="24" t="s">
        <v>62</v>
      </c>
      <c r="D531" s="24" t="s">
        <v>75</v>
      </c>
      <c r="E531" s="24" t="s">
        <v>76</v>
      </c>
      <c r="F531" s="24" t="s">
        <v>77</v>
      </c>
      <c r="G531" s="24" t="s">
        <v>78</v>
      </c>
      <c r="H531" s="24" t="s">
        <v>79</v>
      </c>
      <c r="I531" s="24" t="s">
        <v>80</v>
      </c>
    </row>
    <row r="532" spans="1:21">
      <c r="A532" t="s">
        <v>68</v>
      </c>
      <c r="B532">
        <v>85</v>
      </c>
      <c r="C532">
        <v>0.3535533905932744</v>
      </c>
      <c r="D532">
        <v>240.41630560342571</v>
      </c>
      <c r="E532" s="22">
        <v>1.0029754153475941E-16</v>
      </c>
      <c r="F532">
        <v>84.184704419276457</v>
      </c>
      <c r="G532">
        <v>85.815295580723543</v>
      </c>
      <c r="H532">
        <v>84.184704419276457</v>
      </c>
      <c r="I532">
        <v>85.815295580723543</v>
      </c>
    </row>
    <row r="533" spans="1:21">
      <c r="A533" t="s">
        <v>8</v>
      </c>
      <c r="B533">
        <v>-14.500000000000002</v>
      </c>
      <c r="C533">
        <v>0.3535533905932744</v>
      </c>
      <c r="D533">
        <v>-41.01219330881969</v>
      </c>
      <c r="E533" s="22">
        <v>1.3756095936484027E-10</v>
      </c>
      <c r="F533">
        <v>-15.315295580723546</v>
      </c>
      <c r="G533">
        <v>-13.684704419276457</v>
      </c>
      <c r="H533">
        <v>-15.315295580723546</v>
      </c>
      <c r="I533">
        <v>-13.684704419276457</v>
      </c>
      <c r="J533" t="s">
        <v>87</v>
      </c>
    </row>
    <row r="534" spans="1:21">
      <c r="A534" t="s">
        <v>7</v>
      </c>
      <c r="B534">
        <v>-6.9999999999999982</v>
      </c>
      <c r="C534">
        <v>0.3535533905932744</v>
      </c>
      <c r="D534">
        <v>-19.798989873223292</v>
      </c>
      <c r="E534" s="22">
        <v>4.4104438472601394E-8</v>
      </c>
      <c r="F534">
        <v>-7.8152955807235429</v>
      </c>
      <c r="G534">
        <v>-6.1847044192764535</v>
      </c>
      <c r="H534">
        <v>-7.8152955807235429</v>
      </c>
      <c r="I534">
        <v>-6.1847044192764535</v>
      </c>
      <c r="J534" t="s">
        <v>88</v>
      </c>
    </row>
    <row r="535" spans="1:21">
      <c r="A535" t="s">
        <v>6</v>
      </c>
      <c r="B535">
        <v>-12</v>
      </c>
      <c r="C535">
        <v>0.3535533905932744</v>
      </c>
      <c r="D535">
        <v>-33.941125496954221</v>
      </c>
      <c r="E535" s="22">
        <v>6.2027981022310657E-10</v>
      </c>
      <c r="F535">
        <v>-12.815295580723545</v>
      </c>
      <c r="G535">
        <v>-11.184704419276455</v>
      </c>
      <c r="H535">
        <v>-12.815295580723545</v>
      </c>
      <c r="I535">
        <v>-11.184704419276455</v>
      </c>
      <c r="J535" t="s">
        <v>88</v>
      </c>
    </row>
    <row r="536" spans="1:21">
      <c r="A536" t="s">
        <v>30</v>
      </c>
      <c r="B536">
        <v>1.5404344466674051E-15</v>
      </c>
      <c r="C536">
        <v>0.3535533905932744</v>
      </c>
      <c r="D536">
        <v>4.3570065728474692E-15</v>
      </c>
      <c r="E536" s="22">
        <v>1</v>
      </c>
      <c r="F536">
        <v>-0.81529558072354325</v>
      </c>
      <c r="G536">
        <v>0.81529558072354635</v>
      </c>
      <c r="H536">
        <v>-0.81529558072354325</v>
      </c>
      <c r="I536">
        <v>0.81529558072354635</v>
      </c>
      <c r="J536" t="s">
        <v>89</v>
      </c>
    </row>
    <row r="537" spans="1:21">
      <c r="A537" t="s">
        <v>31</v>
      </c>
      <c r="B537">
        <v>-2.7755575615629111E-17</v>
      </c>
      <c r="C537">
        <v>0.3535533905932744</v>
      </c>
      <c r="D537">
        <v>-7.8504622934189165E-17</v>
      </c>
      <c r="E537" s="22">
        <v>1</v>
      </c>
      <c r="F537">
        <v>-0.8152955807235448</v>
      </c>
      <c r="G537">
        <v>0.8152955807235448</v>
      </c>
      <c r="H537">
        <v>-0.8152955807235448</v>
      </c>
      <c r="I537">
        <v>0.8152955807235448</v>
      </c>
      <c r="J537" t="s">
        <v>89</v>
      </c>
    </row>
    <row r="538" spans="1:21">
      <c r="A538" t="s">
        <v>32</v>
      </c>
      <c r="B538">
        <v>3.4208746946262636E-15</v>
      </c>
      <c r="C538">
        <v>0.3535533905932744</v>
      </c>
      <c r="D538">
        <v>9.6756947766387457E-15</v>
      </c>
      <c r="E538" s="22">
        <v>1</v>
      </c>
      <c r="F538">
        <v>-0.81529558072354136</v>
      </c>
      <c r="G538">
        <v>0.81529558072354824</v>
      </c>
      <c r="H538">
        <v>-0.81529558072354136</v>
      </c>
      <c r="I538">
        <v>0.81529558072354824</v>
      </c>
      <c r="J538" t="s">
        <v>89</v>
      </c>
    </row>
    <row r="539" spans="1:21" ht="15" thickBot="1">
      <c r="A539" s="23" t="s">
        <v>33</v>
      </c>
      <c r="B539" s="23">
        <v>-0.49999999999999878</v>
      </c>
      <c r="C539" s="23">
        <v>0.3535533905932744</v>
      </c>
      <c r="D539" s="23">
        <v>-1.4142135623730892</v>
      </c>
      <c r="E539" s="26">
        <v>0.19501552810007722</v>
      </c>
      <c r="F539" s="23">
        <v>-1.3152955807235436</v>
      </c>
      <c r="G539" s="23">
        <v>0.31529558072354602</v>
      </c>
      <c r="H539" s="23">
        <v>-1.3152955807235436</v>
      </c>
      <c r="I539" s="23">
        <v>0.31529558072354602</v>
      </c>
      <c r="J539" t="s">
        <v>89</v>
      </c>
    </row>
    <row r="540" spans="1:21" ht="15">
      <c r="B540" s="37"/>
    </row>
    <row r="541" spans="1:21">
      <c r="C541" s="39"/>
      <c r="E541" s="39"/>
      <c r="F541" s="39"/>
      <c r="G541" s="40" t="s">
        <v>86</v>
      </c>
      <c r="I541" s="39"/>
      <c r="J541" s="39"/>
      <c r="K541" s="39"/>
      <c r="L541" s="39"/>
      <c r="M541" s="39"/>
      <c r="N541" s="39"/>
      <c r="O541" s="39"/>
      <c r="P541" s="39"/>
      <c r="Q541" s="39"/>
      <c r="R541" s="39"/>
    </row>
    <row r="542" spans="1:21">
      <c r="B542" t="s">
        <v>126</v>
      </c>
      <c r="C542">
        <v>85</v>
      </c>
      <c r="D542" t="s">
        <v>85</v>
      </c>
      <c r="E542">
        <v>-14.5</v>
      </c>
      <c r="F542" t="s">
        <v>120</v>
      </c>
      <c r="G542">
        <v>-7</v>
      </c>
      <c r="H542" t="s">
        <v>84</v>
      </c>
      <c r="I542">
        <v>-12</v>
      </c>
      <c r="J542" t="s">
        <v>121</v>
      </c>
    </row>
    <row r="543" spans="1:21">
      <c r="C543">
        <v>0</v>
      </c>
      <c r="D543" t="s">
        <v>82</v>
      </c>
      <c r="E543">
        <v>0</v>
      </c>
      <c r="F543" t="s">
        <v>122</v>
      </c>
      <c r="G543">
        <v>0</v>
      </c>
      <c r="H543" t="s">
        <v>123</v>
      </c>
      <c r="I543">
        <v>-0.5</v>
      </c>
      <c r="J543" t="s">
        <v>83</v>
      </c>
      <c r="U543" s="41"/>
    </row>
    <row r="544" spans="1:21">
      <c r="U544" s="41"/>
    </row>
    <row r="545" spans="1:21">
      <c r="U545" s="41"/>
    </row>
    <row r="547" spans="1:21">
      <c r="A547" t="s">
        <v>290</v>
      </c>
    </row>
    <row r="550" spans="1:21">
      <c r="B550" t="s">
        <v>57</v>
      </c>
    </row>
    <row r="551" spans="1:21" ht="15" thickBot="1"/>
    <row r="552" spans="1:21">
      <c r="B552" s="25" t="s">
        <v>58</v>
      </c>
      <c r="C552" s="25"/>
    </row>
    <row r="553" spans="1:21">
      <c r="B553" t="s">
        <v>59</v>
      </c>
      <c r="C553">
        <v>0.99845368702917348</v>
      </c>
    </row>
    <row r="554" spans="1:21">
      <c r="B554" t="s">
        <v>60</v>
      </c>
      <c r="C554">
        <v>0.99690976514215079</v>
      </c>
    </row>
    <row r="555" spans="1:21">
      <c r="B555" t="s">
        <v>61</v>
      </c>
      <c r="C555">
        <v>0.99613720642768844</v>
      </c>
    </row>
    <row r="556" spans="1:21">
      <c r="B556" t="s">
        <v>62</v>
      </c>
      <c r="C556">
        <v>1.2909944487358063</v>
      </c>
    </row>
    <row r="557" spans="1:21" ht="15" thickBot="1">
      <c r="B557" s="23" t="s">
        <v>63</v>
      </c>
      <c r="C557" s="23">
        <v>16</v>
      </c>
    </row>
    <row r="559" spans="1:21" ht="15" thickBot="1">
      <c r="B559" t="s">
        <v>64</v>
      </c>
    </row>
    <row r="560" spans="1:21">
      <c r="B560" s="24"/>
      <c r="C560" s="24" t="s">
        <v>69</v>
      </c>
      <c r="D560" s="24" t="s">
        <v>70</v>
      </c>
      <c r="E560" s="24" t="s">
        <v>71</v>
      </c>
      <c r="F560" s="24" t="s">
        <v>72</v>
      </c>
      <c r="G560" s="24" t="s">
        <v>73</v>
      </c>
    </row>
    <row r="561" spans="1:10">
      <c r="B561" t="s">
        <v>65</v>
      </c>
      <c r="C561">
        <v>3</v>
      </c>
      <c r="D561">
        <v>6452</v>
      </c>
      <c r="E561">
        <v>2150.6666666666665</v>
      </c>
      <c r="F561">
        <v>1290.3999999999985</v>
      </c>
      <c r="G561">
        <v>2.5505177667781894E-15</v>
      </c>
    </row>
    <row r="562" spans="1:10">
      <c r="B562" t="s">
        <v>66</v>
      </c>
      <c r="C562">
        <v>12</v>
      </c>
      <c r="D562">
        <v>20.000000000000021</v>
      </c>
      <c r="E562">
        <v>1.6666666666666685</v>
      </c>
    </row>
    <row r="563" spans="1:10" ht="15" thickBot="1">
      <c r="B563" s="23" t="s">
        <v>67</v>
      </c>
      <c r="C563" s="23">
        <v>15</v>
      </c>
      <c r="D563" s="23">
        <v>6472</v>
      </c>
      <c r="E563" s="23"/>
      <c r="F563" s="23"/>
      <c r="G563" s="23"/>
    </row>
    <row r="565" spans="1:10">
      <c r="C565" t="s">
        <v>74</v>
      </c>
      <c r="D565" t="s">
        <v>62</v>
      </c>
      <c r="E565" t="s">
        <v>75</v>
      </c>
      <c r="F565" t="s">
        <v>76</v>
      </c>
      <c r="G565" t="s">
        <v>77</v>
      </c>
      <c r="H565" t="s">
        <v>78</v>
      </c>
      <c r="I565" t="s">
        <v>79</v>
      </c>
      <c r="J565" t="s">
        <v>80</v>
      </c>
    </row>
    <row r="566" spans="1:10">
      <c r="B566" t="s">
        <v>68</v>
      </c>
      <c r="C566">
        <v>85</v>
      </c>
      <c r="D566">
        <v>0.32274861218395157</v>
      </c>
      <c r="E566">
        <v>263.3628675421042</v>
      </c>
      <c r="F566">
        <v>6.0440271377556814E-24</v>
      </c>
      <c r="G566">
        <v>84.29679118301631</v>
      </c>
      <c r="H566">
        <v>85.70320881698369</v>
      </c>
      <c r="I566">
        <v>84.29679118301631</v>
      </c>
      <c r="J566">
        <v>85.70320881698369</v>
      </c>
    </row>
    <row r="567" spans="1:10">
      <c r="B567" t="s">
        <v>8</v>
      </c>
      <c r="C567">
        <v>-14.5</v>
      </c>
      <c r="D567">
        <v>0.32274861218395157</v>
      </c>
      <c r="E567">
        <v>-44.926606816006014</v>
      </c>
      <c r="F567">
        <v>9.6385741190367645E-15</v>
      </c>
      <c r="G567">
        <v>-15.203208816983686</v>
      </c>
      <c r="H567">
        <v>-13.796791183016314</v>
      </c>
      <c r="I567">
        <v>-15.203208816983686</v>
      </c>
      <c r="J567">
        <v>-13.796791183016314</v>
      </c>
    </row>
    <row r="568" spans="1:10">
      <c r="B568" t="s">
        <v>7</v>
      </c>
      <c r="C568">
        <v>-6.9999999999999982</v>
      </c>
      <c r="D568">
        <v>0.32274861218395157</v>
      </c>
      <c r="E568">
        <v>-21.688706738761518</v>
      </c>
      <c r="F568">
        <v>5.4030301180222498E-11</v>
      </c>
      <c r="G568">
        <v>-7.7032088169836843</v>
      </c>
      <c r="H568">
        <v>-6.2967911830163121</v>
      </c>
      <c r="I568">
        <v>-7.7032088169836843</v>
      </c>
      <c r="J568">
        <v>-6.2967911830163121</v>
      </c>
    </row>
    <row r="569" spans="1:10">
      <c r="B569" t="s">
        <v>6</v>
      </c>
      <c r="C569">
        <v>-12</v>
      </c>
      <c r="D569">
        <v>0.32274861218395157</v>
      </c>
      <c r="E569">
        <v>-37.180640123591182</v>
      </c>
      <c r="F569">
        <v>9.1977828808568837E-14</v>
      </c>
      <c r="G569">
        <v>-12.703208816983686</v>
      </c>
      <c r="H569">
        <v>-11.296791183016314</v>
      </c>
      <c r="I569">
        <v>-12.703208816983686</v>
      </c>
      <c r="J569">
        <v>-11.296791183016314</v>
      </c>
    </row>
    <row r="571" spans="1:10">
      <c r="A571" t="s">
        <v>86</v>
      </c>
    </row>
    <row r="573" spans="1:10">
      <c r="A573" t="s">
        <v>119</v>
      </c>
      <c r="B573">
        <v>85</v>
      </c>
      <c r="C573" t="s">
        <v>85</v>
      </c>
      <c r="D573">
        <v>-14.5</v>
      </c>
      <c r="E573" t="s">
        <v>124</v>
      </c>
      <c r="F573">
        <v>-7</v>
      </c>
      <c r="G573" t="s">
        <v>84</v>
      </c>
      <c r="I573">
        <v>-12</v>
      </c>
      <c r="J573" t="s">
        <v>125</v>
      </c>
    </row>
  </sheetData>
  <sortState ref="G265:G285">
    <sortCondition ref="G265"/>
  </sortState>
  <mergeCells count="6">
    <mergeCell ref="D400:E400"/>
    <mergeCell ref="A403:A404"/>
    <mergeCell ref="A387:A388"/>
    <mergeCell ref="D384:E384"/>
    <mergeCell ref="D392:E392"/>
    <mergeCell ref="A395:A396"/>
  </mergeCells>
  <phoneticPr fontId="8" type="noConversion"/>
  <pageMargins left="0.7" right="0.7" top="0.75" bottom="0.75" header="0.3" footer="0.3"/>
  <ignoredErrors>
    <ignoredError sqref="B219:B220 G372:G373" formulaRange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1</vt:lpstr>
      <vt:lpstr>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 Dúžek</dc:creator>
  <cp:lastModifiedBy>Janette Kotianová</cp:lastModifiedBy>
  <dcterms:created xsi:type="dcterms:W3CDTF">2025-12-30T10:06:37Z</dcterms:created>
  <dcterms:modified xsi:type="dcterms:W3CDTF">2026-02-02T15:52:55Z</dcterms:modified>
</cp:coreProperties>
</file>