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hartEx1.xml" ContentType="application/vnd.ms-office.chartex+xml"/>
  <Override PartName="/xl/charts/colors100.xml" ContentType="application/vnd.ms-office.chartcolorstyle+xml"/>
  <Override PartName="/xl/charts/style100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otianova\Desktop\stranka mmpve\"/>
    </mc:Choice>
  </mc:AlternateContent>
  <bookViews>
    <workbookView xWindow="0" yWindow="0" windowWidth="28800" windowHeight="12330"/>
  </bookViews>
  <sheets>
    <sheet name="Hárok1" sheetId="1" r:id="rId1"/>
  </sheets>
  <definedNames>
    <definedName name="_xlchart.v1.0" hidden="1">Hárok1!$F$335</definedName>
    <definedName name="_xlchart.v1.1" hidden="1">Hárok1!$F$336:$F$351</definedName>
    <definedName name="_xlchart.v1.2" hidden="1">Hárok1!$G$335</definedName>
    <definedName name="_xlchart.v1.3" hidden="1">Hárok1!$G$336:$G$351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54" i="1" l="1"/>
  <c r="C280" i="1"/>
  <c r="C471" i="1" l="1"/>
  <c r="E468" i="1"/>
  <c r="C468" i="1"/>
  <c r="G447" i="1" l="1"/>
  <c r="G445" i="1"/>
  <c r="G444" i="1"/>
  <c r="G446" i="1" l="1"/>
  <c r="B701" i="1" l="1"/>
  <c r="B692" i="1"/>
  <c r="B683" i="1"/>
  <c r="E652" i="1" l="1"/>
  <c r="F639" i="1" l="1"/>
  <c r="E639" i="1"/>
  <c r="F638" i="1"/>
  <c r="E638" i="1"/>
  <c r="F637" i="1"/>
  <c r="E637" i="1"/>
  <c r="F644" i="1" l="1"/>
  <c r="F646" i="1"/>
  <c r="F645" i="1"/>
  <c r="R574" i="1"/>
  <c r="R573" i="1"/>
  <c r="Q574" i="1"/>
  <c r="Q573" i="1"/>
  <c r="L574" i="1"/>
  <c r="L573" i="1"/>
  <c r="K574" i="1"/>
  <c r="K573" i="1"/>
  <c r="F574" i="1"/>
  <c r="F573" i="1"/>
  <c r="E574" i="1"/>
  <c r="E573" i="1"/>
  <c r="H529" i="1"/>
  <c r="G529" i="1"/>
  <c r="F529" i="1"/>
  <c r="E529" i="1"/>
  <c r="D529" i="1"/>
  <c r="C529" i="1"/>
  <c r="H644" i="1" l="1"/>
  <c r="G530" i="1"/>
  <c r="E530" i="1"/>
  <c r="C530" i="1"/>
  <c r="D473" i="1" l="1"/>
  <c r="C473" i="1"/>
  <c r="C472" i="1"/>
  <c r="C435" i="1" l="1"/>
  <c r="C434" i="1"/>
  <c r="C429" i="1"/>
  <c r="C428" i="1"/>
  <c r="C423" i="1"/>
  <c r="C422" i="1"/>
  <c r="E418" i="1"/>
  <c r="C418" i="1"/>
  <c r="C307" i="1" l="1"/>
  <c r="H311" i="1"/>
  <c r="H310" i="1"/>
  <c r="D301" i="1"/>
  <c r="D300" i="1"/>
  <c r="D299" i="1"/>
  <c r="D298" i="1"/>
  <c r="D297" i="1"/>
  <c r="C303" i="1"/>
  <c r="D303" i="1"/>
  <c r="C302" i="1"/>
  <c r="C306" i="1" l="1"/>
  <c r="C308" i="1" s="1"/>
  <c r="C309" i="1" s="1"/>
  <c r="D302" i="1"/>
  <c r="D256" i="1" l="1"/>
  <c r="G275" i="1"/>
  <c r="C255" i="1" s="1"/>
  <c r="F266" i="1"/>
  <c r="F265" i="1"/>
  <c r="F264" i="1"/>
  <c r="F263" i="1"/>
  <c r="F262" i="1"/>
  <c r="F261" i="1"/>
  <c r="F259" i="1"/>
  <c r="F260" i="1"/>
  <c r="F275" i="1" l="1"/>
  <c r="D255" i="1" s="1"/>
  <c r="E255" i="1" s="1"/>
  <c r="G252" i="1"/>
  <c r="C254" i="1"/>
  <c r="C237" i="1"/>
  <c r="C235" i="1"/>
  <c r="C234" i="1"/>
  <c r="D254" i="1" l="1"/>
  <c r="E254" i="1" s="1"/>
  <c r="F254" i="1" s="1"/>
  <c r="C236" i="1"/>
  <c r="C238" i="1" s="1"/>
  <c r="H254" i="1" l="1"/>
  <c r="C282" i="1" s="1"/>
  <c r="C279" i="1"/>
  <c r="E200" i="1"/>
  <c r="E191" i="1"/>
  <c r="C185" i="1"/>
  <c r="K177" i="1" l="1"/>
  <c r="K178" i="1" s="1"/>
  <c r="K179" i="1" s="1"/>
  <c r="H177" i="1"/>
  <c r="H178" i="1" s="1"/>
  <c r="H179" i="1" s="1"/>
  <c r="E177" i="1"/>
  <c r="E178" i="1" s="1"/>
  <c r="E179" i="1" s="1"/>
  <c r="C177" i="1"/>
  <c r="C178" i="1" s="1"/>
  <c r="P162" i="1"/>
  <c r="M162" i="1"/>
  <c r="J162" i="1"/>
  <c r="H162" i="1"/>
  <c r="C179" i="1" l="1"/>
  <c r="F169" i="1"/>
  <c r="E169" i="1"/>
  <c r="F168" i="1"/>
  <c r="E168" i="1"/>
  <c r="F167" i="1"/>
  <c r="E167" i="1"/>
  <c r="H101" i="1"/>
  <c r="G101" i="1"/>
  <c r="F101" i="1"/>
  <c r="E101" i="1"/>
  <c r="H100" i="1"/>
  <c r="G100" i="1"/>
  <c r="F100" i="1"/>
  <c r="E100" i="1"/>
  <c r="H99" i="1"/>
  <c r="G99" i="1"/>
  <c r="F99" i="1"/>
  <c r="E99" i="1"/>
  <c r="H98" i="1"/>
  <c r="G98" i="1"/>
  <c r="F98" i="1"/>
  <c r="E98" i="1"/>
  <c r="H97" i="1"/>
  <c r="G97" i="1"/>
  <c r="F97" i="1"/>
  <c r="E97" i="1"/>
  <c r="H96" i="1"/>
  <c r="G96" i="1"/>
  <c r="F96" i="1"/>
  <c r="E96" i="1"/>
  <c r="H95" i="1"/>
  <c r="G95" i="1"/>
  <c r="F95" i="1"/>
  <c r="E95" i="1"/>
  <c r="H94" i="1"/>
  <c r="G94" i="1"/>
  <c r="F94" i="1"/>
  <c r="E94" i="1"/>
  <c r="H93" i="1"/>
  <c r="G93" i="1"/>
  <c r="F93" i="1"/>
  <c r="E93" i="1"/>
  <c r="H92" i="1"/>
  <c r="G92" i="1"/>
  <c r="F92" i="1"/>
  <c r="E92" i="1"/>
  <c r="H91" i="1"/>
  <c r="G91" i="1"/>
  <c r="F91" i="1"/>
  <c r="E91" i="1"/>
  <c r="H90" i="1"/>
  <c r="G90" i="1"/>
  <c r="F90" i="1"/>
  <c r="E90" i="1"/>
  <c r="H89" i="1"/>
  <c r="G89" i="1"/>
  <c r="F89" i="1"/>
  <c r="E89" i="1"/>
  <c r="H88" i="1"/>
  <c r="G88" i="1"/>
  <c r="F88" i="1"/>
  <c r="E88" i="1"/>
  <c r="H87" i="1"/>
  <c r="G87" i="1"/>
  <c r="F87" i="1"/>
  <c r="E87" i="1"/>
  <c r="H86" i="1"/>
  <c r="G86" i="1"/>
  <c r="F86" i="1"/>
  <c r="E86" i="1"/>
  <c r="J48" i="1" l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47" i="1"/>
  <c r="F40" i="1"/>
  <c r="E40" i="1"/>
  <c r="F39" i="1"/>
  <c r="E39" i="1"/>
  <c r="I28" i="1" s="1"/>
  <c r="F38" i="1"/>
  <c r="E38" i="1"/>
  <c r="H24" i="1" l="1"/>
  <c r="C64" i="1" a="1"/>
  <c r="C64" i="1" s="1"/>
  <c r="I27" i="1"/>
  <c r="H19" i="1"/>
  <c r="H34" i="1"/>
  <c r="H32" i="1"/>
  <c r="H31" i="1"/>
  <c r="H30" i="1"/>
  <c r="I34" i="1"/>
  <c r="I26" i="1"/>
  <c r="I25" i="1"/>
  <c r="I24" i="1"/>
  <c r="I23" i="1"/>
  <c r="J22" i="1"/>
  <c r="I22" i="1"/>
  <c r="H23" i="1"/>
  <c r="J34" i="1"/>
  <c r="H22" i="1"/>
  <c r="J31" i="1"/>
  <c r="H21" i="1"/>
  <c r="J30" i="1"/>
  <c r="I29" i="1"/>
  <c r="H20" i="1"/>
  <c r="J29" i="1"/>
  <c r="J20" i="1"/>
  <c r="I19" i="1"/>
  <c r="J28" i="1"/>
  <c r="J27" i="1"/>
  <c r="J26" i="1"/>
  <c r="J25" i="1"/>
  <c r="H33" i="1"/>
  <c r="H29" i="1"/>
  <c r="I33" i="1"/>
  <c r="I21" i="1"/>
  <c r="H28" i="1"/>
  <c r="I32" i="1"/>
  <c r="I20" i="1"/>
  <c r="J24" i="1"/>
  <c r="H27" i="1"/>
  <c r="I31" i="1"/>
  <c r="J19" i="1"/>
  <c r="J23" i="1"/>
  <c r="H26" i="1"/>
  <c r="I30" i="1"/>
  <c r="H25" i="1"/>
  <c r="J33" i="1"/>
  <c r="J21" i="1"/>
  <c r="J32" i="1"/>
  <c r="H68" i="1" l="1"/>
  <c r="K71" i="1"/>
  <c r="E64" i="1"/>
  <c r="R64" i="1"/>
  <c r="Q69" i="1"/>
  <c r="H64" i="1"/>
  <c r="D69" i="1"/>
  <c r="L70" i="1"/>
  <c r="C65" i="1"/>
  <c r="H70" i="1"/>
  <c r="N67" i="1"/>
  <c r="D64" i="1"/>
  <c r="N65" i="1"/>
  <c r="C71" i="1"/>
  <c r="L69" i="1"/>
  <c r="P65" i="1"/>
  <c r="M65" i="1"/>
  <c r="M67" i="1"/>
  <c r="P66" i="1"/>
  <c r="J65" i="1"/>
  <c r="L65" i="1"/>
  <c r="F67" i="1"/>
  <c r="O68" i="1"/>
  <c r="H67" i="1"/>
  <c r="R66" i="1"/>
  <c r="G70" i="1"/>
  <c r="H66" i="1"/>
  <c r="R67" i="1"/>
  <c r="K67" i="1"/>
  <c r="D66" i="1"/>
  <c r="C69" i="1"/>
  <c r="D67" i="1"/>
  <c r="N68" i="1"/>
  <c r="K66" i="1"/>
  <c r="D65" i="1"/>
  <c r="C68" i="1"/>
  <c r="C67" i="1"/>
  <c r="M68" i="1"/>
  <c r="D71" i="1"/>
  <c r="N69" i="1"/>
  <c r="O66" i="1"/>
  <c r="L68" i="1"/>
  <c r="F70" i="1"/>
  <c r="J68" i="1"/>
  <c r="O65" i="1"/>
  <c r="K68" i="1"/>
  <c r="E70" i="1"/>
  <c r="P68" i="1"/>
  <c r="J71" i="1"/>
  <c r="K69" i="1"/>
  <c r="E69" i="1"/>
  <c r="I67" i="1"/>
  <c r="G69" i="1"/>
  <c r="D70" i="1"/>
  <c r="N71" i="1"/>
  <c r="L67" i="1"/>
  <c r="F68" i="1"/>
  <c r="F66" i="1"/>
  <c r="G68" i="1"/>
  <c r="E68" i="1"/>
  <c r="F71" i="1"/>
  <c r="C70" i="1"/>
  <c r="P70" i="1"/>
  <c r="M71" i="1"/>
  <c r="L66" i="1"/>
  <c r="Q65" i="1"/>
  <c r="F65" i="1"/>
  <c r="G67" i="1"/>
  <c r="Q66" i="1"/>
  <c r="R69" i="1"/>
  <c r="E65" i="1"/>
  <c r="Q64" i="1"/>
  <c r="Q68" i="1"/>
  <c r="D68" i="1"/>
  <c r="J70" i="1"/>
  <c r="N66" i="1"/>
  <c r="P64" i="1"/>
  <c r="J66" i="1"/>
  <c r="O69" i="1"/>
  <c r="F69" i="1"/>
  <c r="G71" i="1"/>
  <c r="O64" i="1"/>
  <c r="I66" i="1"/>
  <c r="M66" i="1"/>
  <c r="L64" i="1"/>
  <c r="J64" i="1"/>
  <c r="K65" i="1"/>
  <c r="E67" i="1"/>
  <c r="I65" i="1"/>
  <c r="R71" i="1"/>
  <c r="R65" i="1"/>
  <c r="Q71" i="1"/>
  <c r="G66" i="1"/>
  <c r="Q67" i="1"/>
  <c r="I64" i="1"/>
  <c r="N70" i="1"/>
  <c r="N64" i="1"/>
  <c r="M70" i="1"/>
  <c r="P67" i="1"/>
  <c r="J69" i="1"/>
  <c r="G65" i="1"/>
  <c r="O71" i="1"/>
  <c r="I71" i="1"/>
  <c r="M69" i="1"/>
  <c r="O67" i="1"/>
  <c r="I69" i="1"/>
  <c r="P69" i="1"/>
  <c r="G64" i="1"/>
  <c r="K70" i="1"/>
  <c r="I70" i="1"/>
  <c r="I68" i="1"/>
  <c r="H69" i="1"/>
  <c r="R70" i="1"/>
  <c r="J67" i="1"/>
  <c r="K64" i="1"/>
  <c r="Q70" i="1"/>
  <c r="E66" i="1"/>
  <c r="O70" i="1"/>
  <c r="L71" i="1"/>
  <c r="F64" i="1"/>
  <c r="E71" i="1"/>
  <c r="H65" i="1"/>
  <c r="H71" i="1"/>
  <c r="P71" i="1"/>
  <c r="C66" i="1"/>
  <c r="M64" i="1"/>
  <c r="R68" i="1"/>
  <c r="C74" i="1" l="1" a="1"/>
  <c r="C74" i="1" s="1"/>
  <c r="F74" i="1" s="1"/>
  <c r="C76" i="1" l="1"/>
  <c r="F76" i="1" s="1"/>
  <c r="C78" i="1"/>
  <c r="F78" i="1" s="1"/>
  <c r="C80" i="1"/>
  <c r="F80" i="1" s="1"/>
  <c r="C79" i="1"/>
  <c r="F79" i="1" s="1"/>
  <c r="C77" i="1"/>
  <c r="F77" i="1" s="1"/>
  <c r="C75" i="1"/>
  <c r="F75" i="1" s="1"/>
  <c r="C81" i="1"/>
  <c r="F81" i="1" s="1"/>
</calcChain>
</file>

<file path=xl/sharedStrings.xml><?xml version="1.0" encoding="utf-8"?>
<sst xmlns="http://schemas.openxmlformats.org/spreadsheetml/2006/main" count="586" uniqueCount="297">
  <si>
    <t>Dáta boli získané z uvedenej internetovej stránky po vyfiltrovaní podľa hodnôt stanovených nezávislých premenných</t>
  </si>
  <si>
    <t xml:space="preserve">x1 </t>
  </si>
  <si>
    <t>najazdené kilometre</t>
  </si>
  <si>
    <t>výkon v kW</t>
  </si>
  <si>
    <t>vek auta</t>
  </si>
  <si>
    <t>x2</t>
  </si>
  <si>
    <t>x3</t>
  </si>
  <si>
    <t>Nezávislé premenné:</t>
  </si>
  <si>
    <t>Závislá premenná:</t>
  </si>
  <si>
    <t>cena auta v €</t>
  </si>
  <si>
    <t>(50 000;100 000)</t>
  </si>
  <si>
    <t>1. Pomocou CPLOT-u zobrazte, aké priemerné odozvy boli namerané v jednotlivých bodoch plánovaného experimentu.</t>
  </si>
  <si>
    <t>n</t>
  </si>
  <si>
    <t>x1</t>
  </si>
  <si>
    <t>Y</t>
  </si>
  <si>
    <t>(3;6)</t>
  </si>
  <si>
    <t>(80;110)</t>
  </si>
  <si>
    <t>Kódované hodnoty:</t>
  </si>
  <si>
    <t>t1</t>
  </si>
  <si>
    <t>t2</t>
  </si>
  <si>
    <t>t3</t>
  </si>
  <si>
    <t>a</t>
  </si>
  <si>
    <t>b</t>
  </si>
  <si>
    <t>stred</t>
  </si>
  <si>
    <t>lambda</t>
  </si>
  <si>
    <t>2. Metódou najmenších štvorcov odhadnite koeficienty transformovanej regresnej funkcie lineárneho typu.</t>
  </si>
  <si>
    <t>t1*t2</t>
  </si>
  <si>
    <t>t1*t3</t>
  </si>
  <si>
    <t>t2*t3</t>
  </si>
  <si>
    <t>t1*t2*t3</t>
  </si>
  <si>
    <t>b0</t>
  </si>
  <si>
    <t>b1</t>
  </si>
  <si>
    <t>b2</t>
  </si>
  <si>
    <t>b3</t>
  </si>
  <si>
    <t>b12</t>
  </si>
  <si>
    <t>b13</t>
  </si>
  <si>
    <t>b23</t>
  </si>
  <si>
    <t>b123</t>
  </si>
  <si>
    <t>X=</t>
  </si>
  <si>
    <t>XT=</t>
  </si>
  <si>
    <t>XT*Y=</t>
  </si>
  <si>
    <t>b=</t>
  </si>
  <si>
    <t xml:space="preserve"> =b0</t>
  </si>
  <si>
    <t xml:space="preserve"> =b1</t>
  </si>
  <si>
    <t xml:space="preserve"> =b2</t>
  </si>
  <si>
    <t xml:space="preserve"> =b3</t>
  </si>
  <si>
    <t xml:space="preserve"> =b12</t>
  </si>
  <si>
    <t xml:space="preserve"> =b13</t>
  </si>
  <si>
    <t xml:space="preserve"> =b23</t>
  </si>
  <si>
    <t xml:space="preserve"> =b123</t>
  </si>
  <si>
    <t>3. Na hladine významnosti 0,05 rozhodnite, ktoré z faktorov a interakcií nie sú štatisticky významné a možno ich vylúčiť, ak má zostať regresný model hierarchický.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</si>
  <si>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</si>
  <si>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</si>
  <si>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</si>
  <si>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</si>
  <si>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</si>
  <si>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</si>
  <si>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</si>
  <si>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</si>
  <si>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</si>
  <si>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</si>
  <si>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</si>
  <si>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</si>
  <si>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</si>
  <si>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</si>
  <si>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</si>
  <si>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</si>
  <si>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</si>
  <si>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</si>
  <si>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</si>
  <si>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</si>
  <si>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</si>
  <si>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</si>
  <si>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95,0%</t>
  </si>
  <si>
    <t>Upper 95,0%</t>
  </si>
  <si>
    <t>nie je štatisticky významný</t>
  </si>
  <si>
    <t>&lt;</t>
  </si>
  <si>
    <t>je štatisticky významný</t>
  </si>
  <si>
    <t>P-hodnota</t>
  </si>
  <si>
    <t>&gt;</t>
  </si>
  <si>
    <t>Alfa</t>
  </si>
  <si>
    <t>Na hladine významnosti 0,05 môžeme vylúčiť interakcie faktorov t1*t2, t1*t3, t2*t3, a t1*t2*t3.</t>
  </si>
  <si>
    <t xml:space="preserve">4. Napíšte bodový odhad transformovanej regresnej funkcie lineárneho typu, ktorý vznikne po vylúčení štatisticky nevýznamných členov. Ďalej pracujte s týmto modelom. </t>
  </si>
  <si>
    <t>fLT(t1,t2,t3)=</t>
  </si>
  <si>
    <t>*t1</t>
  </si>
  <si>
    <t>*t2</t>
  </si>
  <si>
    <t>*t3</t>
  </si>
  <si>
    <t xml:space="preserve">5.Napíšte rovnicu pôvodnej regresnej funkcie lineárneho typu, t.j. rovnicu regresného modelu v nekódovaných hodnotách s upravenými koeficientami. </t>
  </si>
  <si>
    <t>fLT(xt1,x2,x3)=</t>
  </si>
  <si>
    <t>+</t>
  </si>
  <si>
    <t>*(x1-75000)/25000</t>
  </si>
  <si>
    <t>*(x2-95)/15</t>
  </si>
  <si>
    <t>*(x3-4,5)/1,5</t>
  </si>
  <si>
    <t>*x1</t>
  </si>
  <si>
    <t>*x2</t>
  </si>
  <si>
    <t>*x3</t>
  </si>
  <si>
    <t xml:space="preserve">6. Charakterizujte kvalitu získaného modelu pomocou indexu determinácie. Číselnú hodnotu interpretujte slovne. </t>
  </si>
  <si>
    <r>
      <t>R</t>
    </r>
    <r>
      <rPr>
        <sz val="11"/>
        <color theme="1"/>
        <rFont val="Calibri"/>
        <family val="2"/>
        <charset val="238"/>
      </rPr>
      <t>² =</t>
    </r>
  </si>
  <si>
    <t xml:space="preserve"> =&gt; 91% variability nameraných hodnôt je možné vysvetliť modelom. Zvyšných 9% zostáva modelom nevysvetlených.</t>
  </si>
  <si>
    <t>7. Porovnajte upravený index determinácie pri modeli so všetkými pôvodnými premennými a pri modeli, ktorý dostanete po ich vylúčení. Výsledok interpretujte.</t>
  </si>
  <si>
    <t>Upravený index determinácie je pri modeli so všetkými pôvodnými premennými je 0,8933279.</t>
  </si>
  <si>
    <t>Upravený R² pri modeli so všetkými pôvodnými premennými =</t>
  </si>
  <si>
    <t>Upravený R² modelu po vylúčení nevýznamných premenných =</t>
  </si>
  <si>
    <t>Pri modeli s vylúčenými premennými upravený index determinácie je 0,88716567.</t>
  </si>
  <si>
    <t>Vylúčením nevýznamných faktorov index determinácie jemne klesol.</t>
  </si>
  <si>
    <t>Pri oboch indexoch po zaokrúhlení platí, že 89% variability nameraných hodnôt je možné vysvetliť modelom. Zvyšok hodnôt (11%) ostáva nevysvetlený.</t>
  </si>
  <si>
    <t>8. Charakterizujte kvalitu modelu z hľadiska jeho predikcie.</t>
  </si>
  <si>
    <t>9. Otestujte celkovú štatistickú významnosť regresného modelu pomocou F testu.</t>
  </si>
  <si>
    <t>α = 0,05</t>
  </si>
  <si>
    <t>MSR=</t>
  </si>
  <si>
    <t>MSE=</t>
  </si>
  <si>
    <t>F0=</t>
  </si>
  <si>
    <t>F kv3,12 (0,95)=</t>
  </si>
  <si>
    <t>p=</t>
  </si>
  <si>
    <t>W=</t>
  </si>
  <si>
    <t>(3,490295;∞)</t>
  </si>
  <si>
    <t>F0 patrí do W:</t>
  </si>
  <si>
    <t>p&lt;α:</t>
  </si>
  <si>
    <t>H1: aspon jeden z uvedenych koeficientov je nenulovy prijimame</t>
  </si>
  <si>
    <t>Na hladine významnosti 0,05 možno konštatovať, že regresný model je štatisticky významný.</t>
  </si>
  <si>
    <t>10. Otestujte kvalitu modelu testom Lack of Fit.</t>
  </si>
  <si>
    <t>F krit</t>
  </si>
  <si>
    <t>Lack of fit</t>
  </si>
  <si>
    <t>Pure error</t>
  </si>
  <si>
    <t>PE</t>
  </si>
  <si>
    <t>df pre PE</t>
  </si>
  <si>
    <r>
      <t xml:space="preserve">H0:SSLF = SSPE &gt; &lt; H1: SSLF </t>
    </r>
    <r>
      <rPr>
        <sz val="11"/>
        <color theme="1"/>
        <rFont val="Calibri"/>
        <family val="2"/>
        <charset val="238"/>
      </rPr>
      <t>≠</t>
    </r>
    <r>
      <rPr>
        <sz val="9.9"/>
        <color theme="1"/>
        <rFont val="Calibri"/>
        <family val="2"/>
        <charset val="238"/>
      </rPr>
      <t xml:space="preserve"> SSPE</t>
    </r>
  </si>
  <si>
    <t>(3,8379;∞)</t>
  </si>
  <si>
    <t>Fkrit=</t>
  </si>
  <si>
    <t>F0 nepatrí do W:</t>
  </si>
  <si>
    <t>H0:SSLF = SSPE nezamietame</t>
  </si>
  <si>
    <t>H1: SSLF ≠ SSPE zamietame</t>
  </si>
  <si>
    <t>p&gt;α:</t>
  </si>
  <si>
    <t>Na hladine vyznamnosti 0,05 mozno konstatovat, ze linearny model nie je nedostatocny (je dostatocny).</t>
  </si>
  <si>
    <t xml:space="preserve">11. Testom krivosti overte, či nie je potrebné do modelu zaradiť kvadratické členy. </t>
  </si>
  <si>
    <t>central point</t>
  </si>
  <si>
    <t>namerané hodnoty:</t>
  </si>
  <si>
    <t>yC priemer:</t>
  </si>
  <si>
    <t>nC:</t>
  </si>
  <si>
    <t>https://www.autobazar.eu/vysledky/osobne-vozidla/skoda/?mileageFrom=50000&amp;mileageTo=100000&amp;yearFrom=2019&amp;yearTo=2022&amp;powerFrom=80&amp;powerTo=110</t>
  </si>
  <si>
    <t>H0: Nie je potrebný kvadratický model</t>
  </si>
  <si>
    <t>H1: Je potrebný kvadratický model</t>
  </si>
  <si>
    <t>factorial point</t>
  </si>
  <si>
    <t>namerané hodnoty</t>
  </si>
  <si>
    <t xml:space="preserve">yF priemer: </t>
  </si>
  <si>
    <t>nF:</t>
  </si>
  <si>
    <t>SSCPQ=</t>
  </si>
  <si>
    <t>F kv (0,95;1;4)=</t>
  </si>
  <si>
    <t>T0=</t>
  </si>
  <si>
    <t>(7,70864;∞)</t>
  </si>
  <si>
    <t>T0 nepatrí do W:</t>
  </si>
  <si>
    <t>H0: Nie je potrebný kvadratický model nezamietame</t>
  </si>
  <si>
    <t>H1: Je potrebný kvadratický model zamietame</t>
  </si>
  <si>
    <t>12. Analyzujte reziduá graficky a overte, či spĺňajú požadované podmienky aj pomocou testov.</t>
  </si>
  <si>
    <t>RESIDUAL OUTPUT</t>
  </si>
  <si>
    <t>Observation</t>
  </si>
  <si>
    <t>Predicted Y</t>
  </si>
  <si>
    <t>Residuals</t>
  </si>
  <si>
    <t>PROBABILITY OUTPUT</t>
  </si>
  <si>
    <t>Percentile</t>
  </si>
  <si>
    <t>α=0,05</t>
  </si>
  <si>
    <t>Vplyv faktora t1 na hodnotu regresnej funkcie fLT</t>
  </si>
  <si>
    <r>
      <t xml:space="preserve">H0: b1 = 0 &gt; &lt; H1: b1 </t>
    </r>
    <r>
      <rPr>
        <sz val="11"/>
        <color theme="1"/>
        <rFont val="Calibri"/>
        <family val="2"/>
        <charset val="238"/>
      </rPr>
      <t>≠ 0</t>
    </r>
  </si>
  <si>
    <t xml:space="preserve">t stat (b1) = </t>
  </si>
  <si>
    <t>patrí do W</t>
  </si>
  <si>
    <t>P value =</t>
  </si>
  <si>
    <t>α (0,05)</t>
  </si>
  <si>
    <t>95% IS</t>
  </si>
  <si>
    <t xml:space="preserve"> ==&gt; 0 sem nepatrí</t>
  </si>
  <si>
    <r>
      <t xml:space="preserve">; </t>
    </r>
    <r>
      <rPr>
        <sz val="14"/>
        <color theme="1"/>
        <rFont val="Times New Roman"/>
        <family val="1"/>
        <charset val="238"/>
      </rPr>
      <t>∞</t>
    </r>
    <r>
      <rPr>
        <sz val="11"/>
        <color theme="1"/>
        <rFont val="Aptos Narrow"/>
        <family val="2"/>
        <charset val="238"/>
        <scheme val="minor"/>
      </rPr>
      <t>)</t>
    </r>
  </si>
  <si>
    <r>
      <t>W=(-∞</t>
    </r>
    <r>
      <rPr>
        <sz val="11"/>
        <color theme="1"/>
        <rFont val="Calibri"/>
        <family val="2"/>
        <charset val="238"/>
      </rPr>
      <t>;</t>
    </r>
  </si>
  <si>
    <t>)                            U                          (</t>
  </si>
  <si>
    <t>Vplyv faktora t2 na hodnotu regresnej funkcie fLT</t>
  </si>
  <si>
    <r>
      <t xml:space="preserve">H0: b2 = 0 &gt; &lt; H1: b2 </t>
    </r>
    <r>
      <rPr>
        <sz val="11"/>
        <color theme="1"/>
        <rFont val="Calibri"/>
        <family val="2"/>
        <charset val="238"/>
      </rPr>
      <t>≠ 0</t>
    </r>
  </si>
  <si>
    <t xml:space="preserve">t stat (b2) = </t>
  </si>
  <si>
    <t>Vplyv faktora t3 na hodnotu regresnej funkcie fLT</t>
  </si>
  <si>
    <r>
      <t xml:space="preserve">H0: b3 = 0 &gt; &lt; H1: b3 </t>
    </r>
    <r>
      <rPr>
        <sz val="11"/>
        <color theme="1"/>
        <rFont val="Calibri"/>
        <family val="2"/>
        <charset val="238"/>
      </rPr>
      <t>≠ 0</t>
    </r>
  </si>
  <si>
    <t xml:space="preserve">t stat (b3) = </t>
  </si>
  <si>
    <t>H0 b1=0: zamietame</t>
  </si>
  <si>
    <t>H1 b1≠0: nezamietame</t>
  </si>
  <si>
    <t xml:space="preserve">Na hladine významnosti α (0,05) konštatujeme, že koeficient t1 je štatisticky významný, nemožno ho teda zanedbať. </t>
  </si>
  <si>
    <t>Faktor najazdené kilometre je dôležitý faktor pre cenu auta.</t>
  </si>
  <si>
    <t xml:space="preserve">Na hladine významnosti α (0,05) konštatujeme, že koeficient t2 je štatisticky významný, nemožno ho teda zanedbať. </t>
  </si>
  <si>
    <t xml:space="preserve">Na hladine významnosti α (0,05) konštatujeme, že koeficient t3 je štatisticky významný, nemožno ho teda zanedbať. </t>
  </si>
  <si>
    <t>Faktor výkon auta je dôležitý faktor pre cenu auta.</t>
  </si>
  <si>
    <t>Faktor vek auta je dôležitý faktor pre cenu auta.</t>
  </si>
  <si>
    <t>14. Určte, či je samostatný vplyv vybraného faktoru na hodnotu regresnej funkcie lineárneho typu štatisticky významný. Použite F test dodatočného príspevku vybraného faktora na vysvetlenie variability závislej premennej.</t>
  </si>
  <si>
    <t xml:space="preserve">13. Určte, či je samostatný vybraného faktoru na hodnotu regresnej funkcie lineárneho typu štatisticky významný. Použite t test nulovosti regresného koeficientu. </t>
  </si>
  <si>
    <t xml:space="preserve">15. Určte, či je vybraná interakcia faktorov na hodnotu regresnej funkcie lineárneho typu štatisticky významná. Použite t test nulovosti regresného koeficientu. </t>
  </si>
  <si>
    <r>
      <t xml:space="preserve">H0: b1b2 = 0 &gt; &lt; H1: b1b2 </t>
    </r>
    <r>
      <rPr>
        <sz val="11"/>
        <color theme="1"/>
        <rFont val="Calibri"/>
        <family val="2"/>
        <charset val="238"/>
      </rPr>
      <t>≠ 0</t>
    </r>
  </si>
  <si>
    <t xml:space="preserve">t stat (b1b2) = </t>
  </si>
  <si>
    <t>Vplyv interakcie faktorov  t1*t2 na hodnotu regresnej funkcie fLT</t>
  </si>
  <si>
    <t>nepatrí do W</t>
  </si>
  <si>
    <t xml:space="preserve"> ==&gt; 0 sem patrí</t>
  </si>
  <si>
    <t>H0 b1b2 = 0 : nezamietame</t>
  </si>
  <si>
    <t>H1: b1b2 ≠ 0 : zamietame</t>
  </si>
  <si>
    <r>
      <t xml:space="preserve">Na hladine významnosti </t>
    </r>
    <r>
      <rPr>
        <sz val="11"/>
        <color theme="1"/>
        <rFont val="Calibri"/>
        <family val="2"/>
        <charset val="238"/>
      </rPr>
      <t>α (0,05) konštatujeme, že interakcia t1*t2</t>
    </r>
    <r>
      <rPr>
        <sz val="11"/>
        <color theme="1"/>
        <rFont val="Aptos Narrow"/>
        <family val="2"/>
        <charset val="238"/>
        <scheme val="minor"/>
      </rPr>
      <t xml:space="preserve"> nie je štatisticky významná a možno ju teda zanedbať. </t>
    </r>
  </si>
  <si>
    <t>16. Vypočítajte a zobrazte grafy hlavných efektov sledovaných faktorov (main effect plots). Grafy porovnajte a interpretujte.</t>
  </si>
  <si>
    <t>t1 = (50 000; 100 000) = najazdené kilometre</t>
  </si>
  <si>
    <t>t2 = (80;110) = výkon v kW</t>
  </si>
  <si>
    <t>t3 = (3;6) = vek auta</t>
  </si>
  <si>
    <t xml:space="preserve">s </t>
  </si>
  <si>
    <t>λ</t>
  </si>
  <si>
    <t>t1=</t>
  </si>
  <si>
    <t>t2=</t>
  </si>
  <si>
    <t>t3=</t>
  </si>
  <si>
    <t>faktor</t>
  </si>
  <si>
    <t>priemer</t>
  </si>
  <si>
    <t>efekt</t>
  </si>
  <si>
    <t>je pritomna interakcia medzi najazdenými kilometrami a výkonom auta</t>
  </si>
  <si>
    <t>cervena usecka zobrazuje efekt faktora x1_najazdené kilometre pri 110 kW výkone.</t>
  </si>
  <si>
    <t>modra usecka zobrazuje efekt faktora x1_najazdené kilometre pri 80 kW výkone.</t>
  </si>
  <si>
    <t>ak budem mať auto najazdených 100 000 km pre maximalizaciu odozvy volíme výkon 110kw.</t>
  </si>
  <si>
    <t>ak budem mať auto najazdených 50 000 km pre maximalizaciu odozvy volíme výkon 110kw.</t>
  </si>
  <si>
    <t>pri maximalizacii odozvy volime najazdené kilometre 50 000 km a výkon 110 kW</t>
  </si>
  <si>
    <t>je pritomna interakcia medzi výkonom auta a najazdenými kilometrami.</t>
  </si>
  <si>
    <t>cervena usecka zobrazuje efekt faktora x2_výkon v kW pri najazdených 100 000km</t>
  </si>
  <si>
    <t>modra usecka zobrazuje efekt faktora x2_výkon v kW pri najazdených 50 000km</t>
  </si>
  <si>
    <t>ak bude mať auto výkon 80 kW pre maximalizaciu odozvy volíme 50 000 najazdených km.</t>
  </si>
  <si>
    <t>ak bude mať auto výkon 110 kW pre maximalizaciu odozvy volíme 50 000 najazdených km.</t>
  </si>
  <si>
    <t>pri maximalizacii odozvy volime  výkon 110 kW a najazdené kilometre 50 000 km.</t>
  </si>
  <si>
    <t>je pritomna interakcia medzi výkonom auta a vekom auta.</t>
  </si>
  <si>
    <t>cervena usecka zobrazuje efekt faktora x2_výkon v kW pri veku auta 6 rokov.</t>
  </si>
  <si>
    <t>modra usecka zobrazuje efekt faktora x2_výkon v kW pri veku auta 3 roky.</t>
  </si>
  <si>
    <t>ak bude mať auto výkon 80 kW pre maximalizaciu odozvy volíme vek auta 3 roky.</t>
  </si>
  <si>
    <t>ak bude mať auto výkon 110 kW pre maximalizaciu odozvy volíme vek auta 3 roky.</t>
  </si>
  <si>
    <t>pri maximalizacii odozvy volime  výkon 110 kW a vek auta 3 roky.</t>
  </si>
  <si>
    <t>je pritomna interakcia medzi vekom auta a výkonom auta.</t>
  </si>
  <si>
    <t>cervena usecka zobrazuje efekt faktora x3_vek auta pri 110 kW výkone.</t>
  </si>
  <si>
    <t>modra usecka zobrazuje efekt faktora x3_vek auta pri 80 kW výkone.</t>
  </si>
  <si>
    <t>ak budem mať auto vek 3 roky pre maximalizaciu odozvy volíme výkon 110kw.</t>
  </si>
  <si>
    <t>ak budem mať auto vek 6 rokov pre maximalizaciu odozvy volíme výkon 110kw.</t>
  </si>
  <si>
    <t>pri maximalizacii odozvy volime vek auta 3 roky a výkon 110 kW</t>
  </si>
  <si>
    <t>je pritomna interakcia medzi najazdenými kilometrami a vekom auta</t>
  </si>
  <si>
    <t>cervena usecka zobrazuje efekt faktora x1_najazdené kilometre pri veku auta 6 rokov.</t>
  </si>
  <si>
    <t>modra usecka zobrazuje efekt faktora x1_najazdené kilometre pri veku auta 3 roky</t>
  </si>
  <si>
    <t>ak budem mať auto najazdených 50 000 km pre maximalizaciu odozvy volíme vek auta 3 roky</t>
  </si>
  <si>
    <t>ak budem mať auto najazdených 100 000 km pre maximalizaciu odozvy volíme vek auta 3 roky</t>
  </si>
  <si>
    <t>pri maximalizacii odozvy volime najazdené kilometre 50 000 km a vek auta 3 roky</t>
  </si>
  <si>
    <t>je pritomna interakcia medzi vekom auta a najazdenými kilometrami</t>
  </si>
  <si>
    <t>cervena usecka zobrazuje efekt faktora x3_vek auta pri najazdených 100 000km</t>
  </si>
  <si>
    <t>modra usecka zobrazuje efekt faktora x3_vek auta pri najazdených 50 000 km</t>
  </si>
  <si>
    <t>ak budem mať auto vek 3 roky pre maximalizaciu odozvy volíme najazdené kilometre 50 000</t>
  </si>
  <si>
    <t>ak budem mať auto vek 6 rokov pre maximalizaciu odozvy volíme najazdené kilometre 100 000</t>
  </si>
  <si>
    <t>pri maximalizacii odozvy volime vek auta 3 roky a najazdené kilometre 50 000 km</t>
  </si>
  <si>
    <t>17. Zobrazte efekt interakcií sledovaných faktorov (interaction plots) a interpretujte ich.</t>
  </si>
  <si>
    <t>18. Pomocou nájdeného regresného modelu predikujte hodnotu odozvy pre zvolené úrovne faktorov. Správnosť výsledku overte výpočtom cez model v pôvodných aj kódovaných jednotkách.</t>
  </si>
  <si>
    <t>zvolené hodnoty</t>
  </si>
  <si>
    <t>x1=</t>
  </si>
  <si>
    <t>x2=</t>
  </si>
  <si>
    <t>x3=</t>
  </si>
  <si>
    <t>kódované hodnoty</t>
  </si>
  <si>
    <t>predikovaná hodnota</t>
  </si>
  <si>
    <t>Výsledok vyšiel rovnaký cez výpočet v pôvodných aj v kódovaných jednotkách.</t>
  </si>
  <si>
    <t>19. Overte správnosť nájdeného regresného modelu pomocou kontrolného merania.</t>
  </si>
  <si>
    <t>Pri zvolených 70 000 najazdených km, 105 kW výkonu auta a veku auta 5 rokov vyšla predikovaná odozva cena auta 19302,033 €.</t>
  </si>
  <si>
    <t>Výsledok kontrolného merania =</t>
  </si>
  <si>
    <t>Na základe kontrolného merania sme zistili že výsledok je veľmi blizky predikovanej hodnote, tým pádom môžeme tvrdiť, že je regresný model správny.</t>
  </si>
  <si>
    <t>20. Analyzujte pri akom nastavení faktorov možno dostať požadovanú odozvu</t>
  </si>
  <si>
    <t xml:space="preserve">Požadovaná odozva = </t>
  </si>
  <si>
    <t xml:space="preserve"> </t>
  </si>
  <si>
    <t>Odozva:</t>
  </si>
  <si>
    <t>km</t>
  </si>
  <si>
    <t>kW</t>
  </si>
  <si>
    <t>rokov</t>
  </si>
  <si>
    <t>roky</t>
  </si>
  <si>
    <t>Pre požadovanú odozvu 17 000€ môže byť nastavenie faktorov aj takéto:</t>
  </si>
  <si>
    <t>Aby sme získali požadovanú odozvu, existuje viacero možností nastavenia faktorov  :</t>
  </si>
  <si>
    <t>Alebo takéto:</t>
  </si>
  <si>
    <t>Faktory ležiace pozdĺž priamky sú nevýznamné - interakcie t1*t2, t1*t3, t2*t3, t1*t2*t3</t>
  </si>
  <si>
    <t>Na základe hodnoty 83,95 % môžeme konštatovať, že model je z hľadiska predikovania kvalitný, keďže dokáže vysvetliť vysoký podiel variability aj pri predikcii nových dát.</t>
  </si>
  <si>
    <t xml:space="preserve">Reziduá sú rozdelené náhodne. </t>
  </si>
  <si>
    <t>Na základe grafickej analýzy rezíduí možno konštatovať, že reziduá sú rozložené náhodne okolo nuly, bez zjavného trendu alebo systematického vzoru.</t>
  </si>
  <si>
    <t>Histogram rezíduí a normal probability plot naznačujú približne normálne rozdelenie rezíduí, bez výrazných odľahlých hodnôt.</t>
  </si>
  <si>
    <t>Rozptyl rezíduí je v celom rozsahu hodnôt približne konštantný, čo svedčí o homoskedasticite.</t>
  </si>
  <si>
    <t>Testujeme interakciu t1*t2</t>
  </si>
  <si>
    <t>Najväčší vplyv na odozvu (cenu auta) má výkon auta, kedže úsečka má najväčšiu dĺžku. Faktory najazdené kilometre a vek auta majú negatívny efekt na cenu auta.</t>
  </si>
  <si>
    <t xml:space="preserve">Výsledok v Minitabe: </t>
  </si>
  <si>
    <t>21. Porovnajte výsledky softvérového riešenia DOE v Exceli a v Minitabe.</t>
  </si>
  <si>
    <t>Porovnanie výsledkov softvérového riešenia DOE v Exceli a v programe Minitab bolo priebežne uvedené už pri jednotlivých úlohách.</t>
  </si>
  <si>
    <t>Dosiahnuté výsledky sú zhodné, resp. veľmi blízke, bez významných rozdielov, čo potvrdzuje správnosť a konzistentnosť oboch softvérových riešení.</t>
  </si>
  <si>
    <t>MS faktor</t>
  </si>
  <si>
    <t>MS chyby</t>
  </si>
  <si>
    <t>F kv1,12 (0,95)=</t>
  </si>
  <si>
    <t>(4,747 ; ∞)</t>
  </si>
  <si>
    <t>H0: faktor najazdené kilometre nemá štatisticky významný vplyv na závislú premennú</t>
  </si>
  <si>
    <t>H1: faktor najazdené kilometre má štatisticky významný vplyv.</t>
  </si>
  <si>
    <t>H0: faktor najazdené kilometre nemá štatisticky významný vplyv na závislú premennú  zamietame</t>
  </si>
  <si>
    <t>H1: faktor najazdené kilometre má štatisticky významný vplyv prijímame.</t>
  </si>
  <si>
    <t>H0: b1=b2=b3=0&gt;&lt;H1: aspon jeden z uvedenych koeficientov je nenulovy</t>
  </si>
  <si>
    <t>H0: b1=b2=b3=0  zamietame</t>
  </si>
  <si>
    <t>H0 b2=0: zamietame</t>
  </si>
  <si>
    <t>H1 b2≠0: nezamietame</t>
  </si>
  <si>
    <t>H1 b3=0: nezamietame</t>
  </si>
  <si>
    <t>H0 b3=0: zamietame</t>
  </si>
  <si>
    <r>
      <rPr>
        <b/>
        <sz val="11"/>
        <color theme="1"/>
        <rFont val="Aptos Narrow"/>
        <family val="2"/>
        <scheme val="minor"/>
      </rPr>
      <t>Experiment:</t>
    </r>
    <r>
      <rPr>
        <sz val="11"/>
        <color theme="1"/>
        <rFont val="Aptos Narrow"/>
        <family val="2"/>
        <charset val="238"/>
        <scheme val="minor"/>
      </rPr>
      <t xml:space="preserve"> Vplyv počtu najazdených kilometrov, výkonu a veku auta na cenu auta značky Škoda.</t>
    </r>
  </si>
  <si>
    <t>CPLOT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</si>
</sst>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6" formatCode="#,##0\ &quot;€&quot;;[Red]\-#,##0\ &quot;€&quot;"/>
    <numFmt numFmtId="164" formatCode="0.000000"/>
    <numFmt numFmtId="165" formatCode="0.0000000000"/>
    <numFmt numFmtId="166" formatCode="0.000000000"/>
    <numFmt numFmtId="167" formatCode="0.0"/>
    <numFmt numFmtId="168" formatCode="0.0000E+00"/>
  </numFmts>
  <fonts count="18"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4"/>
      <color theme="1"/>
      <name val="Aptos Narrow"/>
      <family val="2"/>
      <charset val="238"/>
      <scheme val="minor"/>
    </font>
    <font>
      <i/>
      <sz val="11"/>
      <color theme="1"/>
      <name val="Aptos Narrow"/>
      <family val="2"/>
      <charset val="238"/>
      <scheme val="minor"/>
    </font>
    <font>
      <sz val="11"/>
      <color theme="1"/>
      <name val="Tahoma"/>
      <family val="2"/>
      <charset val="238"/>
    </font>
    <font>
      <i/>
      <sz val="11"/>
      <color theme="1"/>
      <name val="Aptos Narrow"/>
      <family val="2"/>
      <scheme val="minor"/>
    </font>
    <font>
      <sz val="11"/>
      <color theme="1"/>
      <name val="Calibri"/>
      <family val="2"/>
      <charset val="238"/>
    </font>
    <font>
      <sz val="9.9"/>
      <color theme="1"/>
      <name val="Calibri"/>
      <family val="2"/>
      <charset val="238"/>
    </font>
    <font>
      <sz val="14"/>
      <color theme="1"/>
      <name val="Times New Roman"/>
      <family val="1"/>
      <charset val="238"/>
    </font>
    <font>
      <b/>
      <sz val="11"/>
      <name val="Aptos Narrow"/>
      <family val="2"/>
      <charset val="238"/>
      <scheme val="minor"/>
    </font>
    <font>
      <sz val="11"/>
      <name val="Aptos Narrow"/>
      <family val="2"/>
      <charset val="238"/>
      <scheme val="minor"/>
    </font>
    <font>
      <b/>
      <sz val="14"/>
      <color theme="1"/>
      <name val="Calibri"/>
      <family val="2"/>
      <charset val="238"/>
    </font>
    <font>
      <u/>
      <sz val="11"/>
      <color theme="10"/>
      <name val="Aptos Narrow"/>
      <family val="2"/>
      <charset val="238"/>
      <scheme val="minor"/>
    </font>
    <font>
      <sz val="12"/>
      <color theme="1"/>
      <name val="Aptos Narrow"/>
      <family val="2"/>
      <charset val="238"/>
      <scheme val="minor"/>
    </font>
    <font>
      <sz val="14"/>
      <color theme="1"/>
      <name val="Aptos Narrow"/>
      <family val="2"/>
      <charset val="238"/>
      <scheme val="minor"/>
    </font>
    <font>
      <sz val="12"/>
      <color theme="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8E4F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158">
    <xf numFmtId="0" fontId="0" fillId="0" borderId="0" xfId="0"/>
    <xf numFmtId="0" fontId="2" fillId="0" borderId="1" xfId="0" applyFont="1" applyBorder="1"/>
    <xf numFmtId="0" fontId="0" fillId="0" borderId="1" xfId="0" applyBorder="1"/>
    <xf numFmtId="0" fontId="3" fillId="0" borderId="0" xfId="0" applyFont="1"/>
    <xf numFmtId="0" fontId="4" fillId="0" borderId="5" xfId="0" applyFont="1" applyBorder="1" applyAlignment="1">
      <alignment horizontal="center"/>
    </xf>
    <xf numFmtId="0" fontId="0" fillId="3" borderId="5" xfId="0" applyFill="1" applyBorder="1" applyAlignment="1">
      <alignment horizontal="center"/>
    </xf>
    <xf numFmtId="2" fontId="0" fillId="3" borderId="5" xfId="0" applyNumberFormat="1" applyFill="1" applyBorder="1" applyAlignment="1">
      <alignment horizontal="center"/>
    </xf>
    <xf numFmtId="0" fontId="0" fillId="3" borderId="5" xfId="0" applyFill="1" applyBorder="1"/>
    <xf numFmtId="0" fontId="0" fillId="3" borderId="3" xfId="0" applyFill="1" applyBorder="1"/>
    <xf numFmtId="0" fontId="0" fillId="3" borderId="4" xfId="0" applyFill="1" applyBorder="1"/>
    <xf numFmtId="1" fontId="0" fillId="3" borderId="5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1" fillId="2" borderId="5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4" borderId="2" xfId="0" applyFont="1" applyFill="1" applyBorder="1"/>
    <xf numFmtId="0" fontId="0" fillId="4" borderId="3" xfId="0" applyFill="1" applyBorder="1"/>
    <xf numFmtId="0" fontId="0" fillId="4" borderId="4" xfId="0" applyFill="1" applyBorder="1"/>
    <xf numFmtId="0" fontId="0" fillId="0" borderId="1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right"/>
    </xf>
    <xf numFmtId="0" fontId="0" fillId="0" borderId="7" xfId="0" applyBorder="1"/>
    <xf numFmtId="0" fontId="0" fillId="0" borderId="6" xfId="0" applyBorder="1"/>
    <xf numFmtId="0" fontId="0" fillId="0" borderId="12" xfId="0" applyBorder="1"/>
    <xf numFmtId="0" fontId="0" fillId="0" borderId="9" xfId="0" applyBorder="1"/>
    <xf numFmtId="0" fontId="0" fillId="0" borderId="15" xfId="0" applyBorder="1"/>
    <xf numFmtId="0" fontId="0" fillId="0" borderId="8" xfId="0" applyBorder="1"/>
    <xf numFmtId="0" fontId="0" fillId="0" borderId="11" xfId="0" applyBorder="1"/>
    <xf numFmtId="0" fontId="0" fillId="0" borderId="10" xfId="0" applyBorder="1"/>
    <xf numFmtId="0" fontId="0" fillId="0" borderId="14" xfId="0" applyBorder="1"/>
    <xf numFmtId="0" fontId="0" fillId="0" borderId="13" xfId="0" applyBorder="1"/>
    <xf numFmtId="0" fontId="2" fillId="4" borderId="5" xfId="0" applyFont="1" applyFill="1" applyBorder="1" applyAlignment="1">
      <alignment horizontal="center"/>
    </xf>
    <xf numFmtId="0" fontId="0" fillId="0" borderId="17" xfId="0" applyBorder="1"/>
    <xf numFmtId="0" fontId="5" fillId="0" borderId="16" xfId="0" applyFont="1" applyBorder="1" applyAlignment="1">
      <alignment horizontal="center"/>
    </xf>
    <xf numFmtId="0" fontId="5" fillId="0" borderId="16" xfId="0" applyFont="1" applyBorder="1" applyAlignment="1">
      <alignment horizontal="centerContinuous"/>
    </xf>
    <xf numFmtId="0" fontId="2" fillId="3" borderId="0" xfId="0" applyFont="1" applyFill="1"/>
    <xf numFmtId="0" fontId="2" fillId="3" borderId="17" xfId="0" applyFont="1" applyFill="1" applyBorder="1"/>
    <xf numFmtId="0" fontId="0" fillId="3" borderId="7" xfId="0" applyFill="1" applyBorder="1"/>
    <xf numFmtId="0" fontId="0" fillId="3" borderId="6" xfId="0" applyFill="1" applyBorder="1"/>
    <xf numFmtId="0" fontId="0" fillId="3" borderId="12" xfId="0" applyFill="1" applyBorder="1"/>
    <xf numFmtId="0" fontId="0" fillId="0" borderId="18" xfId="0" applyBorder="1"/>
    <xf numFmtId="0" fontId="0" fillId="0" borderId="19" xfId="0" applyBorder="1"/>
    <xf numFmtId="0" fontId="7" fillId="0" borderId="19" xfId="0" applyFont="1" applyBorder="1"/>
    <xf numFmtId="0" fontId="7" fillId="0" borderId="19" xfId="0" applyFont="1" applyBorder="1" applyAlignment="1">
      <alignment horizontal="center"/>
    </xf>
    <xf numFmtId="0" fontId="6" fillId="0" borderId="0" xfId="0" applyFont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1" fillId="3" borderId="24" xfId="0" applyFont="1" applyFill="1" applyBorder="1"/>
    <xf numFmtId="0" fontId="1" fillId="3" borderId="26" xfId="0" applyFont="1" applyFill="1" applyBorder="1"/>
    <xf numFmtId="0" fontId="2" fillId="3" borderId="0" xfId="0" applyFont="1" applyFill="1" applyAlignment="1">
      <alignment horizontal="left"/>
    </xf>
    <xf numFmtId="0" fontId="3" fillId="0" borderId="20" xfId="0" applyFont="1" applyBorder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21" xfId="0" applyFont="1" applyBorder="1"/>
    <xf numFmtId="0" fontId="2" fillId="3" borderId="21" xfId="0" applyFont="1" applyFill="1" applyBorder="1" applyAlignment="1">
      <alignment horizontal="left"/>
    </xf>
    <xf numFmtId="0" fontId="2" fillId="3" borderId="0" xfId="0" applyFont="1" applyFill="1" applyAlignment="1">
      <alignment horizontal="center"/>
    </xf>
    <xf numFmtId="0" fontId="2" fillId="3" borderId="22" xfId="0" applyFont="1" applyFill="1" applyBorder="1" applyAlignment="1">
      <alignment horizontal="left"/>
    </xf>
    <xf numFmtId="0" fontId="2" fillId="3" borderId="17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0" fillId="3" borderId="0" xfId="0" applyFill="1"/>
    <xf numFmtId="0" fontId="0" fillId="3" borderId="17" xfId="0" applyFill="1" applyBorder="1"/>
    <xf numFmtId="0" fontId="0" fillId="3" borderId="2" xfId="0" applyFill="1" applyBorder="1"/>
    <xf numFmtId="0" fontId="5" fillId="0" borderId="0" xfId="0" applyFont="1" applyAlignment="1">
      <alignment horizontal="center"/>
    </xf>
    <xf numFmtId="0" fontId="1" fillId="4" borderId="2" xfId="0" applyFont="1" applyFill="1" applyBorder="1" applyAlignment="1">
      <alignment horizontal="left"/>
    </xf>
    <xf numFmtId="0" fontId="2" fillId="0" borderId="0" xfId="0" applyFont="1"/>
    <xf numFmtId="0" fontId="0" fillId="0" borderId="0" xfId="0" applyAlignment="1">
      <alignment horizontal="left"/>
    </xf>
    <xf numFmtId="0" fontId="8" fillId="0" borderId="0" xfId="0" applyFont="1"/>
    <xf numFmtId="0" fontId="2" fillId="3" borderId="2" xfId="0" applyFont="1" applyFill="1" applyBorder="1"/>
    <xf numFmtId="0" fontId="2" fillId="3" borderId="3" xfId="0" applyFont="1" applyFill="1" applyBorder="1"/>
    <xf numFmtId="0" fontId="2" fillId="3" borderId="4" xfId="0" applyFont="1" applyFill="1" applyBorder="1"/>
    <xf numFmtId="2" fontId="0" fillId="0" borderId="5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0" fillId="0" borderId="5" xfId="0" applyBorder="1"/>
    <xf numFmtId="2" fontId="0" fillId="0" borderId="0" xfId="0" applyNumberFormat="1"/>
    <xf numFmtId="2" fontId="0" fillId="5" borderId="5" xfId="0" applyNumberFormat="1" applyFill="1" applyBorder="1"/>
    <xf numFmtId="0" fontId="0" fillId="6" borderId="5" xfId="0" applyFill="1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0" xfId="0" applyBorder="1" applyAlignment="1">
      <alignment horizontal="left"/>
    </xf>
    <xf numFmtId="0" fontId="8" fillId="0" borderId="0" xfId="0" applyFont="1" applyAlignment="1">
      <alignment horizontal="left" vertical="top"/>
    </xf>
    <xf numFmtId="0" fontId="0" fillId="0" borderId="32" xfId="0" applyBorder="1"/>
    <xf numFmtId="0" fontId="0" fillId="0" borderId="33" xfId="0" applyBorder="1"/>
    <xf numFmtId="0" fontId="8" fillId="0" borderId="0" xfId="0" applyFont="1" applyAlignment="1">
      <alignment horizontal="center"/>
    </xf>
    <xf numFmtId="0" fontId="0" fillId="7" borderId="2" xfId="0" applyFill="1" applyBorder="1" applyAlignment="1">
      <alignment horizontal="right"/>
    </xf>
    <xf numFmtId="164" fontId="0" fillId="7" borderId="3" xfId="0" applyNumberFormat="1" applyFill="1" applyBorder="1"/>
    <xf numFmtId="0" fontId="0" fillId="7" borderId="3" xfId="0" applyFill="1" applyBorder="1"/>
    <xf numFmtId="0" fontId="0" fillId="7" borderId="3" xfId="0" applyFill="1" applyBorder="1" applyAlignment="1">
      <alignment horizontal="left"/>
    </xf>
    <xf numFmtId="0" fontId="0" fillId="7" borderId="4" xfId="0" applyFill="1" applyBorder="1"/>
    <xf numFmtId="165" fontId="0" fillId="0" borderId="17" xfId="0" applyNumberFormat="1" applyBorder="1"/>
    <xf numFmtId="166" fontId="0" fillId="0" borderId="17" xfId="0" applyNumberFormat="1" applyBorder="1"/>
    <xf numFmtId="0" fontId="12" fillId="0" borderId="0" xfId="0" applyFont="1"/>
    <xf numFmtId="0" fontId="11" fillId="4" borderId="2" xfId="0" applyFont="1" applyFill="1" applyBorder="1"/>
    <xf numFmtId="0" fontId="12" fillId="4" borderId="3" xfId="0" applyFont="1" applyFill="1" applyBorder="1"/>
    <xf numFmtId="0" fontId="2" fillId="4" borderId="2" xfId="0" applyFont="1" applyFill="1" applyBorder="1"/>
    <xf numFmtId="0" fontId="2" fillId="4" borderId="3" xfId="0" applyFont="1" applyFill="1" applyBorder="1"/>
    <xf numFmtId="0" fontId="2" fillId="4" borderId="4" xfId="0" applyFont="1" applyFill="1" applyBorder="1"/>
    <xf numFmtId="0" fontId="4" fillId="3" borderId="5" xfId="0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/>
    </xf>
    <xf numFmtId="0" fontId="0" fillId="5" borderId="5" xfId="0" applyFill="1" applyBorder="1" applyAlignment="1">
      <alignment horizontal="right"/>
    </xf>
    <xf numFmtId="167" fontId="0" fillId="5" borderId="14" xfId="0" applyNumberFormat="1" applyFill="1" applyBorder="1" applyAlignment="1">
      <alignment horizontal="center"/>
    </xf>
    <xf numFmtId="167" fontId="0" fillId="5" borderId="11" xfId="0" applyNumberFormat="1" applyFill="1" applyBorder="1" applyAlignment="1">
      <alignment horizontal="center"/>
    </xf>
    <xf numFmtId="167" fontId="0" fillId="5" borderId="12" xfId="0" applyNumberFormat="1" applyFill="1" applyBorder="1" applyAlignment="1">
      <alignment horizontal="center"/>
    </xf>
    <xf numFmtId="167" fontId="0" fillId="5" borderId="2" xfId="0" applyNumberFormat="1" applyFill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5" fillId="5" borderId="5" xfId="0" applyFont="1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3" fontId="0" fillId="0" borderId="0" xfId="0" applyNumberFormat="1"/>
    <xf numFmtId="0" fontId="0" fillId="8" borderId="5" xfId="0" applyFill="1" applyBorder="1"/>
    <xf numFmtId="6" fontId="0" fillId="3" borderId="5" xfId="0" applyNumberFormat="1" applyFill="1" applyBorder="1"/>
    <xf numFmtId="6" fontId="2" fillId="0" borderId="0" xfId="0" applyNumberFormat="1" applyFont="1"/>
    <xf numFmtId="0" fontId="2" fillId="0" borderId="9" xfId="0" applyFont="1" applyBorder="1"/>
    <xf numFmtId="3" fontId="0" fillId="0" borderId="8" xfId="0" applyNumberFormat="1" applyBorder="1"/>
    <xf numFmtId="0" fontId="2" fillId="0" borderId="11" xfId="0" applyFont="1" applyBorder="1"/>
    <xf numFmtId="0" fontId="2" fillId="0" borderId="14" xfId="0" applyFont="1" applyBorder="1"/>
    <xf numFmtId="0" fontId="2" fillId="0" borderId="7" xfId="0" applyFont="1" applyBorder="1"/>
    <xf numFmtId="2" fontId="2" fillId="0" borderId="12" xfId="0" applyNumberFormat="1" applyFont="1" applyBorder="1" applyAlignment="1">
      <alignment horizontal="left"/>
    </xf>
    <xf numFmtId="0" fontId="14" fillId="0" borderId="0" xfId="1"/>
    <xf numFmtId="0" fontId="15" fillId="0" borderId="0" xfId="0" applyFont="1"/>
    <xf numFmtId="0" fontId="16" fillId="0" borderId="0" xfId="0" applyFont="1"/>
    <xf numFmtId="0" fontId="0" fillId="0" borderId="0" xfId="0" applyBorder="1"/>
    <xf numFmtId="0" fontId="17" fillId="0" borderId="0" xfId="0" applyFont="1"/>
    <xf numFmtId="0" fontId="12" fillId="0" borderId="11" xfId="0" applyFont="1" applyFill="1" applyBorder="1"/>
    <xf numFmtId="0" fontId="0" fillId="0" borderId="0" xfId="0" applyFill="1"/>
    <xf numFmtId="0" fontId="15" fillId="2" borderId="2" xfId="0" applyFont="1" applyFill="1" applyBorder="1"/>
    <xf numFmtId="0" fontId="15" fillId="2" borderId="4" xfId="0" applyFont="1" applyFill="1" applyBorder="1"/>
    <xf numFmtId="168" fontId="0" fillId="0" borderId="0" xfId="0" applyNumberFormat="1"/>
    <xf numFmtId="0" fontId="0" fillId="0" borderId="11" xfId="0" applyFill="1" applyBorder="1"/>
    <xf numFmtId="0" fontId="4" fillId="4" borderId="5" xfId="0" applyFont="1" applyFill="1" applyBorder="1" applyAlignment="1">
      <alignment horizont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/>
    </xf>
    <xf numFmtId="0" fontId="0" fillId="0" borderId="0" xfId="0" applyAlignment="1">
      <alignment horizontal="left"/>
    </xf>
    <xf numFmtId="167" fontId="0" fillId="5" borderId="14" xfId="0" applyNumberFormat="1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167" fontId="0" fillId="5" borderId="2" xfId="0" applyNumberFormat="1" applyFill="1" applyBorder="1" applyAlignment="1">
      <alignment horizontal="center"/>
    </xf>
    <xf numFmtId="0" fontId="0" fillId="5" borderId="4" xfId="0" applyFill="1" applyBorder="1" applyAlignment="1">
      <alignment horizontal="center"/>
    </xf>
  </cellXfs>
  <cellStyles count="2">
    <cellStyle name="Hypertextové prepojenie" xfId="1" builtinId="8"/>
    <cellStyle name="Normálna" xfId="0" builtinId="0"/>
  </cellStyles>
  <dxfs count="0"/>
  <tableStyles count="0" defaultTableStyle="TableStyleMedium2" defaultPivotStyle="PivotStyleLight16"/>
  <colors>
    <mruColors>
      <color rgb="FFF8E4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Normal Probability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>
              <a:noFill/>
            </a:ln>
          </c:spPr>
          <c:xVal>
            <c:numRef>
              <c:f>Hárok1!$F$336:$F$351</c:f>
              <c:numCache>
                <c:formatCode>General</c:formatCode>
                <c:ptCount val="16"/>
                <c:pt idx="0">
                  <c:v>3.125</c:v>
                </c:pt>
                <c:pt idx="1">
                  <c:v>9.375</c:v>
                </c:pt>
                <c:pt idx="2">
                  <c:v>15.625</c:v>
                </c:pt>
                <c:pt idx="3">
                  <c:v>21.875</c:v>
                </c:pt>
                <c:pt idx="4">
                  <c:v>28.125</c:v>
                </c:pt>
                <c:pt idx="5">
                  <c:v>34.375</c:v>
                </c:pt>
                <c:pt idx="6">
                  <c:v>40.625</c:v>
                </c:pt>
                <c:pt idx="7">
                  <c:v>46.875</c:v>
                </c:pt>
                <c:pt idx="8">
                  <c:v>53.125</c:v>
                </c:pt>
                <c:pt idx="9">
                  <c:v>59.375</c:v>
                </c:pt>
                <c:pt idx="10">
                  <c:v>65.625</c:v>
                </c:pt>
                <c:pt idx="11">
                  <c:v>71.875</c:v>
                </c:pt>
                <c:pt idx="12">
                  <c:v>78.125</c:v>
                </c:pt>
                <c:pt idx="13">
                  <c:v>84.375</c:v>
                </c:pt>
                <c:pt idx="14">
                  <c:v>90.625</c:v>
                </c:pt>
                <c:pt idx="15">
                  <c:v>96.875</c:v>
                </c:pt>
              </c:numCache>
            </c:numRef>
          </c:xVal>
          <c:yVal>
            <c:numRef>
              <c:f>Hárok1!$G$336:$G$351</c:f>
              <c:numCache>
                <c:formatCode>General</c:formatCode>
                <c:ptCount val="16"/>
                <c:pt idx="0">
                  <c:v>10685</c:v>
                </c:pt>
                <c:pt idx="1">
                  <c:v>11600</c:v>
                </c:pt>
                <c:pt idx="2">
                  <c:v>11800</c:v>
                </c:pt>
                <c:pt idx="3">
                  <c:v>12001</c:v>
                </c:pt>
                <c:pt idx="4">
                  <c:v>12900</c:v>
                </c:pt>
                <c:pt idx="5">
                  <c:v>14490</c:v>
                </c:pt>
                <c:pt idx="6">
                  <c:v>15400</c:v>
                </c:pt>
                <c:pt idx="7">
                  <c:v>15400</c:v>
                </c:pt>
                <c:pt idx="8">
                  <c:v>15500</c:v>
                </c:pt>
                <c:pt idx="9">
                  <c:v>17800</c:v>
                </c:pt>
                <c:pt idx="10">
                  <c:v>18000</c:v>
                </c:pt>
                <c:pt idx="11">
                  <c:v>18500</c:v>
                </c:pt>
                <c:pt idx="12">
                  <c:v>19000</c:v>
                </c:pt>
                <c:pt idx="13">
                  <c:v>22000</c:v>
                </c:pt>
                <c:pt idx="14">
                  <c:v>23000</c:v>
                </c:pt>
                <c:pt idx="15">
                  <c:v>23990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A6-404C-8F91-AD3E5CB9D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5208112"/>
        <c:axId val="1565209072"/>
      </c:scatterChart>
      <c:valAx>
        <c:axId val="156520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Sample Percentile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65209072"/>
        <c:crosses val="autoZero"/>
        <c:crossBetween val="midCat"/>
      </c:valAx>
      <c:valAx>
        <c:axId val="15652090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65208112"/>
        <c:crosses val="autoZero"/>
        <c:crossBetween val="midCat"/>
      </c:valAx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Interakcia t3*t1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50 000 km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Hárok1!$P$573:$P$574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Hárok1!$Q$573:$Q$574</c:f>
              <c:numCache>
                <c:formatCode>General</c:formatCode>
                <c:ptCount val="2"/>
                <c:pt idx="0">
                  <c:v>19472.5</c:v>
                </c:pt>
                <c:pt idx="1">
                  <c:v>15046.5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31-456A-81B4-E8351084A522}"/>
            </c:ext>
          </c:extLst>
        </c:ser>
        <c:ser>
          <c:idx val="1"/>
          <c:order val="1"/>
          <c:tx>
            <c:v>100 000 km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Hárok1!$P$573:$P$574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Hárok1!$R$573:$R$574</c:f>
              <c:numCache>
                <c:formatCode>General</c:formatCode>
                <c:ptCount val="2"/>
                <c:pt idx="0">
                  <c:v>16797.5</c:v>
                </c:pt>
                <c:pt idx="1">
                  <c:v>14200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31-456A-81B4-E8351084A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932384"/>
        <c:axId val="127929504"/>
      </c:scatterChart>
      <c:valAx>
        <c:axId val="127932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Vek auta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7929504"/>
        <c:crosses val="autoZero"/>
        <c:crossBetween val="midCat"/>
      </c:valAx>
      <c:valAx>
        <c:axId val="12792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 priem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7932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</a:t>
            </a:r>
            <a:r>
              <a:rPr lang="sk-SK"/>
              <a:t>ersus </a:t>
            </a:r>
            <a:r>
              <a:rPr lang="en-US"/>
              <a:t>O</a:t>
            </a:r>
            <a:r>
              <a:rPr lang="sk-SK"/>
              <a:t>rder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Hárok1!$B$336:$B$351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xVal>
          <c:yVal>
            <c:numRef>
              <c:f>Hárok1!$D$336:$D$351</c:f>
              <c:numCache>
                <c:formatCode>General</c:formatCode>
                <c:ptCount val="16"/>
                <c:pt idx="0">
                  <c:v>-183.25</c:v>
                </c:pt>
                <c:pt idx="1">
                  <c:v>567.5</c:v>
                </c:pt>
                <c:pt idx="2">
                  <c:v>652.5</c:v>
                </c:pt>
                <c:pt idx="3">
                  <c:v>-2786.75</c:v>
                </c:pt>
                <c:pt idx="4">
                  <c:v>-1486.5</c:v>
                </c:pt>
                <c:pt idx="5">
                  <c:v>1389.25</c:v>
                </c:pt>
                <c:pt idx="6">
                  <c:v>-335.75</c:v>
                </c:pt>
                <c:pt idx="7">
                  <c:v>-1675</c:v>
                </c:pt>
                <c:pt idx="8">
                  <c:v>-283.25</c:v>
                </c:pt>
                <c:pt idx="9">
                  <c:v>-1022.5</c:v>
                </c:pt>
                <c:pt idx="10">
                  <c:v>1642.5</c:v>
                </c:pt>
                <c:pt idx="11">
                  <c:v>1413.25</c:v>
                </c:pt>
                <c:pt idx="12">
                  <c:v>-170.5</c:v>
                </c:pt>
                <c:pt idx="13">
                  <c:v>1189.25</c:v>
                </c:pt>
                <c:pt idx="14">
                  <c:v>164.25</c:v>
                </c:pt>
                <c:pt idx="15">
                  <c:v>925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EA-496A-B2C3-D43CB0CF1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2157231"/>
        <c:axId val="642145711"/>
      </c:scatterChart>
      <c:valAx>
        <c:axId val="6421572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42145711"/>
        <c:crosses val="autoZero"/>
        <c:crossBetween val="midCat"/>
      </c:valAx>
      <c:valAx>
        <c:axId val="642145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421572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</a:t>
            </a:r>
            <a:r>
              <a:rPr lang="sk-SK"/>
              <a:t>ersus</a:t>
            </a:r>
            <a:r>
              <a:rPr lang="sk-SK" baseline="0"/>
              <a:t> Fits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Hárok1!$C$336:$C$351</c:f>
              <c:numCache>
                <c:formatCode>General</c:formatCode>
                <c:ptCount val="16"/>
                <c:pt idx="0">
                  <c:v>15683.25</c:v>
                </c:pt>
                <c:pt idx="1">
                  <c:v>13922.5</c:v>
                </c:pt>
                <c:pt idx="2">
                  <c:v>22347.5</c:v>
                </c:pt>
                <c:pt idx="3">
                  <c:v>20586.75</c:v>
                </c:pt>
                <c:pt idx="4">
                  <c:v>12171.5</c:v>
                </c:pt>
                <c:pt idx="5">
                  <c:v>10410.75</c:v>
                </c:pt>
                <c:pt idx="6">
                  <c:v>18835.75</c:v>
                </c:pt>
                <c:pt idx="7">
                  <c:v>17075</c:v>
                </c:pt>
                <c:pt idx="8">
                  <c:v>15683.25</c:v>
                </c:pt>
                <c:pt idx="9">
                  <c:v>13922.5</c:v>
                </c:pt>
                <c:pt idx="10">
                  <c:v>22347.5</c:v>
                </c:pt>
                <c:pt idx="11">
                  <c:v>20586.75</c:v>
                </c:pt>
                <c:pt idx="12">
                  <c:v>12171.5</c:v>
                </c:pt>
                <c:pt idx="13">
                  <c:v>10410.75</c:v>
                </c:pt>
                <c:pt idx="14">
                  <c:v>18835.75</c:v>
                </c:pt>
                <c:pt idx="15">
                  <c:v>17075</c:v>
                </c:pt>
              </c:numCache>
            </c:numRef>
          </c:xVal>
          <c:yVal>
            <c:numRef>
              <c:f>Hárok1!$D$336:$D$351</c:f>
              <c:numCache>
                <c:formatCode>General</c:formatCode>
                <c:ptCount val="16"/>
                <c:pt idx="0">
                  <c:v>-183.25</c:v>
                </c:pt>
                <c:pt idx="1">
                  <c:v>567.5</c:v>
                </c:pt>
                <c:pt idx="2">
                  <c:v>652.5</c:v>
                </c:pt>
                <c:pt idx="3">
                  <c:v>-2786.75</c:v>
                </c:pt>
                <c:pt idx="4">
                  <c:v>-1486.5</c:v>
                </c:pt>
                <c:pt idx="5">
                  <c:v>1389.25</c:v>
                </c:pt>
                <c:pt idx="6">
                  <c:v>-335.75</c:v>
                </c:pt>
                <c:pt idx="7">
                  <c:v>-1675</c:v>
                </c:pt>
                <c:pt idx="8">
                  <c:v>-283.25</c:v>
                </c:pt>
                <c:pt idx="9">
                  <c:v>-1022.5</c:v>
                </c:pt>
                <c:pt idx="10">
                  <c:v>1642.5</c:v>
                </c:pt>
                <c:pt idx="11">
                  <c:v>1413.25</c:v>
                </c:pt>
                <c:pt idx="12">
                  <c:v>-170.5</c:v>
                </c:pt>
                <c:pt idx="13">
                  <c:v>1189.25</c:v>
                </c:pt>
                <c:pt idx="14">
                  <c:v>164.25</c:v>
                </c:pt>
                <c:pt idx="15">
                  <c:v>925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3B-4263-A90F-1B83CE5B3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2171631"/>
        <c:axId val="642185551"/>
      </c:scatterChart>
      <c:valAx>
        <c:axId val="642171631"/>
        <c:scaling>
          <c:orientation val="minMax"/>
          <c:min val="1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42185551"/>
        <c:crosses val="autoZero"/>
        <c:crossBetween val="midCat"/>
      </c:valAx>
      <c:valAx>
        <c:axId val="6421855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421716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t1</a:t>
            </a:r>
            <a:r>
              <a:rPr lang="sk-SK" baseline="0"/>
              <a:t> </a:t>
            </a:r>
            <a:r>
              <a:rPr lang="en-GB"/>
              <a:t>Residual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>
              <a:noFill/>
            </a:ln>
          </c:spPr>
          <c:xVal>
            <c:numRef>
              <c:f>Hárok1!$B$259:$B$274</c:f>
              <c:numCache>
                <c:formatCode>General</c:formatCode>
                <c:ptCount val="16"/>
                <c:pt idx="0">
                  <c:v>-1</c:v>
                </c:pt>
                <c:pt idx="1">
                  <c:v>1</c:v>
                </c:pt>
                <c:pt idx="2">
                  <c:v>-1</c:v>
                </c:pt>
                <c:pt idx="3">
                  <c:v>1</c:v>
                </c:pt>
                <c:pt idx="4">
                  <c:v>-1</c:v>
                </c:pt>
                <c:pt idx="5">
                  <c:v>1</c:v>
                </c:pt>
                <c:pt idx="6">
                  <c:v>-1</c:v>
                </c:pt>
                <c:pt idx="7">
                  <c:v>1</c:v>
                </c:pt>
                <c:pt idx="8">
                  <c:v>-1</c:v>
                </c:pt>
                <c:pt idx="9">
                  <c:v>1</c:v>
                </c:pt>
                <c:pt idx="10">
                  <c:v>-1</c:v>
                </c:pt>
                <c:pt idx="11">
                  <c:v>1</c:v>
                </c:pt>
                <c:pt idx="12">
                  <c:v>-1</c:v>
                </c:pt>
                <c:pt idx="13">
                  <c:v>1</c:v>
                </c:pt>
                <c:pt idx="14">
                  <c:v>-1</c:v>
                </c:pt>
                <c:pt idx="15">
                  <c:v>1</c:v>
                </c:pt>
              </c:numCache>
            </c:numRef>
          </c:xVal>
          <c:yVal>
            <c:numRef>
              <c:f>Hárok1!$D$336:$D$351</c:f>
              <c:numCache>
                <c:formatCode>General</c:formatCode>
                <c:ptCount val="16"/>
                <c:pt idx="0">
                  <c:v>-183.25</c:v>
                </c:pt>
                <c:pt idx="1">
                  <c:v>567.5</c:v>
                </c:pt>
                <c:pt idx="2">
                  <c:v>652.5</c:v>
                </c:pt>
                <c:pt idx="3">
                  <c:v>-2786.75</c:v>
                </c:pt>
                <c:pt idx="4">
                  <c:v>-1486.5</c:v>
                </c:pt>
                <c:pt idx="5">
                  <c:v>1389.25</c:v>
                </c:pt>
                <c:pt idx="6">
                  <c:v>-335.75</c:v>
                </c:pt>
                <c:pt idx="7">
                  <c:v>-1675</c:v>
                </c:pt>
                <c:pt idx="8">
                  <c:v>-283.25</c:v>
                </c:pt>
                <c:pt idx="9">
                  <c:v>-1022.5</c:v>
                </c:pt>
                <c:pt idx="10">
                  <c:v>1642.5</c:v>
                </c:pt>
                <c:pt idx="11">
                  <c:v>1413.25</c:v>
                </c:pt>
                <c:pt idx="12">
                  <c:v>-170.5</c:v>
                </c:pt>
                <c:pt idx="13">
                  <c:v>1189.25</c:v>
                </c:pt>
                <c:pt idx="14">
                  <c:v>164.25</c:v>
                </c:pt>
                <c:pt idx="15">
                  <c:v>925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03-4A2E-9EC2-88BB2F59F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1164256"/>
        <c:axId val="1581164736"/>
      </c:scatterChart>
      <c:valAx>
        <c:axId val="158116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X Variable 1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81164736"/>
        <c:crosses val="autoZero"/>
        <c:crossBetween val="midCat"/>
      </c:valAx>
      <c:valAx>
        <c:axId val="1581164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Residuals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81164256"/>
        <c:crosses val="autoZero"/>
        <c:crossBetween val="midCat"/>
      </c:valAx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t2</a:t>
            </a:r>
            <a:r>
              <a:rPr lang="sk-SK" baseline="0"/>
              <a:t> </a:t>
            </a:r>
            <a:r>
              <a:rPr lang="en-GB"/>
              <a:t>Residual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>
              <a:noFill/>
            </a:ln>
          </c:spPr>
          <c:xVal>
            <c:numRef>
              <c:f>Hárok1!$C$259:$C$274</c:f>
              <c:numCache>
                <c:formatCode>General</c:formatCode>
                <c:ptCount val="16"/>
                <c:pt idx="0">
                  <c:v>-1</c:v>
                </c:pt>
                <c:pt idx="1">
                  <c:v>-1</c:v>
                </c:pt>
                <c:pt idx="2">
                  <c:v>1</c:v>
                </c:pt>
                <c:pt idx="3">
                  <c:v>1</c:v>
                </c:pt>
                <c:pt idx="4">
                  <c:v>-1</c:v>
                </c:pt>
                <c:pt idx="5">
                  <c:v>-1</c:v>
                </c:pt>
                <c:pt idx="6">
                  <c:v>1</c:v>
                </c:pt>
                <c:pt idx="7">
                  <c:v>1</c:v>
                </c:pt>
                <c:pt idx="8">
                  <c:v>-1</c:v>
                </c:pt>
                <c:pt idx="9">
                  <c:v>-1</c:v>
                </c:pt>
                <c:pt idx="10">
                  <c:v>1</c:v>
                </c:pt>
                <c:pt idx="11">
                  <c:v>1</c:v>
                </c:pt>
                <c:pt idx="12">
                  <c:v>-1</c:v>
                </c:pt>
                <c:pt idx="13">
                  <c:v>-1</c:v>
                </c:pt>
                <c:pt idx="14">
                  <c:v>1</c:v>
                </c:pt>
                <c:pt idx="15">
                  <c:v>1</c:v>
                </c:pt>
              </c:numCache>
            </c:numRef>
          </c:xVal>
          <c:yVal>
            <c:numRef>
              <c:f>Hárok1!$D$336:$D$351</c:f>
              <c:numCache>
                <c:formatCode>General</c:formatCode>
                <c:ptCount val="16"/>
                <c:pt idx="0">
                  <c:v>-183.25</c:v>
                </c:pt>
                <c:pt idx="1">
                  <c:v>567.5</c:v>
                </c:pt>
                <c:pt idx="2">
                  <c:v>652.5</c:v>
                </c:pt>
                <c:pt idx="3">
                  <c:v>-2786.75</c:v>
                </c:pt>
                <c:pt idx="4">
                  <c:v>-1486.5</c:v>
                </c:pt>
                <c:pt idx="5">
                  <c:v>1389.25</c:v>
                </c:pt>
                <c:pt idx="6">
                  <c:v>-335.75</c:v>
                </c:pt>
                <c:pt idx="7">
                  <c:v>-1675</c:v>
                </c:pt>
                <c:pt idx="8">
                  <c:v>-283.25</c:v>
                </c:pt>
                <c:pt idx="9">
                  <c:v>-1022.5</c:v>
                </c:pt>
                <c:pt idx="10">
                  <c:v>1642.5</c:v>
                </c:pt>
                <c:pt idx="11">
                  <c:v>1413.25</c:v>
                </c:pt>
                <c:pt idx="12">
                  <c:v>-170.5</c:v>
                </c:pt>
                <c:pt idx="13">
                  <c:v>1189.25</c:v>
                </c:pt>
                <c:pt idx="14">
                  <c:v>164.25</c:v>
                </c:pt>
                <c:pt idx="15">
                  <c:v>925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CE-41F4-815E-B98E30165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1164256"/>
        <c:axId val="1581164736"/>
      </c:scatterChart>
      <c:valAx>
        <c:axId val="158116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X Variable 1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81164736"/>
        <c:crosses val="autoZero"/>
        <c:crossBetween val="midCat"/>
      </c:valAx>
      <c:valAx>
        <c:axId val="1581164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Residuals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81164256"/>
        <c:crosses val="autoZero"/>
        <c:crossBetween val="midCat"/>
      </c:valAx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t3</a:t>
            </a:r>
            <a:r>
              <a:rPr lang="sk-SK" baseline="0"/>
              <a:t> </a:t>
            </a:r>
            <a:r>
              <a:rPr lang="en-GB"/>
              <a:t>Residual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>
              <a:noFill/>
            </a:ln>
          </c:spPr>
          <c:xVal>
            <c:numRef>
              <c:f>Hárok1!$D$259:$D$274</c:f>
              <c:numCache>
                <c:formatCode>General</c:formatCode>
                <c:ptCount val="16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</c:numCache>
            </c:numRef>
          </c:xVal>
          <c:yVal>
            <c:numRef>
              <c:f>Hárok1!$D$336:$D$351</c:f>
              <c:numCache>
                <c:formatCode>General</c:formatCode>
                <c:ptCount val="16"/>
                <c:pt idx="0">
                  <c:v>-183.25</c:v>
                </c:pt>
                <c:pt idx="1">
                  <c:v>567.5</c:v>
                </c:pt>
                <c:pt idx="2">
                  <c:v>652.5</c:v>
                </c:pt>
                <c:pt idx="3">
                  <c:v>-2786.75</c:v>
                </c:pt>
                <c:pt idx="4">
                  <c:v>-1486.5</c:v>
                </c:pt>
                <c:pt idx="5">
                  <c:v>1389.25</c:v>
                </c:pt>
                <c:pt idx="6">
                  <c:v>-335.75</c:v>
                </c:pt>
                <c:pt idx="7">
                  <c:v>-1675</c:v>
                </c:pt>
                <c:pt idx="8">
                  <c:v>-283.25</c:v>
                </c:pt>
                <c:pt idx="9">
                  <c:v>-1022.5</c:v>
                </c:pt>
                <c:pt idx="10">
                  <c:v>1642.5</c:v>
                </c:pt>
                <c:pt idx="11">
                  <c:v>1413.25</c:v>
                </c:pt>
                <c:pt idx="12">
                  <c:v>-170.5</c:v>
                </c:pt>
                <c:pt idx="13">
                  <c:v>1189.25</c:v>
                </c:pt>
                <c:pt idx="14">
                  <c:v>164.25</c:v>
                </c:pt>
                <c:pt idx="15">
                  <c:v>925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AD-4696-914E-D0F7AF85B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1164256"/>
        <c:axId val="1581164736"/>
      </c:scatterChart>
      <c:valAx>
        <c:axId val="158116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X Variable 1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81164736"/>
        <c:crosses val="autoZero"/>
        <c:crossBetween val="midCat"/>
      </c:valAx>
      <c:valAx>
        <c:axId val="1581164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Residuals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81164256"/>
        <c:crosses val="autoZero"/>
        <c:crossBetween val="midCat"/>
      </c:valAx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Hlavný efekt faktora najazdené kilometre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Hárok1!$C$528:$D$528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Hárok1!$C$529:$D$529</c:f>
              <c:numCache>
                <c:formatCode>0.0</c:formatCode>
                <c:ptCount val="2"/>
                <c:pt idx="0">
                  <c:v>17259.5</c:v>
                </c:pt>
                <c:pt idx="1">
                  <c:v>15498.75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48-4CB8-85F6-6851CBC49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9597952"/>
        <c:axId val="1839598912"/>
      </c:scatterChart>
      <c:valAx>
        <c:axId val="1839597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Najazdene kilometre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39598912"/>
        <c:crosses val="autoZero"/>
        <c:crossBetween val="midCat"/>
      </c:valAx>
      <c:valAx>
        <c:axId val="1839598912"/>
        <c:scaling>
          <c:orientation val="minMax"/>
          <c:max val="20000"/>
          <c:min val="1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Priemer odozvy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39597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Hlavný efekt faktora výkon v kW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Hárok1!$E$528:$F$528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Hárok1!$E$529:$F$529</c:f>
              <c:numCache>
                <c:formatCode>0.0</c:formatCode>
                <c:ptCount val="2"/>
                <c:pt idx="0">
                  <c:v>13047</c:v>
                </c:pt>
                <c:pt idx="1">
                  <c:v>19711.25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BE-4B36-A2F0-90EDF5E29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9597952"/>
        <c:axId val="1839598912"/>
      </c:scatterChart>
      <c:valAx>
        <c:axId val="1839597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Výkon v kW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39598912"/>
        <c:crosses val="autoZero"/>
        <c:crossBetween val="midCat"/>
      </c:valAx>
      <c:valAx>
        <c:axId val="1839598912"/>
        <c:scaling>
          <c:orientation val="minMax"/>
          <c:max val="20000"/>
          <c:min val="1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Priemer odozvy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39597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Hlavný efekt faktora vek auta</a:t>
            </a:r>
          </a:p>
        </c:rich>
      </c:tx>
      <c:layout>
        <c:manualLayout>
          <c:xMode val="edge"/>
          <c:yMode val="edge"/>
          <c:x val="0.2683428034810042"/>
          <c:y val="2.37741419079154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Hárok1!$G$528:$H$528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Hárok1!$G$529:$H$529</c:f>
              <c:numCache>
                <c:formatCode>0.0</c:formatCode>
                <c:ptCount val="2"/>
                <c:pt idx="0">
                  <c:v>18135</c:v>
                </c:pt>
                <c:pt idx="1">
                  <c:v>14623.25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5B-4A89-8ADB-FF5E77C37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9597952"/>
        <c:axId val="1839598912"/>
      </c:scatterChart>
      <c:valAx>
        <c:axId val="1839597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Vek auta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39598912"/>
        <c:crosses val="autoZero"/>
        <c:crossBetween val="midCat"/>
      </c:valAx>
      <c:valAx>
        <c:axId val="1839598912"/>
        <c:scaling>
          <c:orientation val="minMax"/>
          <c:max val="20000"/>
          <c:min val="1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Priemer odozvy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39597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Interakcia t1*t2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80 kW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Hárok1!$E$572:$F$572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Hárok1!$E$573:$F$573</c:f>
              <c:numCache>
                <c:formatCode>General</c:formatCode>
                <c:ptCount val="2"/>
                <c:pt idx="0">
                  <c:v>13396.5</c:v>
                </c:pt>
                <c:pt idx="1">
                  <c:v>12697.5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52C-4E62-88EF-477510B79439}"/>
            </c:ext>
          </c:extLst>
        </c:ser>
        <c:ser>
          <c:idx val="1"/>
          <c:order val="1"/>
          <c:tx>
            <c:v>110 kW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Hárok1!$E$572:$F$572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Hárok1!$E$574:$F$574</c:f>
              <c:numCache>
                <c:formatCode>General</c:formatCode>
                <c:ptCount val="2"/>
                <c:pt idx="0">
                  <c:v>21122.5</c:v>
                </c:pt>
                <c:pt idx="1">
                  <c:v>18300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52C-4E62-88EF-477510B79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9601792"/>
        <c:axId val="1839611872"/>
      </c:scatterChart>
      <c:valAx>
        <c:axId val="1839601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Najazdené km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39611872"/>
        <c:crosses val="autoZero"/>
        <c:crossBetween val="midCat"/>
      </c:valAx>
      <c:valAx>
        <c:axId val="183961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 priem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39601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Interakcia t2*t1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50 000 km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Hárok1!$D$573:$D$574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Hárok1!$E$573:$E$574</c:f>
              <c:numCache>
                <c:formatCode>General</c:formatCode>
                <c:ptCount val="2"/>
                <c:pt idx="0">
                  <c:v>13396.5</c:v>
                </c:pt>
                <c:pt idx="1">
                  <c:v>21122.5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CA-4759-BABA-1E242EB52A82}"/>
            </c:ext>
          </c:extLst>
        </c:ser>
        <c:ser>
          <c:idx val="1"/>
          <c:order val="1"/>
          <c:tx>
            <c:v>100 000 km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Hárok1!$D$573:$D$574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Hárok1!$F$573:$F$574</c:f>
              <c:numCache>
                <c:formatCode>General</c:formatCode>
                <c:ptCount val="2"/>
                <c:pt idx="0">
                  <c:v>12697.5</c:v>
                </c:pt>
                <c:pt idx="1">
                  <c:v>18300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CA-4759-BABA-1E242EB52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9628672"/>
        <c:axId val="1839629152"/>
      </c:scatterChart>
      <c:valAx>
        <c:axId val="1839628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Výkon v kW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39629152"/>
        <c:crosses val="autoZero"/>
        <c:crossBetween val="midCat"/>
      </c:valAx>
      <c:valAx>
        <c:axId val="18396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 priemer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39628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Interakcia t2*t3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3 roky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Hárok1!$K$572:$L$572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Hárok1!$K$573:$L$573</c:f>
              <c:numCache>
                <c:formatCode>General</c:formatCode>
                <c:ptCount val="2"/>
                <c:pt idx="0">
                  <c:v>14572.5</c:v>
                </c:pt>
                <c:pt idx="1">
                  <c:v>21697.5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17-4723-8830-5DF7DB92F3F4}"/>
            </c:ext>
          </c:extLst>
        </c:ser>
        <c:ser>
          <c:idx val="1"/>
          <c:order val="1"/>
          <c:tx>
            <c:v>6 rokov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Hárok1!$K$572:$L$572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Hárok1!$K$574:$L$574</c:f>
              <c:numCache>
                <c:formatCode>General</c:formatCode>
                <c:ptCount val="2"/>
                <c:pt idx="0">
                  <c:v>11521.5</c:v>
                </c:pt>
                <c:pt idx="1">
                  <c:v>17725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317-4723-8830-5DF7DB92F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9587392"/>
        <c:axId val="1839581632"/>
      </c:scatterChart>
      <c:valAx>
        <c:axId val="1839587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Výkon v kW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39581632"/>
        <c:crosses val="autoZero"/>
        <c:crossBetween val="midCat"/>
      </c:valAx>
      <c:valAx>
        <c:axId val="183958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 priemer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395873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Interakcia t3*t2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80 kW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Hárok1!$J$573:$J$574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Hárok1!$K$573:$K$574</c:f>
              <c:numCache>
                <c:formatCode>General</c:formatCode>
                <c:ptCount val="2"/>
                <c:pt idx="0">
                  <c:v>14572.5</c:v>
                </c:pt>
                <c:pt idx="1">
                  <c:v>11521.5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BE-40CB-93BA-9A4CCF983BD3}"/>
            </c:ext>
          </c:extLst>
        </c:ser>
        <c:ser>
          <c:idx val="1"/>
          <c:order val="1"/>
          <c:tx>
            <c:v>110 kW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Hárok1!$J$573:$J$574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Hárok1!$L$573:$L$574</c:f>
              <c:numCache>
                <c:formatCode>General</c:formatCode>
                <c:ptCount val="2"/>
                <c:pt idx="0">
                  <c:v>21697.5</c:v>
                </c:pt>
                <c:pt idx="1">
                  <c:v>17725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BE-40CB-93BA-9A4CCF983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7083008"/>
        <c:axId val="1597079648"/>
      </c:scatterChart>
      <c:valAx>
        <c:axId val="1597083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Vek auta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97079648"/>
        <c:crosses val="autoZero"/>
        <c:crossBetween val="midCat"/>
      </c:valAx>
      <c:valAx>
        <c:axId val="15970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 priemer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97083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Interakcia t1*t3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3 roky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Hárok1!$Q$572:$R$572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Hárok1!$Q$573:$R$573</c:f>
              <c:numCache>
                <c:formatCode>General</c:formatCode>
                <c:ptCount val="2"/>
                <c:pt idx="0">
                  <c:v>19472.5</c:v>
                </c:pt>
                <c:pt idx="1">
                  <c:v>16797.5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55-48A9-A5A3-4238092746DE}"/>
            </c:ext>
          </c:extLst>
        </c:ser>
        <c:ser>
          <c:idx val="1"/>
          <c:order val="1"/>
          <c:tx>
            <c:v>6 rokov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Hárok1!$Q$572:$R$572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Hárok1!$Q$574:$R$574</c:f>
              <c:numCache>
                <c:formatCode>General</c:formatCode>
                <c:ptCount val="2"/>
                <c:pt idx="0">
                  <c:v>15046.5</c:v>
                </c:pt>
                <c:pt idx="1">
                  <c:v>14200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55-48A9-A5A3-423809274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592352"/>
        <c:axId val="127930944"/>
      </c:scatterChart>
      <c:valAx>
        <c:axId val="794592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Najazdené km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7930944"/>
        <c:crosses val="autoZero"/>
        <c:crossBetween val="midCat"/>
      </c:valAx>
      <c:valAx>
        <c:axId val="12793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 priem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794592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</cx:f>
      </cx:numDim>
    </cx:data>
    <cx:data id="1">
      <cx:numDim type="val">
        <cx:f>_xlchart.v1.1</cx:f>
      </cx:numDim>
    </cx:data>
  </cx:chartData>
  <cx:chart>
    <cx:title pos="t" align="ctr" overlay="0">
      <cx:tx>
        <cx:txData>
          <cx:v>Interval hodnôt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sk-SK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Interval hodnôt</a:t>
          </a:r>
        </a:p>
      </cx:txPr>
    </cx:title>
    <cx:plotArea>
      <cx:plotAreaRegion>
        <cx:series layoutId="clusteredColumn" uniqueId="{0C858EEE-9495-40B7-BB29-8266B25A6DA1}" formatIdx="0">
          <cx:tx>
            <cx:txData>
              <cx:f>_xlchart.v1.2</cx:f>
              <cx:v>Y</cx:v>
            </cx:txData>
          </cx:tx>
          <cx:dataId val="0"/>
          <cx:layoutPr>
            <cx:binning intervalClosed="r"/>
          </cx:layoutPr>
        </cx:series>
        <cx:series layoutId="clusteredColumn" hidden="1" uniqueId="{00000002-257C-44DF-84BA-C07742FA0922}" formatIdx="1">
          <cx:tx>
            <cx:txData>
              <cx:f>_xlchart.v1.0</cx:f>
              <cx:v>Percentile</cx:v>
            </cx:txData>
          </cx:tx>
          <cx:dataId val="1"/>
          <cx:layoutPr>
            <cx:binning intervalClosed="r"/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.png"/><Relationship Id="rId18" Type="http://schemas.openxmlformats.org/officeDocument/2006/relationships/chart" Target="../charts/chart14.xml"/><Relationship Id="rId26" Type="http://schemas.openxmlformats.org/officeDocument/2006/relationships/image" Target="../media/image10.png"/><Relationship Id="rId39" Type="http://schemas.openxmlformats.org/officeDocument/2006/relationships/image" Target="../media/image23.jpeg"/><Relationship Id="rId21" Type="http://schemas.openxmlformats.org/officeDocument/2006/relationships/image" Target="../media/image5.png"/><Relationship Id="rId34" Type="http://schemas.openxmlformats.org/officeDocument/2006/relationships/image" Target="../media/image18.png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17" Type="http://schemas.openxmlformats.org/officeDocument/2006/relationships/chart" Target="../charts/chart13.xml"/><Relationship Id="rId25" Type="http://schemas.openxmlformats.org/officeDocument/2006/relationships/image" Target="../media/image9.png"/><Relationship Id="rId33" Type="http://schemas.openxmlformats.org/officeDocument/2006/relationships/image" Target="../media/image17.png"/><Relationship Id="rId38" Type="http://schemas.openxmlformats.org/officeDocument/2006/relationships/image" Target="../media/image22.jpeg"/><Relationship Id="rId2" Type="http://schemas.openxmlformats.org/officeDocument/2006/relationships/image" Target="../media/image2.png"/><Relationship Id="rId16" Type="http://schemas.openxmlformats.org/officeDocument/2006/relationships/chart" Target="../charts/chart12.xml"/><Relationship Id="rId20" Type="http://schemas.openxmlformats.org/officeDocument/2006/relationships/image" Target="../media/image4.png"/><Relationship Id="rId29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24" Type="http://schemas.openxmlformats.org/officeDocument/2006/relationships/image" Target="../media/image8.png"/><Relationship Id="rId32" Type="http://schemas.openxmlformats.org/officeDocument/2006/relationships/image" Target="../media/image16.png"/><Relationship Id="rId37" Type="http://schemas.openxmlformats.org/officeDocument/2006/relationships/image" Target="../media/image21.jpeg"/><Relationship Id="rId40" Type="http://schemas.openxmlformats.org/officeDocument/2006/relationships/image" Target="../media/image24.jpeg"/><Relationship Id="rId5" Type="http://schemas.openxmlformats.org/officeDocument/2006/relationships/chart" Target="../charts/chart3.xml"/><Relationship Id="rId15" Type="http://schemas.openxmlformats.org/officeDocument/2006/relationships/chart" Target="../charts/chart11.xml"/><Relationship Id="rId23" Type="http://schemas.openxmlformats.org/officeDocument/2006/relationships/image" Target="../media/image7.png"/><Relationship Id="rId28" Type="http://schemas.openxmlformats.org/officeDocument/2006/relationships/image" Target="../media/image12.png"/><Relationship Id="rId36" Type="http://schemas.openxmlformats.org/officeDocument/2006/relationships/image" Target="../media/image20.jpeg"/><Relationship Id="rId10" Type="http://schemas.openxmlformats.org/officeDocument/2006/relationships/chart" Target="../charts/chart8.xml"/><Relationship Id="rId19" Type="http://schemas.openxmlformats.org/officeDocument/2006/relationships/chart" Target="../charts/chart15.xml"/><Relationship Id="rId31" Type="http://schemas.openxmlformats.org/officeDocument/2006/relationships/image" Target="../media/image15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microsoft.com/office/2014/relationships/chartEx" Target="../charts/chartEx1.xml"/><Relationship Id="rId22" Type="http://schemas.openxmlformats.org/officeDocument/2006/relationships/image" Target="../media/image6.png"/><Relationship Id="rId27" Type="http://schemas.openxmlformats.org/officeDocument/2006/relationships/image" Target="../media/image11.png"/><Relationship Id="rId30" Type="http://schemas.openxmlformats.org/officeDocument/2006/relationships/image" Target="../media/image14.png"/><Relationship Id="rId35" Type="http://schemas.openxmlformats.org/officeDocument/2006/relationships/image" Target="../media/image19.jpeg"/><Relationship Id="rId8" Type="http://schemas.openxmlformats.org/officeDocument/2006/relationships/chart" Target="../charts/chart6.xml"/><Relationship Id="rId3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592931</xdr:colOff>
      <xdr:row>24</xdr:row>
      <xdr:rowOff>97631</xdr:rowOff>
    </xdr:from>
    <xdr:to>
      <xdr:col>23</xdr:col>
      <xdr:colOff>54768</xdr:colOff>
      <xdr:row>31</xdr:row>
      <xdr:rowOff>55959</xdr:rowOff>
    </xdr:to>
    <xdr:sp macro="" textlink="">
      <xdr:nvSpPr>
        <xdr:cNvPr id="28" name="Obdĺžnik 27">
          <a:extLst>
            <a:ext uri="{FF2B5EF4-FFF2-40B4-BE49-F238E27FC236}">
              <a16:creationId xmlns:a16="http://schemas.microsoft.com/office/drawing/2014/main" id="{09BEE5C0-7807-4FF1-B65C-046DCC4E2F76}"/>
            </a:ext>
          </a:extLst>
        </xdr:cNvPr>
        <xdr:cNvSpPr/>
      </xdr:nvSpPr>
      <xdr:spPr>
        <a:xfrm>
          <a:off x="16777811" y="4540091"/>
          <a:ext cx="1290637" cy="1238488"/>
        </a:xfrm>
        <a:prstGeom prst="rect">
          <a:avLst/>
        </a:prstGeom>
        <a:noFill/>
        <a:ln w="28575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21</xdr:col>
      <xdr:colOff>435769</xdr:colOff>
      <xdr:row>22</xdr:row>
      <xdr:rowOff>180976</xdr:rowOff>
    </xdr:from>
    <xdr:to>
      <xdr:col>23</xdr:col>
      <xdr:colOff>507206</xdr:colOff>
      <xdr:row>29</xdr:row>
      <xdr:rowOff>139304</xdr:rowOff>
    </xdr:to>
    <xdr:sp macro="" textlink="">
      <xdr:nvSpPr>
        <xdr:cNvPr id="29" name="Obdĺžnik 28">
          <a:extLst>
            <a:ext uri="{FF2B5EF4-FFF2-40B4-BE49-F238E27FC236}">
              <a16:creationId xmlns:a16="http://schemas.microsoft.com/office/drawing/2014/main" id="{9A0CF3FF-DF65-4E2A-BC48-911557229A99}"/>
            </a:ext>
          </a:extLst>
        </xdr:cNvPr>
        <xdr:cNvSpPr/>
      </xdr:nvSpPr>
      <xdr:spPr>
        <a:xfrm>
          <a:off x="17230249" y="4257676"/>
          <a:ext cx="1290637" cy="1238488"/>
        </a:xfrm>
        <a:prstGeom prst="rect">
          <a:avLst/>
        </a:prstGeom>
        <a:noFill/>
        <a:ln w="28575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20</xdr:col>
      <xdr:colOff>581025</xdr:colOff>
      <xdr:row>22</xdr:row>
      <xdr:rowOff>180975</xdr:rowOff>
    </xdr:from>
    <xdr:to>
      <xdr:col>21</xdr:col>
      <xdr:colOff>429816</xdr:colOff>
      <xdr:row>24</xdr:row>
      <xdr:rowOff>91678</xdr:rowOff>
    </xdr:to>
    <xdr:cxnSp macro="">
      <xdr:nvCxnSpPr>
        <xdr:cNvPr id="30" name="Rovná spojnica 29">
          <a:extLst>
            <a:ext uri="{FF2B5EF4-FFF2-40B4-BE49-F238E27FC236}">
              <a16:creationId xmlns:a16="http://schemas.microsoft.com/office/drawing/2014/main" id="{5CF6C119-B749-4620-98AB-16B6ABE57BE5}"/>
            </a:ext>
          </a:extLst>
        </xdr:cNvPr>
        <xdr:cNvCxnSpPr/>
      </xdr:nvCxnSpPr>
      <xdr:spPr>
        <a:xfrm flipV="1">
          <a:off x="16765905" y="4257675"/>
          <a:ext cx="458391" cy="276463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40481</xdr:colOff>
      <xdr:row>23</xdr:row>
      <xdr:rowOff>0</xdr:rowOff>
    </xdr:from>
    <xdr:to>
      <xdr:col>23</xdr:col>
      <xdr:colOff>498872</xdr:colOff>
      <xdr:row>24</xdr:row>
      <xdr:rowOff>101203</xdr:rowOff>
    </xdr:to>
    <xdr:cxnSp macro="">
      <xdr:nvCxnSpPr>
        <xdr:cNvPr id="31" name="Rovná spojnica 30">
          <a:extLst>
            <a:ext uri="{FF2B5EF4-FFF2-40B4-BE49-F238E27FC236}">
              <a16:creationId xmlns:a16="http://schemas.microsoft.com/office/drawing/2014/main" id="{04D645CB-4ECF-4F27-AF99-E2571C035F66}"/>
            </a:ext>
          </a:extLst>
        </xdr:cNvPr>
        <xdr:cNvCxnSpPr/>
      </xdr:nvCxnSpPr>
      <xdr:spPr>
        <a:xfrm flipV="1">
          <a:off x="18054161" y="4259580"/>
          <a:ext cx="458391" cy="284083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42863</xdr:colOff>
      <xdr:row>29</xdr:row>
      <xdr:rowOff>139303</xdr:rowOff>
    </xdr:from>
    <xdr:to>
      <xdr:col>23</xdr:col>
      <xdr:colOff>501254</xdr:colOff>
      <xdr:row>31</xdr:row>
      <xdr:rowOff>50006</xdr:rowOff>
    </xdr:to>
    <xdr:cxnSp macro="">
      <xdr:nvCxnSpPr>
        <xdr:cNvPr id="32" name="Rovná spojnica 31">
          <a:extLst>
            <a:ext uri="{FF2B5EF4-FFF2-40B4-BE49-F238E27FC236}">
              <a16:creationId xmlns:a16="http://schemas.microsoft.com/office/drawing/2014/main" id="{FBA18E4B-BF90-4CAE-A0EC-A09B224790DC}"/>
            </a:ext>
          </a:extLst>
        </xdr:cNvPr>
        <xdr:cNvCxnSpPr/>
      </xdr:nvCxnSpPr>
      <xdr:spPr>
        <a:xfrm flipV="1">
          <a:off x="18056543" y="5496163"/>
          <a:ext cx="458391" cy="276463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598885</xdr:colOff>
      <xdr:row>29</xdr:row>
      <xdr:rowOff>121444</xdr:rowOff>
    </xdr:from>
    <xdr:to>
      <xdr:col>21</xdr:col>
      <xdr:colOff>447676</xdr:colOff>
      <xdr:row>31</xdr:row>
      <xdr:rowOff>32147</xdr:rowOff>
    </xdr:to>
    <xdr:cxnSp macro="">
      <xdr:nvCxnSpPr>
        <xdr:cNvPr id="33" name="Rovná spojnica 32">
          <a:extLst>
            <a:ext uri="{FF2B5EF4-FFF2-40B4-BE49-F238E27FC236}">
              <a16:creationId xmlns:a16="http://schemas.microsoft.com/office/drawing/2014/main" id="{AF63AF46-F4E6-41E5-B416-2A1C2E882F8A}"/>
            </a:ext>
          </a:extLst>
        </xdr:cNvPr>
        <xdr:cNvCxnSpPr/>
      </xdr:nvCxnSpPr>
      <xdr:spPr>
        <a:xfrm flipV="1">
          <a:off x="16783765" y="5478304"/>
          <a:ext cx="458391" cy="276463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326230</xdr:colOff>
      <xdr:row>33</xdr:row>
      <xdr:rowOff>89297</xdr:rowOff>
    </xdr:from>
    <xdr:to>
      <xdr:col>22</xdr:col>
      <xdr:colOff>528636</xdr:colOff>
      <xdr:row>33</xdr:row>
      <xdr:rowOff>101204</xdr:rowOff>
    </xdr:to>
    <xdr:cxnSp macro="">
      <xdr:nvCxnSpPr>
        <xdr:cNvPr id="34" name="Rovná spojovacia šípka 33">
          <a:extLst>
            <a:ext uri="{FF2B5EF4-FFF2-40B4-BE49-F238E27FC236}">
              <a16:creationId xmlns:a16="http://schemas.microsoft.com/office/drawing/2014/main" id="{0D7C1370-FCE8-4F69-9546-C9FCF6D43BA9}"/>
            </a:ext>
          </a:extLst>
        </xdr:cNvPr>
        <xdr:cNvCxnSpPr/>
      </xdr:nvCxnSpPr>
      <xdr:spPr>
        <a:xfrm flipV="1">
          <a:off x="17120710" y="6177677"/>
          <a:ext cx="812006" cy="11907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445293</xdr:colOff>
      <xdr:row>31</xdr:row>
      <xdr:rowOff>83345</xdr:rowOff>
    </xdr:from>
    <xdr:to>
      <xdr:col>24</xdr:col>
      <xdr:colOff>207168</xdr:colOff>
      <xdr:row>32</xdr:row>
      <xdr:rowOff>142875</xdr:rowOff>
    </xdr:to>
    <xdr:cxnSp macro="">
      <xdr:nvCxnSpPr>
        <xdr:cNvPr id="35" name="Rovná spojovacia šípka 34">
          <a:extLst>
            <a:ext uri="{FF2B5EF4-FFF2-40B4-BE49-F238E27FC236}">
              <a16:creationId xmlns:a16="http://schemas.microsoft.com/office/drawing/2014/main" id="{AC139852-A857-468D-B20F-2717542CF657}"/>
            </a:ext>
          </a:extLst>
        </xdr:cNvPr>
        <xdr:cNvCxnSpPr/>
      </xdr:nvCxnSpPr>
      <xdr:spPr>
        <a:xfrm flipV="1">
          <a:off x="18458973" y="5805965"/>
          <a:ext cx="371475" cy="24241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290511</xdr:colOff>
      <xdr:row>25</xdr:row>
      <xdr:rowOff>38100</xdr:rowOff>
    </xdr:from>
    <xdr:to>
      <xdr:col>24</xdr:col>
      <xdr:colOff>295275</xdr:colOff>
      <xdr:row>29</xdr:row>
      <xdr:rowOff>1191</xdr:rowOff>
    </xdr:to>
    <xdr:cxnSp macro="">
      <xdr:nvCxnSpPr>
        <xdr:cNvPr id="36" name="Rovná spojovacia šípka 35">
          <a:extLst>
            <a:ext uri="{FF2B5EF4-FFF2-40B4-BE49-F238E27FC236}">
              <a16:creationId xmlns:a16="http://schemas.microsoft.com/office/drawing/2014/main" id="{52500FEC-5C4E-4175-9616-021A983C1E8A}"/>
            </a:ext>
          </a:extLst>
        </xdr:cNvPr>
        <xdr:cNvCxnSpPr/>
      </xdr:nvCxnSpPr>
      <xdr:spPr>
        <a:xfrm flipH="1">
          <a:off x="18913791" y="4663440"/>
          <a:ext cx="4764" cy="694611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171449</xdr:colOff>
      <xdr:row>28</xdr:row>
      <xdr:rowOff>90488</xdr:rowOff>
    </xdr:from>
    <xdr:to>
      <xdr:col>26</xdr:col>
      <xdr:colOff>326231</xdr:colOff>
      <xdr:row>30</xdr:row>
      <xdr:rowOff>5953</xdr:rowOff>
    </xdr:to>
    <xdr:sp macro="" textlink="">
      <xdr:nvSpPr>
        <xdr:cNvPr id="37" name="BlokTextu 36">
          <a:extLst>
            <a:ext uri="{FF2B5EF4-FFF2-40B4-BE49-F238E27FC236}">
              <a16:creationId xmlns:a16="http://schemas.microsoft.com/office/drawing/2014/main" id="{0C02E3BA-B899-498E-8F7A-A3804258E5F8}"/>
            </a:ext>
          </a:extLst>
        </xdr:cNvPr>
        <xdr:cNvSpPr txBox="1"/>
      </xdr:nvSpPr>
      <xdr:spPr>
        <a:xfrm>
          <a:off x="18794729" y="5264468"/>
          <a:ext cx="1373982" cy="281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23</xdr:col>
      <xdr:colOff>213121</xdr:colOff>
      <xdr:row>32</xdr:row>
      <xdr:rowOff>11906</xdr:rowOff>
    </xdr:from>
    <xdr:to>
      <xdr:col>23</xdr:col>
      <xdr:colOff>490537</xdr:colOff>
      <xdr:row>33</xdr:row>
      <xdr:rowOff>119062</xdr:rowOff>
    </xdr:to>
    <xdr:sp macro="" textlink="">
      <xdr:nvSpPr>
        <xdr:cNvPr id="38" name="BlokTextu 37">
          <a:extLst>
            <a:ext uri="{FF2B5EF4-FFF2-40B4-BE49-F238E27FC236}">
              <a16:creationId xmlns:a16="http://schemas.microsoft.com/office/drawing/2014/main" id="{B3D49078-547E-46D7-A0A4-DC2D247D81D1}"/>
            </a:ext>
          </a:extLst>
        </xdr:cNvPr>
        <xdr:cNvSpPr txBox="1"/>
      </xdr:nvSpPr>
      <xdr:spPr>
        <a:xfrm>
          <a:off x="18226801" y="5917406"/>
          <a:ext cx="277416" cy="2900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21</xdr:col>
      <xdr:colOff>28575</xdr:colOff>
      <xdr:row>32</xdr:row>
      <xdr:rowOff>86915</xdr:rowOff>
    </xdr:from>
    <xdr:to>
      <xdr:col>21</xdr:col>
      <xdr:colOff>309562</xdr:colOff>
      <xdr:row>34</xdr:row>
      <xdr:rowOff>3571</xdr:rowOff>
    </xdr:to>
    <xdr:sp macro="" textlink="">
      <xdr:nvSpPr>
        <xdr:cNvPr id="39" name="BlokTextu 38">
          <a:extLst>
            <a:ext uri="{FF2B5EF4-FFF2-40B4-BE49-F238E27FC236}">
              <a16:creationId xmlns:a16="http://schemas.microsoft.com/office/drawing/2014/main" id="{73F2DC61-96C5-48FE-865E-92C4F3B90CD1}"/>
            </a:ext>
          </a:extLst>
        </xdr:cNvPr>
        <xdr:cNvSpPr txBox="1"/>
      </xdr:nvSpPr>
      <xdr:spPr>
        <a:xfrm>
          <a:off x="16823055" y="5992415"/>
          <a:ext cx="280987" cy="28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22</xdr:col>
      <xdr:colOff>510777</xdr:colOff>
      <xdr:row>32</xdr:row>
      <xdr:rowOff>130969</xdr:rowOff>
    </xdr:from>
    <xdr:to>
      <xdr:col>23</xdr:col>
      <xdr:colOff>290512</xdr:colOff>
      <xdr:row>34</xdr:row>
      <xdr:rowOff>47625</xdr:rowOff>
    </xdr:to>
    <xdr:sp macro="" textlink="">
      <xdr:nvSpPr>
        <xdr:cNvPr id="40" name="BlokTextu 39">
          <a:extLst>
            <a:ext uri="{FF2B5EF4-FFF2-40B4-BE49-F238E27FC236}">
              <a16:creationId xmlns:a16="http://schemas.microsoft.com/office/drawing/2014/main" id="{50F1DCA5-9AC8-4FE6-970E-4D706A76E125}"/>
            </a:ext>
          </a:extLst>
        </xdr:cNvPr>
        <xdr:cNvSpPr txBox="1"/>
      </xdr:nvSpPr>
      <xdr:spPr>
        <a:xfrm>
          <a:off x="17914857" y="6036469"/>
          <a:ext cx="389335" cy="28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24</xdr:col>
      <xdr:colOff>147636</xdr:colOff>
      <xdr:row>30</xdr:row>
      <xdr:rowOff>59531</xdr:rowOff>
    </xdr:from>
    <xdr:to>
      <xdr:col>26</xdr:col>
      <xdr:colOff>302418</xdr:colOff>
      <xdr:row>31</xdr:row>
      <xdr:rowOff>166687</xdr:rowOff>
    </xdr:to>
    <xdr:sp macro="" textlink="">
      <xdr:nvSpPr>
        <xdr:cNvPr id="41" name="BlokTextu 40">
          <a:extLst>
            <a:ext uri="{FF2B5EF4-FFF2-40B4-BE49-F238E27FC236}">
              <a16:creationId xmlns:a16="http://schemas.microsoft.com/office/drawing/2014/main" id="{87323591-4AAE-4419-A8FF-1D70E673D7FA}"/>
            </a:ext>
          </a:extLst>
        </xdr:cNvPr>
        <xdr:cNvSpPr txBox="1"/>
      </xdr:nvSpPr>
      <xdr:spPr>
        <a:xfrm>
          <a:off x="18770916" y="5599271"/>
          <a:ext cx="1373982" cy="2900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24</xdr:col>
      <xdr:colOff>162944</xdr:colOff>
      <xdr:row>23</xdr:row>
      <xdr:rowOff>142875</xdr:rowOff>
    </xdr:from>
    <xdr:to>
      <xdr:col>26</xdr:col>
      <xdr:colOff>317726</xdr:colOff>
      <xdr:row>25</xdr:row>
      <xdr:rowOff>59531</xdr:rowOff>
    </xdr:to>
    <xdr:sp macro="" textlink="">
      <xdr:nvSpPr>
        <xdr:cNvPr id="42" name="BlokTextu 41">
          <a:extLst>
            <a:ext uri="{FF2B5EF4-FFF2-40B4-BE49-F238E27FC236}">
              <a16:creationId xmlns:a16="http://schemas.microsoft.com/office/drawing/2014/main" id="{50263518-77B5-4DA9-875D-80B825F45BEB}"/>
            </a:ext>
          </a:extLst>
        </xdr:cNvPr>
        <xdr:cNvSpPr txBox="1"/>
      </xdr:nvSpPr>
      <xdr:spPr>
        <a:xfrm>
          <a:off x="18786224" y="4402455"/>
          <a:ext cx="1373982" cy="28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21</xdr:col>
      <xdr:colOff>276223</xdr:colOff>
      <xdr:row>34</xdr:row>
      <xdr:rowOff>36909</xdr:rowOff>
    </xdr:from>
    <xdr:to>
      <xdr:col>23</xdr:col>
      <xdr:colOff>431004</xdr:colOff>
      <xdr:row>35</xdr:row>
      <xdr:rowOff>144065</xdr:rowOff>
    </xdr:to>
    <xdr:sp macro="" textlink="">
      <xdr:nvSpPr>
        <xdr:cNvPr id="43" name="BlokTextu 42">
          <a:extLst>
            <a:ext uri="{FF2B5EF4-FFF2-40B4-BE49-F238E27FC236}">
              <a16:creationId xmlns:a16="http://schemas.microsoft.com/office/drawing/2014/main" id="{8A27D1BC-67E4-4CF7-888E-A64D56CB9C00}"/>
            </a:ext>
          </a:extLst>
        </xdr:cNvPr>
        <xdr:cNvSpPr txBox="1"/>
      </xdr:nvSpPr>
      <xdr:spPr>
        <a:xfrm>
          <a:off x="17070703" y="6308169"/>
          <a:ext cx="1373981" cy="2900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najazdené kilometre</a:t>
          </a:r>
        </a:p>
      </xdr:txBody>
    </xdr:sp>
    <xdr:clientData/>
  </xdr:twoCellAnchor>
  <xdr:twoCellAnchor>
    <xdr:from>
      <xdr:col>24</xdr:col>
      <xdr:colOff>44052</xdr:colOff>
      <xdr:row>31</xdr:row>
      <xdr:rowOff>185737</xdr:rowOff>
    </xdr:from>
    <xdr:to>
      <xdr:col>26</xdr:col>
      <xdr:colOff>198834</xdr:colOff>
      <xdr:row>33</xdr:row>
      <xdr:rowOff>102393</xdr:rowOff>
    </xdr:to>
    <xdr:sp macro="" textlink="">
      <xdr:nvSpPr>
        <xdr:cNvPr id="44" name="BlokTextu 43">
          <a:extLst>
            <a:ext uri="{FF2B5EF4-FFF2-40B4-BE49-F238E27FC236}">
              <a16:creationId xmlns:a16="http://schemas.microsoft.com/office/drawing/2014/main" id="{54FD4E2D-6F36-4AD8-B297-89508615DD4C}"/>
            </a:ext>
          </a:extLst>
        </xdr:cNvPr>
        <xdr:cNvSpPr txBox="1"/>
      </xdr:nvSpPr>
      <xdr:spPr>
        <a:xfrm>
          <a:off x="18667332" y="5908357"/>
          <a:ext cx="1373982" cy="28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výkon</a:t>
          </a:r>
        </a:p>
      </xdr:txBody>
    </xdr:sp>
    <xdr:clientData/>
  </xdr:twoCellAnchor>
  <xdr:twoCellAnchor>
    <xdr:from>
      <xdr:col>24</xdr:col>
      <xdr:colOff>335754</xdr:colOff>
      <xdr:row>26</xdr:row>
      <xdr:rowOff>54768</xdr:rowOff>
    </xdr:from>
    <xdr:to>
      <xdr:col>25</xdr:col>
      <xdr:colOff>438149</xdr:colOff>
      <xdr:row>28</xdr:row>
      <xdr:rowOff>161925</xdr:rowOff>
    </xdr:to>
    <xdr:sp macro="" textlink="">
      <xdr:nvSpPr>
        <xdr:cNvPr id="45" name="BlokTextu 44">
          <a:extLst>
            <a:ext uri="{FF2B5EF4-FFF2-40B4-BE49-F238E27FC236}">
              <a16:creationId xmlns:a16="http://schemas.microsoft.com/office/drawing/2014/main" id="{F5792312-4250-4064-B85F-E8B6B4B20814}"/>
            </a:ext>
          </a:extLst>
        </xdr:cNvPr>
        <xdr:cNvSpPr txBox="1"/>
      </xdr:nvSpPr>
      <xdr:spPr>
        <a:xfrm>
          <a:off x="18959034" y="4862988"/>
          <a:ext cx="711995" cy="472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vek auta</a:t>
          </a:r>
        </a:p>
      </xdr:txBody>
    </xdr:sp>
    <xdr:clientData/>
  </xdr:twoCellAnchor>
  <xdr:twoCellAnchor>
    <xdr:from>
      <xdr:col>13</xdr:col>
      <xdr:colOff>638174</xdr:colOff>
      <xdr:row>24</xdr:row>
      <xdr:rowOff>114300</xdr:rowOff>
    </xdr:from>
    <xdr:to>
      <xdr:col>15</xdr:col>
      <xdr:colOff>83342</xdr:colOff>
      <xdr:row>31</xdr:row>
      <xdr:rowOff>65485</xdr:rowOff>
    </xdr:to>
    <xdr:sp macro="" textlink="">
      <xdr:nvSpPr>
        <xdr:cNvPr id="46" name="Obdĺžnik 45">
          <a:extLst>
            <a:ext uri="{FF2B5EF4-FFF2-40B4-BE49-F238E27FC236}">
              <a16:creationId xmlns:a16="http://schemas.microsoft.com/office/drawing/2014/main" id="{397B574D-186F-4606-A05C-8B0815F70F40}"/>
            </a:ext>
          </a:extLst>
        </xdr:cNvPr>
        <xdr:cNvSpPr/>
      </xdr:nvSpPr>
      <xdr:spPr>
        <a:xfrm>
          <a:off x="14468474" y="4505325"/>
          <a:ext cx="1340643" cy="1218010"/>
        </a:xfrm>
        <a:prstGeom prst="rect">
          <a:avLst/>
        </a:prstGeom>
        <a:noFill/>
        <a:ln w="28575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14</xdr:col>
      <xdr:colOff>228599</xdr:colOff>
      <xdr:row>23</xdr:row>
      <xdr:rowOff>28575</xdr:rowOff>
    </xdr:from>
    <xdr:to>
      <xdr:col>15</xdr:col>
      <xdr:colOff>535780</xdr:colOff>
      <xdr:row>29</xdr:row>
      <xdr:rowOff>148828</xdr:rowOff>
    </xdr:to>
    <xdr:sp macro="" textlink="">
      <xdr:nvSpPr>
        <xdr:cNvPr id="47" name="Obdĺžnik 46">
          <a:extLst>
            <a:ext uri="{FF2B5EF4-FFF2-40B4-BE49-F238E27FC236}">
              <a16:creationId xmlns:a16="http://schemas.microsoft.com/office/drawing/2014/main" id="{42D016EE-9678-46AC-BF3E-DC31A503A781}"/>
            </a:ext>
          </a:extLst>
        </xdr:cNvPr>
        <xdr:cNvSpPr/>
      </xdr:nvSpPr>
      <xdr:spPr>
        <a:xfrm>
          <a:off x="14906624" y="4238625"/>
          <a:ext cx="1354931" cy="1206103"/>
        </a:xfrm>
        <a:prstGeom prst="rect">
          <a:avLst/>
        </a:prstGeom>
        <a:noFill/>
        <a:ln w="28575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13</xdr:col>
      <xdr:colOff>619125</xdr:colOff>
      <xdr:row>23</xdr:row>
      <xdr:rowOff>19050</xdr:rowOff>
    </xdr:from>
    <xdr:to>
      <xdr:col>14</xdr:col>
      <xdr:colOff>229791</xdr:colOff>
      <xdr:row>24</xdr:row>
      <xdr:rowOff>120253</xdr:rowOff>
    </xdr:to>
    <xdr:cxnSp macro="">
      <xdr:nvCxnSpPr>
        <xdr:cNvPr id="48" name="Rovná spojnica 47">
          <a:extLst>
            <a:ext uri="{FF2B5EF4-FFF2-40B4-BE49-F238E27FC236}">
              <a16:creationId xmlns:a16="http://schemas.microsoft.com/office/drawing/2014/main" id="{8F2E59B6-4A1A-4723-AAB2-2DB1DDEA5DAD}"/>
            </a:ext>
          </a:extLst>
        </xdr:cNvPr>
        <xdr:cNvCxnSpPr/>
      </xdr:nvCxnSpPr>
      <xdr:spPr>
        <a:xfrm flipV="1">
          <a:off x="14449425" y="4229100"/>
          <a:ext cx="458391" cy="282178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69056</xdr:colOff>
      <xdr:row>23</xdr:row>
      <xdr:rowOff>9525</xdr:rowOff>
    </xdr:from>
    <xdr:to>
      <xdr:col>15</xdr:col>
      <xdr:colOff>527447</xdr:colOff>
      <xdr:row>24</xdr:row>
      <xdr:rowOff>110728</xdr:rowOff>
    </xdr:to>
    <xdr:cxnSp macro="">
      <xdr:nvCxnSpPr>
        <xdr:cNvPr id="49" name="Rovná spojnica 48">
          <a:extLst>
            <a:ext uri="{FF2B5EF4-FFF2-40B4-BE49-F238E27FC236}">
              <a16:creationId xmlns:a16="http://schemas.microsoft.com/office/drawing/2014/main" id="{D8BC4A68-4C35-4DA7-BB08-763FC305FCF9}"/>
            </a:ext>
          </a:extLst>
        </xdr:cNvPr>
        <xdr:cNvCxnSpPr/>
      </xdr:nvCxnSpPr>
      <xdr:spPr>
        <a:xfrm flipV="1">
          <a:off x="12504896" y="4269105"/>
          <a:ext cx="458391" cy="284083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71438</xdr:colOff>
      <xdr:row>29</xdr:row>
      <xdr:rowOff>148828</xdr:rowOff>
    </xdr:from>
    <xdr:to>
      <xdr:col>15</xdr:col>
      <xdr:colOff>529829</xdr:colOff>
      <xdr:row>31</xdr:row>
      <xdr:rowOff>59531</xdr:rowOff>
    </xdr:to>
    <xdr:cxnSp macro="">
      <xdr:nvCxnSpPr>
        <xdr:cNvPr id="50" name="Rovná spojnica 49">
          <a:extLst>
            <a:ext uri="{FF2B5EF4-FFF2-40B4-BE49-F238E27FC236}">
              <a16:creationId xmlns:a16="http://schemas.microsoft.com/office/drawing/2014/main" id="{CF64B460-C4CB-4909-A96F-2F538D1D58DB}"/>
            </a:ext>
          </a:extLst>
        </xdr:cNvPr>
        <xdr:cNvCxnSpPr/>
      </xdr:nvCxnSpPr>
      <xdr:spPr>
        <a:xfrm flipV="1">
          <a:off x="12507278" y="5505688"/>
          <a:ext cx="458391" cy="276463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627460</xdr:colOff>
      <xdr:row>29</xdr:row>
      <xdr:rowOff>140494</xdr:rowOff>
    </xdr:from>
    <xdr:to>
      <xdr:col>14</xdr:col>
      <xdr:colOff>238126</xdr:colOff>
      <xdr:row>31</xdr:row>
      <xdr:rowOff>51197</xdr:rowOff>
    </xdr:to>
    <xdr:cxnSp macro="">
      <xdr:nvCxnSpPr>
        <xdr:cNvPr id="51" name="Rovná spojnica 50">
          <a:extLst>
            <a:ext uri="{FF2B5EF4-FFF2-40B4-BE49-F238E27FC236}">
              <a16:creationId xmlns:a16="http://schemas.microsoft.com/office/drawing/2014/main" id="{937ABCC9-9E79-46F2-8B4C-D1930D7172F6}"/>
            </a:ext>
          </a:extLst>
        </xdr:cNvPr>
        <xdr:cNvCxnSpPr/>
      </xdr:nvCxnSpPr>
      <xdr:spPr>
        <a:xfrm flipV="1">
          <a:off x="14457760" y="5436394"/>
          <a:ext cx="458391" cy="272653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373855</xdr:colOff>
      <xdr:row>32</xdr:row>
      <xdr:rowOff>184547</xdr:rowOff>
    </xdr:from>
    <xdr:to>
      <xdr:col>14</xdr:col>
      <xdr:colOff>576261</xdr:colOff>
      <xdr:row>33</xdr:row>
      <xdr:rowOff>5954</xdr:rowOff>
    </xdr:to>
    <xdr:cxnSp macro="">
      <xdr:nvCxnSpPr>
        <xdr:cNvPr id="52" name="Rovná spojovacia šípka 51">
          <a:extLst>
            <a:ext uri="{FF2B5EF4-FFF2-40B4-BE49-F238E27FC236}">
              <a16:creationId xmlns:a16="http://schemas.microsoft.com/office/drawing/2014/main" id="{9468EECC-2263-43C9-AF0C-6DB54E7D9CC5}"/>
            </a:ext>
          </a:extLst>
        </xdr:cNvPr>
        <xdr:cNvCxnSpPr/>
      </xdr:nvCxnSpPr>
      <xdr:spPr>
        <a:xfrm flipV="1">
          <a:off x="11529535" y="6090047"/>
          <a:ext cx="842486" cy="4287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338136</xdr:colOff>
      <xdr:row>24</xdr:row>
      <xdr:rowOff>133350</xdr:rowOff>
    </xdr:from>
    <xdr:to>
      <xdr:col>16</xdr:col>
      <xdr:colOff>342900</xdr:colOff>
      <xdr:row>28</xdr:row>
      <xdr:rowOff>96441</xdr:rowOff>
    </xdr:to>
    <xdr:cxnSp macro="">
      <xdr:nvCxnSpPr>
        <xdr:cNvPr id="53" name="Rovná spojovacia šípka 52">
          <a:extLst>
            <a:ext uri="{FF2B5EF4-FFF2-40B4-BE49-F238E27FC236}">
              <a16:creationId xmlns:a16="http://schemas.microsoft.com/office/drawing/2014/main" id="{A1149F37-8E13-4EEB-872B-447D4C7C1536}"/>
            </a:ext>
          </a:extLst>
        </xdr:cNvPr>
        <xdr:cNvCxnSpPr/>
      </xdr:nvCxnSpPr>
      <xdr:spPr>
        <a:xfrm flipH="1">
          <a:off x="13414056" y="4575810"/>
          <a:ext cx="4764" cy="694611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219074</xdr:colOff>
      <xdr:row>27</xdr:row>
      <xdr:rowOff>185738</xdr:rowOff>
    </xdr:from>
    <xdr:to>
      <xdr:col>18</xdr:col>
      <xdr:colOff>373856</xdr:colOff>
      <xdr:row>29</xdr:row>
      <xdr:rowOff>101203</xdr:rowOff>
    </xdr:to>
    <xdr:sp macro="" textlink="">
      <xdr:nvSpPr>
        <xdr:cNvPr id="54" name="BlokTextu 53">
          <a:extLst>
            <a:ext uri="{FF2B5EF4-FFF2-40B4-BE49-F238E27FC236}">
              <a16:creationId xmlns:a16="http://schemas.microsoft.com/office/drawing/2014/main" id="{D841920F-7B20-488B-842E-D4D2B3BE8B52}"/>
            </a:ext>
          </a:extLst>
        </xdr:cNvPr>
        <xdr:cNvSpPr txBox="1"/>
      </xdr:nvSpPr>
      <xdr:spPr>
        <a:xfrm>
          <a:off x="13294994" y="5176838"/>
          <a:ext cx="1434942" cy="281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15</xdr:col>
      <xdr:colOff>260746</xdr:colOff>
      <xdr:row>31</xdr:row>
      <xdr:rowOff>107156</xdr:rowOff>
    </xdr:from>
    <xdr:to>
      <xdr:col>15</xdr:col>
      <xdr:colOff>538162</xdr:colOff>
      <xdr:row>33</xdr:row>
      <xdr:rowOff>23812</xdr:rowOff>
    </xdr:to>
    <xdr:sp macro="" textlink="">
      <xdr:nvSpPr>
        <xdr:cNvPr id="55" name="BlokTextu 54">
          <a:extLst>
            <a:ext uri="{FF2B5EF4-FFF2-40B4-BE49-F238E27FC236}">
              <a16:creationId xmlns:a16="http://schemas.microsoft.com/office/drawing/2014/main" id="{48AAE8AA-929F-49EB-91A3-A920B6EE6620}"/>
            </a:ext>
          </a:extLst>
        </xdr:cNvPr>
        <xdr:cNvSpPr txBox="1"/>
      </xdr:nvSpPr>
      <xdr:spPr>
        <a:xfrm>
          <a:off x="12696586" y="5829776"/>
          <a:ext cx="277416" cy="28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13</xdr:col>
      <xdr:colOff>76200</xdr:colOff>
      <xdr:row>31</xdr:row>
      <xdr:rowOff>182165</xdr:rowOff>
    </xdr:from>
    <xdr:to>
      <xdr:col>13</xdr:col>
      <xdr:colOff>357187</xdr:colOff>
      <xdr:row>33</xdr:row>
      <xdr:rowOff>98821</xdr:rowOff>
    </xdr:to>
    <xdr:sp macro="" textlink="">
      <xdr:nvSpPr>
        <xdr:cNvPr id="56" name="BlokTextu 55">
          <a:extLst>
            <a:ext uri="{FF2B5EF4-FFF2-40B4-BE49-F238E27FC236}">
              <a16:creationId xmlns:a16="http://schemas.microsoft.com/office/drawing/2014/main" id="{F5A129F6-2A35-4096-A22D-6559A39DB9FE}"/>
            </a:ext>
          </a:extLst>
        </xdr:cNvPr>
        <xdr:cNvSpPr txBox="1"/>
      </xdr:nvSpPr>
      <xdr:spPr>
        <a:xfrm>
          <a:off x="11231880" y="5904785"/>
          <a:ext cx="280987" cy="28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14</xdr:col>
      <xdr:colOff>558402</xdr:colOff>
      <xdr:row>32</xdr:row>
      <xdr:rowOff>35719</xdr:rowOff>
    </xdr:from>
    <xdr:to>
      <xdr:col>15</xdr:col>
      <xdr:colOff>338137</xdr:colOff>
      <xdr:row>33</xdr:row>
      <xdr:rowOff>142875</xdr:rowOff>
    </xdr:to>
    <xdr:sp macro="" textlink="">
      <xdr:nvSpPr>
        <xdr:cNvPr id="57" name="BlokTextu 56">
          <a:extLst>
            <a:ext uri="{FF2B5EF4-FFF2-40B4-BE49-F238E27FC236}">
              <a16:creationId xmlns:a16="http://schemas.microsoft.com/office/drawing/2014/main" id="{47AD0185-71FB-443C-AD7E-2759B24970CE}"/>
            </a:ext>
          </a:extLst>
        </xdr:cNvPr>
        <xdr:cNvSpPr txBox="1"/>
      </xdr:nvSpPr>
      <xdr:spPr>
        <a:xfrm>
          <a:off x="12354162" y="5941219"/>
          <a:ext cx="419815" cy="2900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16</xdr:col>
      <xdr:colOff>195261</xdr:colOff>
      <xdr:row>29</xdr:row>
      <xdr:rowOff>154781</xdr:rowOff>
    </xdr:from>
    <xdr:to>
      <xdr:col>18</xdr:col>
      <xdr:colOff>350043</xdr:colOff>
      <xdr:row>31</xdr:row>
      <xdr:rowOff>71437</xdr:rowOff>
    </xdr:to>
    <xdr:sp macro="" textlink="">
      <xdr:nvSpPr>
        <xdr:cNvPr id="58" name="BlokTextu 57">
          <a:extLst>
            <a:ext uri="{FF2B5EF4-FFF2-40B4-BE49-F238E27FC236}">
              <a16:creationId xmlns:a16="http://schemas.microsoft.com/office/drawing/2014/main" id="{E23ED9ED-0AB1-4F80-9382-3CA8A24D1DAC}"/>
            </a:ext>
          </a:extLst>
        </xdr:cNvPr>
        <xdr:cNvSpPr txBox="1"/>
      </xdr:nvSpPr>
      <xdr:spPr>
        <a:xfrm>
          <a:off x="13271181" y="5511641"/>
          <a:ext cx="1434942" cy="28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16</xdr:col>
      <xdr:colOff>183355</xdr:colOff>
      <xdr:row>23</xdr:row>
      <xdr:rowOff>47625</xdr:rowOff>
    </xdr:from>
    <xdr:to>
      <xdr:col>18</xdr:col>
      <xdr:colOff>338137</xdr:colOff>
      <xdr:row>24</xdr:row>
      <xdr:rowOff>154781</xdr:rowOff>
    </xdr:to>
    <xdr:sp macro="" textlink="">
      <xdr:nvSpPr>
        <xdr:cNvPr id="59" name="BlokTextu 58">
          <a:extLst>
            <a:ext uri="{FF2B5EF4-FFF2-40B4-BE49-F238E27FC236}">
              <a16:creationId xmlns:a16="http://schemas.microsoft.com/office/drawing/2014/main" id="{92A57D49-3C60-4165-9529-D95A7668941D}"/>
            </a:ext>
          </a:extLst>
        </xdr:cNvPr>
        <xdr:cNvSpPr txBox="1"/>
      </xdr:nvSpPr>
      <xdr:spPr>
        <a:xfrm>
          <a:off x="13259275" y="4307205"/>
          <a:ext cx="1434942" cy="2900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13</xdr:col>
      <xdr:colOff>323848</xdr:colOff>
      <xdr:row>33</xdr:row>
      <xdr:rowOff>132159</xdr:rowOff>
    </xdr:from>
    <xdr:to>
      <xdr:col>15</xdr:col>
      <xdr:colOff>478629</xdr:colOff>
      <xdr:row>35</xdr:row>
      <xdr:rowOff>48815</xdr:rowOff>
    </xdr:to>
    <xdr:sp macro="" textlink="">
      <xdr:nvSpPr>
        <xdr:cNvPr id="60" name="BlokTextu 59">
          <a:extLst>
            <a:ext uri="{FF2B5EF4-FFF2-40B4-BE49-F238E27FC236}">
              <a16:creationId xmlns:a16="http://schemas.microsoft.com/office/drawing/2014/main" id="{EAEEFD84-03F9-4D69-B333-6887CC850237}"/>
            </a:ext>
          </a:extLst>
        </xdr:cNvPr>
        <xdr:cNvSpPr txBox="1"/>
      </xdr:nvSpPr>
      <xdr:spPr>
        <a:xfrm>
          <a:off x="11479528" y="6220539"/>
          <a:ext cx="1434941" cy="28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najazdené kilometre</a:t>
          </a:r>
        </a:p>
      </xdr:txBody>
    </xdr:sp>
    <xdr:clientData/>
  </xdr:twoCellAnchor>
  <xdr:twoCellAnchor>
    <xdr:from>
      <xdr:col>16</xdr:col>
      <xdr:colOff>91677</xdr:colOff>
      <xdr:row>31</xdr:row>
      <xdr:rowOff>90487</xdr:rowOff>
    </xdr:from>
    <xdr:to>
      <xdr:col>18</xdr:col>
      <xdr:colOff>246459</xdr:colOff>
      <xdr:row>33</xdr:row>
      <xdr:rowOff>7143</xdr:rowOff>
    </xdr:to>
    <xdr:sp macro="" textlink="">
      <xdr:nvSpPr>
        <xdr:cNvPr id="61" name="BlokTextu 60">
          <a:extLst>
            <a:ext uri="{FF2B5EF4-FFF2-40B4-BE49-F238E27FC236}">
              <a16:creationId xmlns:a16="http://schemas.microsoft.com/office/drawing/2014/main" id="{809C667F-2F84-4471-9AE0-F40728C7CCB9}"/>
            </a:ext>
          </a:extLst>
        </xdr:cNvPr>
        <xdr:cNvSpPr txBox="1"/>
      </xdr:nvSpPr>
      <xdr:spPr>
        <a:xfrm>
          <a:off x="13167597" y="5813107"/>
          <a:ext cx="1434942" cy="28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výkon</a:t>
          </a:r>
        </a:p>
      </xdr:txBody>
    </xdr:sp>
    <xdr:clientData/>
  </xdr:twoCellAnchor>
  <xdr:twoCellAnchor>
    <xdr:from>
      <xdr:col>16</xdr:col>
      <xdr:colOff>383379</xdr:colOff>
      <xdr:row>25</xdr:row>
      <xdr:rowOff>150018</xdr:rowOff>
    </xdr:from>
    <xdr:to>
      <xdr:col>17</xdr:col>
      <xdr:colOff>485774</xdr:colOff>
      <xdr:row>28</xdr:row>
      <xdr:rowOff>66675</xdr:rowOff>
    </xdr:to>
    <xdr:sp macro="" textlink="">
      <xdr:nvSpPr>
        <xdr:cNvPr id="62" name="BlokTextu 61">
          <a:extLst>
            <a:ext uri="{FF2B5EF4-FFF2-40B4-BE49-F238E27FC236}">
              <a16:creationId xmlns:a16="http://schemas.microsoft.com/office/drawing/2014/main" id="{CBB28D56-AC49-4490-BEDF-E4E175D96554}"/>
            </a:ext>
          </a:extLst>
        </xdr:cNvPr>
        <xdr:cNvSpPr txBox="1"/>
      </xdr:nvSpPr>
      <xdr:spPr>
        <a:xfrm>
          <a:off x="13459299" y="4775358"/>
          <a:ext cx="742475" cy="4652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vek auta</a:t>
          </a:r>
        </a:p>
      </xdr:txBody>
    </xdr:sp>
    <xdr:clientData/>
  </xdr:twoCellAnchor>
  <xdr:twoCellAnchor>
    <xdr:from>
      <xdr:col>15</xdr:col>
      <xdr:colOff>485775</xdr:colOff>
      <xdr:row>30</xdr:row>
      <xdr:rowOff>180975</xdr:rowOff>
    </xdr:from>
    <xdr:to>
      <xdr:col>16</xdr:col>
      <xdr:colOff>247650</xdr:colOff>
      <xdr:row>32</xdr:row>
      <xdr:rowOff>50005</xdr:rowOff>
    </xdr:to>
    <xdr:cxnSp macro="">
      <xdr:nvCxnSpPr>
        <xdr:cNvPr id="63" name="Rovná spojovacia šípka 62">
          <a:extLst>
            <a:ext uri="{FF2B5EF4-FFF2-40B4-BE49-F238E27FC236}">
              <a16:creationId xmlns:a16="http://schemas.microsoft.com/office/drawing/2014/main" id="{45641BC6-3DA7-41D7-A414-8ECB820C1990}"/>
            </a:ext>
          </a:extLst>
        </xdr:cNvPr>
        <xdr:cNvCxnSpPr/>
      </xdr:nvCxnSpPr>
      <xdr:spPr>
        <a:xfrm flipV="1">
          <a:off x="12921615" y="5720715"/>
          <a:ext cx="401955" cy="23479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685800</xdr:colOff>
      <xdr:row>24</xdr:row>
      <xdr:rowOff>109538</xdr:rowOff>
    </xdr:from>
    <xdr:to>
      <xdr:col>16</xdr:col>
      <xdr:colOff>304800</xdr:colOff>
      <xdr:row>27</xdr:row>
      <xdr:rowOff>9525</xdr:rowOff>
    </xdr:to>
    <xdr:sp macro="" textlink="">
      <xdr:nvSpPr>
        <xdr:cNvPr id="64" name="BlokTextu 63">
          <a:extLst>
            <a:ext uri="{FF2B5EF4-FFF2-40B4-BE49-F238E27FC236}">
              <a16:creationId xmlns:a16="http://schemas.microsoft.com/office/drawing/2014/main" id="{45D3DA40-4BD8-4F36-8009-F0850AD56B7B}"/>
            </a:ext>
          </a:extLst>
        </xdr:cNvPr>
        <xdr:cNvSpPr txBox="1"/>
      </xdr:nvSpPr>
      <xdr:spPr>
        <a:xfrm>
          <a:off x="15363825" y="4500563"/>
          <a:ext cx="1276350" cy="4429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 b="1"/>
            <a:t>11800</a:t>
          </a:r>
        </a:p>
        <a:p>
          <a:r>
            <a:rPr lang="sk-SK" sz="1000" b="1"/>
            <a:t>11600</a:t>
          </a:r>
        </a:p>
      </xdr:txBody>
    </xdr:sp>
    <xdr:clientData/>
  </xdr:twoCellAnchor>
  <xdr:twoCellAnchor>
    <xdr:from>
      <xdr:col>14</xdr:col>
      <xdr:colOff>733426</xdr:colOff>
      <xdr:row>31</xdr:row>
      <xdr:rowOff>71437</xdr:rowOff>
    </xdr:from>
    <xdr:to>
      <xdr:col>16</xdr:col>
      <xdr:colOff>323850</xdr:colOff>
      <xdr:row>33</xdr:row>
      <xdr:rowOff>142875</xdr:rowOff>
    </xdr:to>
    <xdr:sp macro="" textlink="">
      <xdr:nvSpPr>
        <xdr:cNvPr id="65" name="BlokTextu 64">
          <a:extLst>
            <a:ext uri="{FF2B5EF4-FFF2-40B4-BE49-F238E27FC236}">
              <a16:creationId xmlns:a16="http://schemas.microsoft.com/office/drawing/2014/main" id="{F43030EC-5321-4717-91A1-E57FFA95B8A5}"/>
            </a:ext>
          </a:extLst>
        </xdr:cNvPr>
        <xdr:cNvSpPr txBox="1"/>
      </xdr:nvSpPr>
      <xdr:spPr>
        <a:xfrm>
          <a:off x="15411451" y="5729287"/>
          <a:ext cx="1247774" cy="4333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900" b="1"/>
            <a:t>14490</a:t>
          </a:r>
        </a:p>
        <a:p>
          <a:r>
            <a:rPr lang="sk-SK" sz="900" b="1"/>
            <a:t>12900</a:t>
          </a:r>
        </a:p>
        <a:p>
          <a:endParaRPr lang="sk-SK" sz="900" b="1"/>
        </a:p>
      </xdr:txBody>
    </xdr:sp>
    <xdr:clientData/>
  </xdr:twoCellAnchor>
  <xdr:twoCellAnchor>
    <xdr:from>
      <xdr:col>13</xdr:col>
      <xdr:colOff>123825</xdr:colOff>
      <xdr:row>23</xdr:row>
      <xdr:rowOff>114300</xdr:rowOff>
    </xdr:from>
    <xdr:to>
      <xdr:col>14</xdr:col>
      <xdr:colOff>205978</xdr:colOff>
      <xdr:row>26</xdr:row>
      <xdr:rowOff>0</xdr:rowOff>
    </xdr:to>
    <xdr:sp macro="" textlink="">
      <xdr:nvSpPr>
        <xdr:cNvPr id="66" name="BlokTextu 65">
          <a:extLst>
            <a:ext uri="{FF2B5EF4-FFF2-40B4-BE49-F238E27FC236}">
              <a16:creationId xmlns:a16="http://schemas.microsoft.com/office/drawing/2014/main" id="{6D72C394-107B-40B9-BE20-A8E64AD450F5}"/>
            </a:ext>
          </a:extLst>
        </xdr:cNvPr>
        <xdr:cNvSpPr txBox="1"/>
      </xdr:nvSpPr>
      <xdr:spPr>
        <a:xfrm>
          <a:off x="13954125" y="4324350"/>
          <a:ext cx="929878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 b="1"/>
            <a:t>10685</a:t>
          </a:r>
        </a:p>
        <a:p>
          <a:r>
            <a:rPr lang="sk-SK" sz="1000" b="1"/>
            <a:t>12001</a:t>
          </a:r>
        </a:p>
        <a:p>
          <a:endParaRPr lang="sk-SK" sz="1000" b="1"/>
        </a:p>
      </xdr:txBody>
    </xdr:sp>
    <xdr:clientData/>
  </xdr:twoCellAnchor>
  <xdr:twoCellAnchor>
    <xdr:from>
      <xdr:col>15</xdr:col>
      <xdr:colOff>76198</xdr:colOff>
      <xdr:row>27</xdr:row>
      <xdr:rowOff>95250</xdr:rowOff>
    </xdr:from>
    <xdr:to>
      <xdr:col>16</xdr:col>
      <xdr:colOff>38100</xdr:colOff>
      <xdr:row>31</xdr:row>
      <xdr:rowOff>9525</xdr:rowOff>
    </xdr:to>
    <xdr:sp macro="" textlink="">
      <xdr:nvSpPr>
        <xdr:cNvPr id="68" name="BlokTextu 67">
          <a:extLst>
            <a:ext uri="{FF2B5EF4-FFF2-40B4-BE49-F238E27FC236}">
              <a16:creationId xmlns:a16="http://schemas.microsoft.com/office/drawing/2014/main" id="{A1420577-9651-4E42-8C5D-F67D5C874471}"/>
            </a:ext>
          </a:extLst>
        </xdr:cNvPr>
        <xdr:cNvSpPr txBox="1"/>
      </xdr:nvSpPr>
      <xdr:spPr>
        <a:xfrm>
          <a:off x="9925048" y="5029200"/>
          <a:ext cx="571502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 b="1"/>
            <a:t>17800</a:t>
          </a:r>
        </a:p>
        <a:p>
          <a:r>
            <a:rPr lang="sk-SK" sz="1000" b="1"/>
            <a:t>22000</a:t>
          </a:r>
        </a:p>
        <a:p>
          <a:endParaRPr lang="sk-SK" sz="1000"/>
        </a:p>
      </xdr:txBody>
    </xdr:sp>
    <xdr:clientData/>
  </xdr:twoCellAnchor>
  <xdr:twoCellAnchor>
    <xdr:from>
      <xdr:col>15</xdr:col>
      <xdr:colOff>332184</xdr:colOff>
      <xdr:row>20</xdr:row>
      <xdr:rowOff>142874</xdr:rowOff>
    </xdr:from>
    <xdr:to>
      <xdr:col>16</xdr:col>
      <xdr:colOff>457200</xdr:colOff>
      <xdr:row>23</xdr:row>
      <xdr:rowOff>66675</xdr:rowOff>
    </xdr:to>
    <xdr:sp macro="" textlink="">
      <xdr:nvSpPr>
        <xdr:cNvPr id="69" name="BlokTextu 68">
          <a:extLst>
            <a:ext uri="{FF2B5EF4-FFF2-40B4-BE49-F238E27FC236}">
              <a16:creationId xmlns:a16="http://schemas.microsoft.com/office/drawing/2014/main" id="{888FE28B-BA7C-4A95-A809-D84C43D2C262}"/>
            </a:ext>
          </a:extLst>
        </xdr:cNvPr>
        <xdr:cNvSpPr txBox="1"/>
      </xdr:nvSpPr>
      <xdr:spPr>
        <a:xfrm>
          <a:off x="10181034" y="3809999"/>
          <a:ext cx="734616" cy="4667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 b="1"/>
            <a:t>15400</a:t>
          </a:r>
        </a:p>
        <a:p>
          <a:r>
            <a:rPr lang="sk-SK" sz="1000" b="1"/>
            <a:t>18000</a:t>
          </a:r>
        </a:p>
      </xdr:txBody>
    </xdr:sp>
    <xdr:clientData/>
  </xdr:twoCellAnchor>
  <xdr:twoCellAnchor>
    <xdr:from>
      <xdr:col>13</xdr:col>
      <xdr:colOff>733424</xdr:colOff>
      <xdr:row>20</xdr:row>
      <xdr:rowOff>180974</xdr:rowOff>
    </xdr:from>
    <xdr:to>
      <xdr:col>14</xdr:col>
      <xdr:colOff>876300</xdr:colOff>
      <xdr:row>23</xdr:row>
      <xdr:rowOff>95250</xdr:rowOff>
    </xdr:to>
    <xdr:sp macro="" textlink="">
      <xdr:nvSpPr>
        <xdr:cNvPr id="70" name="BlokTextu 69">
          <a:extLst>
            <a:ext uri="{FF2B5EF4-FFF2-40B4-BE49-F238E27FC236}">
              <a16:creationId xmlns:a16="http://schemas.microsoft.com/office/drawing/2014/main" id="{D4AD776A-007D-4CE7-A055-959AC81B84F7}"/>
            </a:ext>
          </a:extLst>
        </xdr:cNvPr>
        <xdr:cNvSpPr txBox="1"/>
      </xdr:nvSpPr>
      <xdr:spPr>
        <a:xfrm>
          <a:off x="14563724" y="3848099"/>
          <a:ext cx="990601" cy="4572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 b="1"/>
            <a:t>18500</a:t>
          </a:r>
        </a:p>
        <a:p>
          <a:r>
            <a:rPr lang="sk-SK" sz="1000" b="1"/>
            <a:t>19000</a:t>
          </a:r>
        </a:p>
      </xdr:txBody>
    </xdr:sp>
    <xdr:clientData/>
  </xdr:twoCellAnchor>
  <xdr:twoCellAnchor>
    <xdr:from>
      <xdr:col>14</xdr:col>
      <xdr:colOff>254793</xdr:colOff>
      <xdr:row>27</xdr:row>
      <xdr:rowOff>126205</xdr:rowOff>
    </xdr:from>
    <xdr:to>
      <xdr:col>15</xdr:col>
      <xdr:colOff>85723</xdr:colOff>
      <xdr:row>29</xdr:row>
      <xdr:rowOff>173354</xdr:rowOff>
    </xdr:to>
    <xdr:sp macro="" textlink="">
      <xdr:nvSpPr>
        <xdr:cNvPr id="71" name="BlokTextu 70">
          <a:extLst>
            <a:ext uri="{FF2B5EF4-FFF2-40B4-BE49-F238E27FC236}">
              <a16:creationId xmlns:a16="http://schemas.microsoft.com/office/drawing/2014/main" id="{4006C342-865E-480F-A56E-F7B818C2F4DE}"/>
            </a:ext>
          </a:extLst>
        </xdr:cNvPr>
        <xdr:cNvSpPr txBox="1"/>
      </xdr:nvSpPr>
      <xdr:spPr>
        <a:xfrm>
          <a:off x="14932818" y="5060155"/>
          <a:ext cx="878680" cy="40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 b="1"/>
            <a:t>23000</a:t>
          </a:r>
        </a:p>
        <a:p>
          <a:r>
            <a:rPr lang="sk-SK" sz="1000" b="1"/>
            <a:t>23990</a:t>
          </a:r>
        </a:p>
        <a:p>
          <a:endParaRPr lang="sk-SK" sz="1000" b="1"/>
        </a:p>
      </xdr:txBody>
    </xdr:sp>
    <xdr:clientData/>
  </xdr:twoCellAnchor>
  <xdr:twoCellAnchor>
    <xdr:from>
      <xdr:col>17</xdr:col>
      <xdr:colOff>428625</xdr:colOff>
      <xdr:row>25</xdr:row>
      <xdr:rowOff>19050</xdr:rowOff>
    </xdr:from>
    <xdr:to>
      <xdr:col>20</xdr:col>
      <xdr:colOff>9525</xdr:colOff>
      <xdr:row>27</xdr:row>
      <xdr:rowOff>95250</xdr:rowOff>
    </xdr:to>
    <xdr:sp macro="" textlink="">
      <xdr:nvSpPr>
        <xdr:cNvPr id="72" name="BlokTextu 71">
          <a:extLst>
            <a:ext uri="{FF2B5EF4-FFF2-40B4-BE49-F238E27FC236}">
              <a16:creationId xmlns:a16="http://schemas.microsoft.com/office/drawing/2014/main" id="{EA98CDB5-CAC0-4397-8034-19A6DF547425}"/>
            </a:ext>
          </a:extLst>
        </xdr:cNvPr>
        <xdr:cNvSpPr txBox="1"/>
      </xdr:nvSpPr>
      <xdr:spPr>
        <a:xfrm>
          <a:off x="11496675" y="4591050"/>
          <a:ext cx="1409700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900" i="1">
              <a:solidFill>
                <a:sysClr val="windowText" lastClr="000000"/>
              </a:solidFill>
            </a:rPr>
            <a:t>C</a:t>
          </a:r>
          <a:r>
            <a:rPr lang="sk-SK" sz="900" i="1" baseline="0">
              <a:solidFill>
                <a:sysClr val="windowText" lastClr="000000"/>
              </a:solidFill>
            </a:rPr>
            <a:t> plot s priemernými nameranými hodnotami</a:t>
          </a:r>
          <a:endParaRPr lang="sk-SK" sz="900" i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495300</xdr:colOff>
      <xdr:row>27</xdr:row>
      <xdr:rowOff>114300</xdr:rowOff>
    </xdr:from>
    <xdr:to>
      <xdr:col>19</xdr:col>
      <xdr:colOff>495300</xdr:colOff>
      <xdr:row>27</xdr:row>
      <xdr:rowOff>114300</xdr:rowOff>
    </xdr:to>
    <xdr:cxnSp macro="">
      <xdr:nvCxnSpPr>
        <xdr:cNvPr id="73" name="Rovná spojovacia šípka 72">
          <a:extLst>
            <a:ext uri="{FF2B5EF4-FFF2-40B4-BE49-F238E27FC236}">
              <a16:creationId xmlns:a16="http://schemas.microsoft.com/office/drawing/2014/main" id="{3FCA6A79-7EF7-47E8-8893-D8B9D0F5DFBA}"/>
            </a:ext>
          </a:extLst>
        </xdr:cNvPr>
        <xdr:cNvCxnSpPr/>
      </xdr:nvCxnSpPr>
      <xdr:spPr>
        <a:xfrm>
          <a:off x="11563350" y="5048250"/>
          <a:ext cx="1219200" cy="0"/>
        </a:xfrm>
        <a:prstGeom prst="straightConnector1">
          <a:avLst/>
        </a:prstGeom>
        <a:ln w="38100">
          <a:solidFill>
            <a:schemeClr val="tx1"/>
          </a:solidFill>
          <a:prstDash val="lgDashDotDot"/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295275</xdr:colOff>
      <xdr:row>23</xdr:row>
      <xdr:rowOff>52388</xdr:rowOff>
    </xdr:from>
    <xdr:to>
      <xdr:col>23</xdr:col>
      <xdr:colOff>190499</xdr:colOff>
      <xdr:row>24</xdr:row>
      <xdr:rowOff>161925</xdr:rowOff>
    </xdr:to>
    <xdr:sp macro="" textlink="">
      <xdr:nvSpPr>
        <xdr:cNvPr id="74" name="BlokTextu 73">
          <a:extLst>
            <a:ext uri="{FF2B5EF4-FFF2-40B4-BE49-F238E27FC236}">
              <a16:creationId xmlns:a16="http://schemas.microsoft.com/office/drawing/2014/main" id="{C3BC3C13-AED8-48D7-A676-A25003B9C7AD}"/>
            </a:ext>
          </a:extLst>
        </xdr:cNvPr>
        <xdr:cNvSpPr txBox="1"/>
      </xdr:nvSpPr>
      <xdr:spPr>
        <a:xfrm>
          <a:off x="14411325" y="4262438"/>
          <a:ext cx="504824" cy="2905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 b="1"/>
            <a:t>11700</a:t>
          </a:r>
        </a:p>
        <a:p>
          <a:endParaRPr lang="sk-SK" sz="1000" b="1"/>
        </a:p>
      </xdr:txBody>
    </xdr:sp>
    <xdr:clientData/>
  </xdr:twoCellAnchor>
  <xdr:twoCellAnchor>
    <xdr:from>
      <xdr:col>22</xdr:col>
      <xdr:colOff>161924</xdr:colOff>
      <xdr:row>30</xdr:row>
      <xdr:rowOff>14287</xdr:rowOff>
    </xdr:from>
    <xdr:to>
      <xdr:col>23</xdr:col>
      <xdr:colOff>133349</xdr:colOff>
      <xdr:row>31</xdr:row>
      <xdr:rowOff>95250</xdr:rowOff>
    </xdr:to>
    <xdr:sp macro="" textlink="">
      <xdr:nvSpPr>
        <xdr:cNvPr id="75" name="BlokTextu 74">
          <a:extLst>
            <a:ext uri="{FF2B5EF4-FFF2-40B4-BE49-F238E27FC236}">
              <a16:creationId xmlns:a16="http://schemas.microsoft.com/office/drawing/2014/main" id="{D17D31A5-ECCF-4994-A5BE-35499AE369B2}"/>
            </a:ext>
          </a:extLst>
        </xdr:cNvPr>
        <xdr:cNvSpPr txBox="1"/>
      </xdr:nvSpPr>
      <xdr:spPr>
        <a:xfrm>
          <a:off x="14277974" y="5491162"/>
          <a:ext cx="581025" cy="2619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 b="1"/>
            <a:t>13695</a:t>
          </a:r>
        </a:p>
      </xdr:txBody>
    </xdr:sp>
    <xdr:clientData/>
  </xdr:twoCellAnchor>
  <xdr:twoCellAnchor>
    <xdr:from>
      <xdr:col>20</xdr:col>
      <xdr:colOff>104775</xdr:colOff>
      <xdr:row>23</xdr:row>
      <xdr:rowOff>171450</xdr:rowOff>
    </xdr:from>
    <xdr:to>
      <xdr:col>21</xdr:col>
      <xdr:colOff>129778</xdr:colOff>
      <xdr:row>26</xdr:row>
      <xdr:rowOff>57150</xdr:rowOff>
    </xdr:to>
    <xdr:sp macro="" textlink="">
      <xdr:nvSpPr>
        <xdr:cNvPr id="76" name="BlokTextu 75">
          <a:extLst>
            <a:ext uri="{FF2B5EF4-FFF2-40B4-BE49-F238E27FC236}">
              <a16:creationId xmlns:a16="http://schemas.microsoft.com/office/drawing/2014/main" id="{55E0F08B-05C7-460B-BC63-9A9FFDC5A6B5}"/>
            </a:ext>
          </a:extLst>
        </xdr:cNvPr>
        <xdr:cNvSpPr txBox="1"/>
      </xdr:nvSpPr>
      <xdr:spPr>
        <a:xfrm>
          <a:off x="16289655" y="4431030"/>
          <a:ext cx="634603" cy="4343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 b="1"/>
            <a:t>11343</a:t>
          </a:r>
        </a:p>
      </xdr:txBody>
    </xdr:sp>
    <xdr:clientData/>
  </xdr:twoCellAnchor>
  <xdr:twoCellAnchor>
    <xdr:from>
      <xdr:col>20</xdr:col>
      <xdr:colOff>76200</xdr:colOff>
      <xdr:row>30</xdr:row>
      <xdr:rowOff>105965</xdr:rowOff>
    </xdr:from>
    <xdr:to>
      <xdr:col>21</xdr:col>
      <xdr:colOff>41672</xdr:colOff>
      <xdr:row>32</xdr:row>
      <xdr:rowOff>142874</xdr:rowOff>
    </xdr:to>
    <xdr:sp macro="" textlink="">
      <xdr:nvSpPr>
        <xdr:cNvPr id="77" name="BlokTextu 76">
          <a:extLst>
            <a:ext uri="{FF2B5EF4-FFF2-40B4-BE49-F238E27FC236}">
              <a16:creationId xmlns:a16="http://schemas.microsoft.com/office/drawing/2014/main" id="{DD3AF6D0-7E00-4E55-A8ED-E88AFA37E89A}"/>
            </a:ext>
          </a:extLst>
        </xdr:cNvPr>
        <xdr:cNvSpPr txBox="1"/>
      </xdr:nvSpPr>
      <xdr:spPr>
        <a:xfrm>
          <a:off x="12973050" y="5582840"/>
          <a:ext cx="575072" cy="3988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 b="1"/>
            <a:t>15450</a:t>
          </a:r>
        </a:p>
        <a:p>
          <a:endParaRPr lang="sk-SK" sz="1000" b="1"/>
        </a:p>
      </xdr:txBody>
    </xdr:sp>
    <xdr:clientData/>
  </xdr:twoCellAnchor>
  <xdr:twoCellAnchor>
    <xdr:from>
      <xdr:col>23</xdr:col>
      <xdr:colOff>38098</xdr:colOff>
      <xdr:row>28</xdr:row>
      <xdr:rowOff>95250</xdr:rowOff>
    </xdr:from>
    <xdr:to>
      <xdr:col>23</xdr:col>
      <xdr:colOff>561973</xdr:colOff>
      <xdr:row>29</xdr:row>
      <xdr:rowOff>104775</xdr:rowOff>
    </xdr:to>
    <xdr:sp macro="" textlink="">
      <xdr:nvSpPr>
        <xdr:cNvPr id="78" name="BlokTextu 77">
          <a:extLst>
            <a:ext uri="{FF2B5EF4-FFF2-40B4-BE49-F238E27FC236}">
              <a16:creationId xmlns:a16="http://schemas.microsoft.com/office/drawing/2014/main" id="{AA36D51C-21F7-4BA0-8D8D-F9F8A547C0CE}"/>
            </a:ext>
          </a:extLst>
        </xdr:cNvPr>
        <xdr:cNvSpPr txBox="1"/>
      </xdr:nvSpPr>
      <xdr:spPr>
        <a:xfrm>
          <a:off x="14763748" y="5210175"/>
          <a:ext cx="52387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 b="1"/>
            <a:t>19900</a:t>
          </a:r>
        </a:p>
        <a:p>
          <a:endParaRPr lang="sk-SK" sz="1000"/>
        </a:p>
      </xdr:txBody>
    </xdr:sp>
    <xdr:clientData/>
  </xdr:twoCellAnchor>
  <xdr:twoCellAnchor>
    <xdr:from>
      <xdr:col>23</xdr:col>
      <xdr:colOff>171449</xdr:colOff>
      <xdr:row>21</xdr:row>
      <xdr:rowOff>104775</xdr:rowOff>
    </xdr:from>
    <xdr:to>
      <xdr:col>24</xdr:col>
      <xdr:colOff>104774</xdr:colOff>
      <xdr:row>23</xdr:row>
      <xdr:rowOff>21431</xdr:rowOff>
    </xdr:to>
    <xdr:sp macro="" textlink="">
      <xdr:nvSpPr>
        <xdr:cNvPr id="79" name="BlokTextu 78">
          <a:extLst>
            <a:ext uri="{FF2B5EF4-FFF2-40B4-BE49-F238E27FC236}">
              <a16:creationId xmlns:a16="http://schemas.microsoft.com/office/drawing/2014/main" id="{E32ABA9D-BD76-4936-9977-095CD95DEF03}"/>
            </a:ext>
          </a:extLst>
        </xdr:cNvPr>
        <xdr:cNvSpPr txBox="1"/>
      </xdr:nvSpPr>
      <xdr:spPr>
        <a:xfrm>
          <a:off x="18185129" y="3998595"/>
          <a:ext cx="542925" cy="28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 b="1"/>
            <a:t>16700</a:t>
          </a:r>
        </a:p>
      </xdr:txBody>
    </xdr:sp>
    <xdr:clientData/>
  </xdr:twoCellAnchor>
  <xdr:twoCellAnchor>
    <xdr:from>
      <xdr:col>21</xdr:col>
      <xdr:colOff>76199</xdr:colOff>
      <xdr:row>21</xdr:row>
      <xdr:rowOff>152400</xdr:rowOff>
    </xdr:from>
    <xdr:to>
      <xdr:col>22</xdr:col>
      <xdr:colOff>255982</xdr:colOff>
      <xdr:row>23</xdr:row>
      <xdr:rowOff>69056</xdr:rowOff>
    </xdr:to>
    <xdr:sp macro="" textlink="">
      <xdr:nvSpPr>
        <xdr:cNvPr id="80" name="BlokTextu 79">
          <a:extLst>
            <a:ext uri="{FF2B5EF4-FFF2-40B4-BE49-F238E27FC236}">
              <a16:creationId xmlns:a16="http://schemas.microsoft.com/office/drawing/2014/main" id="{F194D516-97C1-4AE1-9284-58E7D32657E2}"/>
            </a:ext>
          </a:extLst>
        </xdr:cNvPr>
        <xdr:cNvSpPr txBox="1"/>
      </xdr:nvSpPr>
      <xdr:spPr>
        <a:xfrm>
          <a:off x="16870679" y="4046220"/>
          <a:ext cx="789383" cy="28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 b="1"/>
            <a:t>18750</a:t>
          </a:r>
        </a:p>
      </xdr:txBody>
    </xdr:sp>
    <xdr:clientData/>
  </xdr:twoCellAnchor>
  <xdr:twoCellAnchor>
    <xdr:from>
      <xdr:col>20</xdr:col>
      <xdr:colOff>607218</xdr:colOff>
      <xdr:row>28</xdr:row>
      <xdr:rowOff>69055</xdr:rowOff>
    </xdr:from>
    <xdr:to>
      <xdr:col>21</xdr:col>
      <xdr:colOff>581023</xdr:colOff>
      <xdr:row>30</xdr:row>
      <xdr:rowOff>123824</xdr:rowOff>
    </xdr:to>
    <xdr:sp macro="" textlink="">
      <xdr:nvSpPr>
        <xdr:cNvPr id="81" name="BlokTextu 80">
          <a:extLst>
            <a:ext uri="{FF2B5EF4-FFF2-40B4-BE49-F238E27FC236}">
              <a16:creationId xmlns:a16="http://schemas.microsoft.com/office/drawing/2014/main" id="{8D7CDD81-F669-472A-9890-31DFCFDAE644}"/>
            </a:ext>
          </a:extLst>
        </xdr:cNvPr>
        <xdr:cNvSpPr txBox="1"/>
      </xdr:nvSpPr>
      <xdr:spPr>
        <a:xfrm>
          <a:off x="16792098" y="5243035"/>
          <a:ext cx="583405" cy="4205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 b="1"/>
            <a:t>23495</a:t>
          </a:r>
        </a:p>
        <a:p>
          <a:endParaRPr lang="sk-SK" sz="1000" b="1"/>
        </a:p>
      </xdr:txBody>
    </xdr:sp>
    <xdr:clientData/>
  </xdr:twoCellAnchor>
  <xdr:twoCellAnchor>
    <xdr:from>
      <xdr:col>13</xdr:col>
      <xdr:colOff>85725</xdr:colOff>
      <xdr:row>30</xdr:row>
      <xdr:rowOff>38100</xdr:rowOff>
    </xdr:from>
    <xdr:to>
      <xdr:col>14</xdr:col>
      <xdr:colOff>167878</xdr:colOff>
      <xdr:row>32</xdr:row>
      <xdr:rowOff>104775</xdr:rowOff>
    </xdr:to>
    <xdr:sp macro="" textlink="">
      <xdr:nvSpPr>
        <xdr:cNvPr id="82" name="BlokTextu 81">
          <a:extLst>
            <a:ext uri="{FF2B5EF4-FFF2-40B4-BE49-F238E27FC236}">
              <a16:creationId xmlns:a16="http://schemas.microsoft.com/office/drawing/2014/main" id="{DD3FB76B-DCF2-475B-A29C-824785DCEC95}"/>
            </a:ext>
          </a:extLst>
        </xdr:cNvPr>
        <xdr:cNvSpPr txBox="1"/>
      </xdr:nvSpPr>
      <xdr:spPr>
        <a:xfrm>
          <a:off x="13916025" y="5514975"/>
          <a:ext cx="929878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 b="1"/>
            <a:t>15500</a:t>
          </a:r>
        </a:p>
        <a:p>
          <a:r>
            <a:rPr lang="sk-SK" sz="1000" b="1"/>
            <a:t>15400</a:t>
          </a:r>
        </a:p>
        <a:p>
          <a:endParaRPr lang="sk-SK" sz="1000" b="1"/>
        </a:p>
      </xdr:txBody>
    </xdr:sp>
    <xdr:clientData/>
  </xdr:twoCellAnchor>
  <xdr:twoCellAnchor editAs="oneCell">
    <xdr:from>
      <xdr:col>3</xdr:col>
      <xdr:colOff>866273</xdr:colOff>
      <xdr:row>305</xdr:row>
      <xdr:rowOff>40104</xdr:rowOff>
    </xdr:from>
    <xdr:to>
      <xdr:col>4</xdr:col>
      <xdr:colOff>666658</xdr:colOff>
      <xdr:row>307</xdr:row>
      <xdr:rowOff>64166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2A924CE7-CC13-42A9-8B50-49F66C813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3747" y="55080567"/>
          <a:ext cx="1581058" cy="393031"/>
        </a:xfrm>
        <a:prstGeom prst="rect">
          <a:avLst/>
        </a:prstGeom>
      </xdr:spPr>
    </xdr:pic>
    <xdr:clientData/>
  </xdr:twoCellAnchor>
  <xdr:twoCellAnchor editAs="oneCell">
    <xdr:from>
      <xdr:col>3</xdr:col>
      <xdr:colOff>176463</xdr:colOff>
      <xdr:row>308</xdr:row>
      <xdr:rowOff>40105</xdr:rowOff>
    </xdr:from>
    <xdr:to>
      <xdr:col>4</xdr:col>
      <xdr:colOff>889967</xdr:colOff>
      <xdr:row>310</xdr:row>
      <xdr:rowOff>128845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CAC49A2D-BB3B-4839-A777-6926947AF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23937" y="55634021"/>
          <a:ext cx="2494177" cy="457708"/>
        </a:xfrm>
        <a:prstGeom prst="rect">
          <a:avLst/>
        </a:prstGeom>
      </xdr:spPr>
    </xdr:pic>
    <xdr:clientData/>
  </xdr:twoCellAnchor>
  <xdr:twoCellAnchor>
    <xdr:from>
      <xdr:col>13</xdr:col>
      <xdr:colOff>150769</xdr:colOff>
      <xdr:row>348</xdr:row>
      <xdr:rowOff>100962</xdr:rowOff>
    </xdr:from>
    <xdr:to>
      <xdr:col>19</xdr:col>
      <xdr:colOff>558983</xdr:colOff>
      <xdr:row>358</xdr:row>
      <xdr:rowOff>111031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4CB89D83-E676-83ED-648E-90CB5C5926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161924</xdr:colOff>
      <xdr:row>500</xdr:row>
      <xdr:rowOff>125412</xdr:rowOff>
    </xdr:from>
    <xdr:to>
      <xdr:col>13</xdr:col>
      <xdr:colOff>685800</xdr:colOff>
      <xdr:row>518</xdr:row>
      <xdr:rowOff>25400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6319F410-5D02-5CE1-5754-BF7885B4B8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190500</xdr:colOff>
      <xdr:row>518</xdr:row>
      <xdr:rowOff>171450</xdr:rowOff>
    </xdr:from>
    <xdr:to>
      <xdr:col>13</xdr:col>
      <xdr:colOff>714376</xdr:colOff>
      <xdr:row>536</xdr:row>
      <xdr:rowOff>119063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B495E865-1AEB-4AD7-976C-E7C3B1430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180975</xdr:colOff>
      <xdr:row>537</xdr:row>
      <xdr:rowOff>0</xdr:rowOff>
    </xdr:from>
    <xdr:to>
      <xdr:col>13</xdr:col>
      <xdr:colOff>704851</xdr:colOff>
      <xdr:row>554</xdr:row>
      <xdr:rowOff>128588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5D458391-9660-4584-83F0-57A195E2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1209675</xdr:colOff>
      <xdr:row>574</xdr:row>
      <xdr:rowOff>123824</xdr:rowOff>
    </xdr:from>
    <xdr:to>
      <xdr:col>5</xdr:col>
      <xdr:colOff>1190625</xdr:colOff>
      <xdr:row>592</xdr:row>
      <xdr:rowOff>95249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14EC478E-5721-05E0-5568-974D1CB141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599</xdr:row>
      <xdr:rowOff>180974</xdr:rowOff>
    </xdr:from>
    <xdr:to>
      <xdr:col>6</xdr:col>
      <xdr:colOff>9525</xdr:colOff>
      <xdr:row>618</xdr:row>
      <xdr:rowOff>19050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3333F2F0-47FF-41FA-0B6C-E59A4342E2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914400</xdr:colOff>
      <xdr:row>574</xdr:row>
      <xdr:rowOff>152400</xdr:rowOff>
    </xdr:from>
    <xdr:to>
      <xdr:col>12</xdr:col>
      <xdr:colOff>171450</xdr:colOff>
      <xdr:row>592</xdr:row>
      <xdr:rowOff>95250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B7482DD4-C957-6722-9637-69E5858494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971549</xdr:colOff>
      <xdr:row>600</xdr:row>
      <xdr:rowOff>4762</xdr:rowOff>
    </xdr:from>
    <xdr:to>
      <xdr:col>12</xdr:col>
      <xdr:colOff>485774</xdr:colOff>
      <xdr:row>618</xdr:row>
      <xdr:rowOff>38100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4460EE2C-B54F-3A95-7EB6-B2B5CC3CE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9525</xdr:colOff>
      <xdr:row>574</xdr:row>
      <xdr:rowOff>109537</xdr:rowOff>
    </xdr:from>
    <xdr:to>
      <xdr:col>19</xdr:col>
      <xdr:colOff>133350</xdr:colOff>
      <xdr:row>592</xdr:row>
      <xdr:rowOff>123824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id="{4256DE93-C875-2F92-D9EF-C46A1965BE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599</xdr:row>
      <xdr:rowOff>157162</xdr:rowOff>
    </xdr:from>
    <xdr:to>
      <xdr:col>19</xdr:col>
      <xdr:colOff>561975</xdr:colOff>
      <xdr:row>618</xdr:row>
      <xdr:rowOff>28574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id="{C22E15F4-3CDE-42F4-BD55-943F4F1303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854075</xdr:colOff>
      <xdr:row>658</xdr:row>
      <xdr:rowOff>174625</xdr:rowOff>
    </xdr:from>
    <xdr:to>
      <xdr:col>12</xdr:col>
      <xdr:colOff>363657</xdr:colOff>
      <xdr:row>669</xdr:row>
      <xdr:rowOff>6350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id="{5E830E57-F254-22E9-743C-022C4177F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337675" y="111261525"/>
          <a:ext cx="3954582" cy="1787525"/>
        </a:xfrm>
        <a:prstGeom prst="rect">
          <a:avLst/>
        </a:prstGeom>
      </xdr:spPr>
    </xdr:pic>
    <xdr:clientData/>
  </xdr:twoCellAnchor>
  <xdr:twoCellAnchor>
    <xdr:from>
      <xdr:col>7</xdr:col>
      <xdr:colOff>733425</xdr:colOff>
      <xdr:row>328</xdr:row>
      <xdr:rowOff>176213</xdr:rowOff>
    </xdr:from>
    <xdr:to>
      <xdr:col>12</xdr:col>
      <xdr:colOff>866775</xdr:colOff>
      <xdr:row>344</xdr:row>
      <xdr:rowOff>14288</xdr:rowOff>
    </xdr:to>
    <mc:AlternateContent xmlns:mc="http://schemas.openxmlformats.org/markup-compatibility/2006">
      <mc:Choice xmlns:cx1="http://schemas.microsoft.com/office/drawing/2015/9/8/chartex" xmlns="" Requires="cx1">
        <xdr:graphicFrame macro="">
          <xdr:nvGraphicFramePr>
            <xdr:cNvPr id="5" name="Graf 4">
              <a:extLst>
                <a:ext uri="{FF2B5EF4-FFF2-40B4-BE49-F238E27FC236}">
                  <a16:creationId xmlns:a16="http://schemas.microsoft.com/office/drawing/2014/main" id="{E6A146C1-1CED-E1AF-34E0-6DDDFBE7592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4"/>
            </a:graphicData>
          </a:graphic>
        </xdr:graphicFrame>
      </mc:Choice>
      <mc:Fallback>
        <xdr:sp macro="" textlink="">
          <xdr:nvSpPr>
            <xdr:cNvPr id="5" name="Obdĺžnik 4"/>
            <xdr:cNvSpPr>
              <a:spLocks noTextEdit="1"/>
            </xdr:cNvSpPr>
          </xdr:nvSpPr>
          <xdr:spPr>
            <a:xfrm>
              <a:off x="9229725" y="56556593"/>
              <a:ext cx="4575810" cy="2771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graf nie je k dispozícii vo vašej verzii programu Excel.
Ak tento tvar upravíte alebo ak zošit uložíte v inom formáte súboru, graf sa natrvalo poškodí.</a:t>
              </a:r>
            </a:p>
          </xdr:txBody>
        </xdr:sp>
      </mc:Fallback>
    </mc:AlternateContent>
    <xdr:clientData/>
  </xdr:twoCellAnchor>
  <xdr:twoCellAnchor>
    <xdr:from>
      <xdr:col>7</xdr:col>
      <xdr:colOff>742950</xdr:colOff>
      <xdr:row>344</xdr:row>
      <xdr:rowOff>109538</xdr:rowOff>
    </xdr:from>
    <xdr:to>
      <xdr:col>12</xdr:col>
      <xdr:colOff>876300</xdr:colOff>
      <xdr:row>359</xdr:row>
      <xdr:rowOff>128588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90DED508-1712-6CCE-C9FD-AF98CD98FF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200025</xdr:colOff>
      <xdr:row>329</xdr:row>
      <xdr:rowOff>4763</xdr:rowOff>
    </xdr:from>
    <xdr:to>
      <xdr:col>19</xdr:col>
      <xdr:colOff>38100</xdr:colOff>
      <xdr:row>344</xdr:row>
      <xdr:rowOff>23813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2D07C1C8-5C78-421A-1FA0-D6BCABE203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20</xdr:col>
      <xdr:colOff>238121</xdr:colOff>
      <xdr:row>321</xdr:row>
      <xdr:rowOff>63500</xdr:rowOff>
    </xdr:from>
    <xdr:to>
      <xdr:col>28</xdr:col>
      <xdr:colOff>368300</xdr:colOff>
      <xdr:row>341</xdr:row>
      <xdr:rowOff>101600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id="{206EB9B9-2F6B-43BB-839A-2840FCA95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20</xdr:col>
      <xdr:colOff>239482</xdr:colOff>
      <xdr:row>359</xdr:row>
      <xdr:rowOff>185054</xdr:rowOff>
    </xdr:from>
    <xdr:to>
      <xdr:col>28</xdr:col>
      <xdr:colOff>402771</xdr:colOff>
      <xdr:row>376</xdr:row>
      <xdr:rowOff>87085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id="{C4909F3B-19D1-4C87-BC85-6EBC70775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20</xdr:col>
      <xdr:colOff>239485</xdr:colOff>
      <xdr:row>343</xdr:row>
      <xdr:rowOff>0</xdr:rowOff>
    </xdr:from>
    <xdr:to>
      <xdr:col>28</xdr:col>
      <xdr:colOff>402771</xdr:colOff>
      <xdr:row>359</xdr:row>
      <xdr:rowOff>54429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id="{FFBE69D4-F217-49B5-B553-83FD303FD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914399</xdr:colOff>
      <xdr:row>189</xdr:row>
      <xdr:rowOff>185055</xdr:rowOff>
    </xdr:from>
    <xdr:to>
      <xdr:col>9</xdr:col>
      <xdr:colOff>124267</xdr:colOff>
      <xdr:row>195</xdr:row>
      <xdr:rowOff>83145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53AEE63A-51E1-5D04-81D8-298476132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228113" y="35432998"/>
          <a:ext cx="3172268" cy="1019318"/>
        </a:xfrm>
        <a:prstGeom prst="rect">
          <a:avLst/>
        </a:prstGeom>
        <a:ln w="38100">
          <a:solidFill>
            <a:schemeClr val="accent5">
              <a:lumMod val="75000"/>
            </a:schemeClr>
          </a:solidFill>
        </a:ln>
      </xdr:spPr>
    </xdr:pic>
    <xdr:clientData/>
  </xdr:twoCellAnchor>
  <xdr:twoCellAnchor editAs="oneCell">
    <xdr:from>
      <xdr:col>4</xdr:col>
      <xdr:colOff>655053</xdr:colOff>
      <xdr:row>102</xdr:row>
      <xdr:rowOff>104535</xdr:rowOff>
    </xdr:from>
    <xdr:to>
      <xdr:col>8</xdr:col>
      <xdr:colOff>855580</xdr:colOff>
      <xdr:row>109</xdr:row>
      <xdr:rowOff>146529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id="{2243736D-121E-E069-DA8B-EFE63B6F3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801895" y="19234746"/>
          <a:ext cx="4424948" cy="1405572"/>
        </a:xfrm>
        <a:prstGeom prst="rect">
          <a:avLst/>
        </a:prstGeom>
        <a:ln w="38100">
          <a:solidFill>
            <a:schemeClr val="accent5">
              <a:lumMod val="75000"/>
            </a:schemeClr>
          </a:solidFill>
        </a:ln>
      </xdr:spPr>
    </xdr:pic>
    <xdr:clientData/>
  </xdr:twoCellAnchor>
  <xdr:twoCellAnchor editAs="oneCell">
    <xdr:from>
      <xdr:col>10</xdr:col>
      <xdr:colOff>347579</xdr:colOff>
      <xdr:row>82</xdr:row>
      <xdr:rowOff>13368</xdr:rowOff>
    </xdr:from>
    <xdr:to>
      <xdr:col>18</xdr:col>
      <xdr:colOff>284009</xdr:colOff>
      <xdr:row>95</xdr:row>
      <xdr:rowOff>85741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93574F94-9603-0C4A-5FDC-3756C6AA2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563684" y="15400421"/>
          <a:ext cx="6687483" cy="2505425"/>
        </a:xfrm>
        <a:prstGeom prst="rect">
          <a:avLst/>
        </a:prstGeom>
        <a:ln w="38100">
          <a:solidFill>
            <a:schemeClr val="accent5">
              <a:lumMod val="75000"/>
            </a:schemeClr>
          </a:solidFill>
        </a:ln>
      </xdr:spPr>
    </xdr:pic>
    <xdr:clientData/>
  </xdr:twoCellAnchor>
  <xdr:twoCellAnchor editAs="oneCell">
    <xdr:from>
      <xdr:col>10</xdr:col>
      <xdr:colOff>294106</xdr:colOff>
      <xdr:row>96</xdr:row>
      <xdr:rowOff>80211</xdr:rowOff>
    </xdr:from>
    <xdr:to>
      <xdr:col>18</xdr:col>
      <xdr:colOff>307474</xdr:colOff>
      <xdr:row>115</xdr:row>
      <xdr:rowOff>141500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E633B351-8AAB-93C2-BDEE-202BAB078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510211" y="18087474"/>
          <a:ext cx="6764421" cy="3670763"/>
        </a:xfrm>
        <a:prstGeom prst="rect">
          <a:avLst/>
        </a:prstGeom>
        <a:ln w="38100">
          <a:solidFill>
            <a:schemeClr val="accent5">
              <a:lumMod val="75000"/>
            </a:schemeClr>
          </a:solidFill>
        </a:ln>
      </xdr:spPr>
    </xdr:pic>
    <xdr:clientData/>
  </xdr:twoCellAnchor>
  <xdr:twoCellAnchor editAs="oneCell">
    <xdr:from>
      <xdr:col>18</xdr:col>
      <xdr:colOff>508000</xdr:colOff>
      <xdr:row>78</xdr:row>
      <xdr:rowOff>40105</xdr:rowOff>
    </xdr:from>
    <xdr:to>
      <xdr:col>29</xdr:col>
      <xdr:colOff>554905</xdr:colOff>
      <xdr:row>102</xdr:row>
      <xdr:rowOff>73321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id="{0E865759-CD82-E099-05CD-3F4CABCA7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475158" y="14678526"/>
          <a:ext cx="6811326" cy="4525006"/>
        </a:xfrm>
        <a:prstGeom prst="rect">
          <a:avLst/>
        </a:prstGeom>
        <a:ln w="38100">
          <a:solidFill>
            <a:schemeClr val="accent5">
              <a:lumMod val="75000"/>
            </a:schemeClr>
          </a:solidFill>
        </a:ln>
      </xdr:spPr>
    </xdr:pic>
    <xdr:clientData/>
  </xdr:twoCellAnchor>
  <xdr:twoCellAnchor editAs="oneCell">
    <xdr:from>
      <xdr:col>18</xdr:col>
      <xdr:colOff>534737</xdr:colOff>
      <xdr:row>104</xdr:row>
      <xdr:rowOff>120317</xdr:rowOff>
    </xdr:from>
    <xdr:to>
      <xdr:col>29</xdr:col>
      <xdr:colOff>600694</xdr:colOff>
      <xdr:row>128</xdr:row>
      <xdr:rowOff>115429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BFE1470C-F7FF-A8E3-C746-7D5DB705F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501895" y="19678317"/>
          <a:ext cx="6830378" cy="4486901"/>
        </a:xfrm>
        <a:prstGeom prst="rect">
          <a:avLst/>
        </a:prstGeom>
        <a:ln w="38100">
          <a:solidFill>
            <a:schemeClr val="accent5">
              <a:lumMod val="75000"/>
            </a:schemeClr>
          </a:solidFill>
        </a:ln>
      </xdr:spPr>
    </xdr:pic>
    <xdr:clientData/>
  </xdr:twoCellAnchor>
  <xdr:twoCellAnchor editAs="oneCell">
    <xdr:from>
      <xdr:col>12</xdr:col>
      <xdr:colOff>315685</xdr:colOff>
      <xdr:row>174</xdr:row>
      <xdr:rowOff>174171</xdr:rowOff>
    </xdr:from>
    <xdr:to>
      <xdr:col>19</xdr:col>
      <xdr:colOff>97366</xdr:colOff>
      <xdr:row>179</xdr:row>
      <xdr:rowOff>38212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17DEEBC8-0D25-4F74-A96B-69C69ADDD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3269685" y="32635371"/>
          <a:ext cx="5420481" cy="800212"/>
        </a:xfrm>
        <a:prstGeom prst="rect">
          <a:avLst/>
        </a:prstGeom>
        <a:ln w="38100">
          <a:solidFill>
            <a:schemeClr val="accent5">
              <a:lumMod val="75000"/>
            </a:schemeClr>
          </a:solidFill>
        </a:ln>
      </xdr:spPr>
    </xdr:pic>
    <xdr:clientData/>
  </xdr:twoCellAnchor>
  <xdr:twoCellAnchor editAs="oneCell">
    <xdr:from>
      <xdr:col>8</xdr:col>
      <xdr:colOff>816429</xdr:colOff>
      <xdr:row>181</xdr:row>
      <xdr:rowOff>76201</xdr:rowOff>
    </xdr:from>
    <xdr:to>
      <xdr:col>12</xdr:col>
      <xdr:colOff>369191</xdr:colOff>
      <xdr:row>187</xdr:row>
      <xdr:rowOff>61386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id="{664766B2-3164-EE02-77B0-196DD4A63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189029" y="33843687"/>
          <a:ext cx="3134162" cy="1095528"/>
        </a:xfrm>
        <a:prstGeom prst="rect">
          <a:avLst/>
        </a:prstGeom>
        <a:ln w="38100">
          <a:solidFill>
            <a:schemeClr val="accent5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21772</xdr:colOff>
      <xdr:row>214</xdr:row>
      <xdr:rowOff>10887</xdr:rowOff>
    </xdr:from>
    <xdr:to>
      <xdr:col>3</xdr:col>
      <xdr:colOff>390963</xdr:colOff>
      <xdr:row>220</xdr:row>
      <xdr:rowOff>3329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id="{93DB67A0-C964-4A39-9841-ADBDC2E29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31372" y="39188573"/>
          <a:ext cx="3134162" cy="1095528"/>
        </a:xfrm>
        <a:prstGeom prst="rect">
          <a:avLst/>
        </a:prstGeom>
        <a:ln w="38100">
          <a:solidFill>
            <a:schemeClr val="accent5">
              <a:lumMod val="75000"/>
            </a:schemeClr>
          </a:solidFill>
        </a:ln>
      </xdr:spPr>
    </xdr:pic>
    <xdr:clientData/>
  </xdr:twoCellAnchor>
  <xdr:twoCellAnchor editAs="oneCell">
    <xdr:from>
      <xdr:col>5</xdr:col>
      <xdr:colOff>892629</xdr:colOff>
      <xdr:row>199</xdr:row>
      <xdr:rowOff>1</xdr:rowOff>
    </xdr:from>
    <xdr:to>
      <xdr:col>9</xdr:col>
      <xdr:colOff>64391</xdr:colOff>
      <xdr:row>204</xdr:row>
      <xdr:rowOff>159358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id="{6A067220-D5B1-461C-8E99-D47B31033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206343" y="37120287"/>
          <a:ext cx="3134162" cy="1095528"/>
        </a:xfrm>
        <a:prstGeom prst="rect">
          <a:avLst/>
        </a:prstGeom>
        <a:ln w="38100">
          <a:solidFill>
            <a:schemeClr val="accent5">
              <a:lumMod val="75000"/>
            </a:schemeClr>
          </a:solidFill>
        </a:ln>
      </xdr:spPr>
    </xdr:pic>
    <xdr:clientData/>
  </xdr:twoCellAnchor>
  <xdr:twoCellAnchor editAs="oneCell">
    <xdr:from>
      <xdr:col>9</xdr:col>
      <xdr:colOff>587828</xdr:colOff>
      <xdr:row>360</xdr:row>
      <xdr:rowOff>43543</xdr:rowOff>
    </xdr:from>
    <xdr:to>
      <xdr:col>18</xdr:col>
      <xdr:colOff>357018</xdr:colOff>
      <xdr:row>386</xdr:row>
      <xdr:rowOff>171816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5FB5DA8C-5BED-C809-7684-FFFE3BAE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863942" y="64639372"/>
          <a:ext cx="7476276" cy="4987655"/>
        </a:xfrm>
        <a:prstGeom prst="rect">
          <a:avLst/>
        </a:prstGeom>
        <a:ln w="38100">
          <a:solidFill>
            <a:schemeClr val="accent5">
              <a:lumMod val="75000"/>
            </a:schemeClr>
          </a:solidFill>
        </a:ln>
      </xdr:spPr>
    </xdr:pic>
    <xdr:clientData/>
  </xdr:twoCellAnchor>
  <xdr:twoCellAnchor editAs="oneCell">
    <xdr:from>
      <xdr:col>17</xdr:col>
      <xdr:colOff>701040</xdr:colOff>
      <xdr:row>389</xdr:row>
      <xdr:rowOff>106680</xdr:rowOff>
    </xdr:from>
    <xdr:to>
      <xdr:col>31</xdr:col>
      <xdr:colOff>505508</xdr:colOff>
      <xdr:row>419</xdr:row>
      <xdr:rowOff>137160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2ABDC121-D13F-7EEF-7361-6ADD29625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922240" y="71795640"/>
          <a:ext cx="8521748" cy="5669280"/>
        </a:xfrm>
        <a:prstGeom prst="rect">
          <a:avLst/>
        </a:prstGeom>
        <a:ln w="38100">
          <a:solidFill>
            <a:schemeClr val="accent5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863600</xdr:colOff>
      <xdr:row>531</xdr:row>
      <xdr:rowOff>165100</xdr:rowOff>
    </xdr:from>
    <xdr:to>
      <xdr:col>6</xdr:col>
      <xdr:colOff>835984</xdr:colOff>
      <xdr:row>557</xdr:row>
      <xdr:rowOff>105412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FEE86FD2-7FFD-291E-ACD2-FD9C2C295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473200" y="88620600"/>
          <a:ext cx="6868484" cy="4563112"/>
        </a:xfrm>
        <a:prstGeom prst="rect">
          <a:avLst/>
        </a:prstGeom>
        <a:ln w="38100">
          <a:solidFill>
            <a:schemeClr val="accent5">
              <a:lumMod val="75000"/>
            </a:schemeClr>
          </a:solidFill>
        </a:ln>
      </xdr:spPr>
    </xdr:pic>
    <xdr:clientData/>
  </xdr:twoCellAnchor>
  <xdr:twoCellAnchor editAs="oneCell">
    <xdr:from>
      <xdr:col>13</xdr:col>
      <xdr:colOff>0</xdr:colOff>
      <xdr:row>631</xdr:row>
      <xdr:rowOff>0</xdr:rowOff>
    </xdr:from>
    <xdr:to>
      <xdr:col>18</xdr:col>
      <xdr:colOff>248259</xdr:colOff>
      <xdr:row>646</xdr:row>
      <xdr:rowOff>149620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2D121F1D-E336-F7D5-12A9-8877FC9B6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3830300" y="106273600"/>
          <a:ext cx="4363059" cy="2829320"/>
        </a:xfrm>
        <a:prstGeom prst="rect">
          <a:avLst/>
        </a:prstGeom>
        <a:ln w="38100">
          <a:solidFill>
            <a:schemeClr val="accent5">
              <a:lumMod val="75000"/>
            </a:schemeClr>
          </a:solidFill>
        </a:ln>
      </xdr:spPr>
    </xdr:pic>
    <xdr:clientData/>
  </xdr:twoCellAnchor>
  <xdr:twoCellAnchor editAs="oneCell">
    <xdr:from>
      <xdr:col>6</xdr:col>
      <xdr:colOff>38100</xdr:colOff>
      <xdr:row>676</xdr:row>
      <xdr:rowOff>50800</xdr:rowOff>
    </xdr:from>
    <xdr:to>
      <xdr:col>11</xdr:col>
      <xdr:colOff>753208</xdr:colOff>
      <xdr:row>694</xdr:row>
      <xdr:rowOff>127457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7307BE84-EC36-87E4-E21E-D3F75C8B2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543800" y="114363500"/>
          <a:ext cx="5249008" cy="3277057"/>
        </a:xfrm>
        <a:prstGeom prst="rect">
          <a:avLst/>
        </a:prstGeom>
        <a:ln w="38100">
          <a:solidFill>
            <a:schemeClr val="accent5">
              <a:lumMod val="75000"/>
            </a:schemeClr>
          </a:solidFill>
        </a:ln>
      </xdr:spPr>
    </xdr:pic>
    <xdr:clientData/>
  </xdr:twoCellAnchor>
  <xdr:twoCellAnchor editAs="oneCell">
    <xdr:from>
      <xdr:col>6</xdr:col>
      <xdr:colOff>25400</xdr:colOff>
      <xdr:row>696</xdr:row>
      <xdr:rowOff>50800</xdr:rowOff>
    </xdr:from>
    <xdr:to>
      <xdr:col>13</xdr:col>
      <xdr:colOff>521652</xdr:colOff>
      <xdr:row>711</xdr:row>
      <xdr:rowOff>127383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174BCEE7-D562-A0CD-2280-63461E07B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531100" y="117919500"/>
          <a:ext cx="6820852" cy="2743583"/>
        </a:xfrm>
        <a:prstGeom prst="rect">
          <a:avLst/>
        </a:prstGeom>
        <a:ln w="38100">
          <a:solidFill>
            <a:schemeClr val="accent5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0</xdr:colOff>
      <xdr:row>440</xdr:row>
      <xdr:rowOff>0</xdr:rowOff>
    </xdr:from>
    <xdr:to>
      <xdr:col>4</xdr:col>
      <xdr:colOff>813094</xdr:colOff>
      <xdr:row>456</xdr:row>
      <xdr:rowOff>11301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122EC7DB-693F-9192-38EC-A60A7FB81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09600" y="78867000"/>
          <a:ext cx="5363323" cy="2972215"/>
        </a:xfrm>
        <a:prstGeom prst="rect">
          <a:avLst/>
        </a:prstGeom>
        <a:ln w="38100">
          <a:solidFill>
            <a:schemeClr val="accent5">
              <a:lumMod val="75000"/>
            </a:schemeClr>
          </a:solidFill>
        </a:ln>
      </xdr:spPr>
    </xdr:pic>
    <xdr:clientData/>
  </xdr:twoCellAnchor>
  <xdr:twoCellAnchor editAs="oneCell">
    <xdr:from>
      <xdr:col>7</xdr:col>
      <xdr:colOff>247650</xdr:colOff>
      <xdr:row>223</xdr:row>
      <xdr:rowOff>47638</xdr:rowOff>
    </xdr:from>
    <xdr:to>
      <xdr:col>12</xdr:col>
      <xdr:colOff>542925</xdr:colOff>
      <xdr:row>245</xdr:row>
      <xdr:rowOff>152414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C3624F7A-B1A0-EA0A-CA2B-BBD4D02AF3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62" t="8987" r="27819" b="9804"/>
        <a:stretch>
          <a:fillRect/>
        </a:stretch>
      </xdr:blipFill>
      <xdr:spPr>
        <a:xfrm rot="5400000">
          <a:off x="9048750" y="40386013"/>
          <a:ext cx="4105276" cy="4733925"/>
        </a:xfrm>
        <a:prstGeom prst="rect">
          <a:avLst/>
        </a:prstGeom>
        <a:ln w="38100"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10</xdr:col>
      <xdr:colOff>640080</xdr:colOff>
      <xdr:row>389</xdr:row>
      <xdr:rowOff>83925</xdr:rowOff>
    </xdr:from>
    <xdr:to>
      <xdr:col>17</xdr:col>
      <xdr:colOff>457200</xdr:colOff>
      <xdr:row>419</xdr:row>
      <xdr:rowOff>152406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A54A9351-D52D-1948-6FCE-9E7892D99C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1" t="2869" r="21898" b="4909"/>
        <a:stretch>
          <a:fillRect/>
        </a:stretch>
      </xdr:blipFill>
      <xdr:spPr>
        <a:xfrm rot="5400000">
          <a:off x="11913919" y="71715686"/>
          <a:ext cx="5707281" cy="5821680"/>
        </a:xfrm>
        <a:prstGeom prst="rect">
          <a:avLst/>
        </a:prstGeom>
        <a:ln w="38100"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8</xdr:col>
      <xdr:colOff>888999</xdr:colOff>
      <xdr:row>290</xdr:row>
      <xdr:rowOff>25404</xdr:rowOff>
    </xdr:from>
    <xdr:to>
      <xdr:col>15</xdr:col>
      <xdr:colOff>3715</xdr:colOff>
      <xdr:row>317</xdr:row>
      <xdr:rowOff>47624</xdr:rowOff>
    </xdr:to>
    <xdr:pic>
      <xdr:nvPicPr>
        <xdr:cNvPr id="106" name="Obrázok 105">
          <a:extLst>
            <a:ext uri="{FF2B5EF4-FFF2-40B4-BE49-F238E27FC236}">
              <a16:creationId xmlns:a16="http://schemas.microsoft.com/office/drawing/2014/main" id="{A274C73C-F6D9-CC6C-E929-B3B139F47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61" t="3495" r="25473" b="11958"/>
        <a:stretch>
          <a:fillRect/>
        </a:stretch>
      </xdr:blipFill>
      <xdr:spPr>
        <a:xfrm rot="5400000">
          <a:off x="10528572" y="52555506"/>
          <a:ext cx="4908545" cy="5480591"/>
        </a:xfrm>
        <a:prstGeom prst="rect">
          <a:avLst/>
        </a:prstGeom>
        <a:ln w="38100"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6</xdr:col>
      <xdr:colOff>584200</xdr:colOff>
      <xdr:row>467</xdr:row>
      <xdr:rowOff>21929</xdr:rowOff>
    </xdr:from>
    <xdr:to>
      <xdr:col>12</xdr:col>
      <xdr:colOff>435046</xdr:colOff>
      <xdr:row>495</xdr:row>
      <xdr:rowOff>139706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id="{E4E6373E-0D45-3344-1DA8-B0334B5D3E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75" t="3284" r="18600" b="11284"/>
        <a:stretch>
          <a:fillRect/>
        </a:stretch>
      </xdr:blipFill>
      <xdr:spPr>
        <a:xfrm rot="5400000">
          <a:off x="8140584" y="83727745"/>
          <a:ext cx="5172377" cy="5273746"/>
        </a:xfrm>
        <a:prstGeom prst="rect">
          <a:avLst/>
        </a:prstGeom>
        <a:ln w="38100"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12</xdr:col>
      <xdr:colOff>214441</xdr:colOff>
      <xdr:row>440</xdr:row>
      <xdr:rowOff>398</xdr:rowOff>
    </xdr:from>
    <xdr:to>
      <xdr:col>17</xdr:col>
      <xdr:colOff>380998</xdr:colOff>
      <xdr:row>462</xdr:row>
      <xdr:rowOff>127004</xdr:rowOff>
    </xdr:to>
    <xdr:pic>
      <xdr:nvPicPr>
        <xdr:cNvPr id="110" name="Obrázok 109">
          <a:extLst>
            <a:ext uri="{FF2B5EF4-FFF2-40B4-BE49-F238E27FC236}">
              <a16:creationId xmlns:a16="http://schemas.microsoft.com/office/drawing/2014/main" id="{5AE465F3-1AA6-4FFC-AEDA-B25A39F23C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7" t="4745" r="23356" b="18416"/>
        <a:stretch>
          <a:fillRect/>
        </a:stretch>
      </xdr:blipFill>
      <xdr:spPr>
        <a:xfrm rot="5400000">
          <a:off x="13321767" y="78777572"/>
          <a:ext cx="4038206" cy="4395657"/>
        </a:xfrm>
        <a:prstGeom prst="rect">
          <a:avLst/>
        </a:prstGeom>
        <a:ln w="38100"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9</xdr:col>
      <xdr:colOff>43541</xdr:colOff>
      <xdr:row>256</xdr:row>
      <xdr:rowOff>14472</xdr:rowOff>
    </xdr:from>
    <xdr:to>
      <xdr:col>14</xdr:col>
      <xdr:colOff>587828</xdr:colOff>
      <xdr:row>281</xdr:row>
      <xdr:rowOff>141519</xdr:rowOff>
    </xdr:to>
    <xdr:pic>
      <xdr:nvPicPr>
        <xdr:cNvPr id="112" name="Obrázok 111">
          <a:extLst>
            <a:ext uri="{FF2B5EF4-FFF2-40B4-BE49-F238E27FC236}">
              <a16:creationId xmlns:a16="http://schemas.microsoft.com/office/drawing/2014/main" id="{AB168CE4-59AE-9325-743B-7751C60724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74" t="6206" r="23810" b="12698"/>
        <a:stretch>
          <a:fillRect/>
        </a:stretch>
      </xdr:blipFill>
      <xdr:spPr>
        <a:xfrm rot="5400000">
          <a:off x="10430304" y="47637680"/>
          <a:ext cx="4753476" cy="4974773"/>
        </a:xfrm>
        <a:prstGeom prst="rect">
          <a:avLst/>
        </a:prstGeom>
        <a:ln w="38100"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autobazar.eu/vysledky/osobne-vozidla/skoda/?mileageFrom=50000&amp;mileageTo=100000&amp;yearFrom=2019&amp;yearTo=2022&amp;powerFrom=80&amp;powerTo=11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717"/>
  <sheetViews>
    <sheetView tabSelected="1" topLeftCell="A673" zoomScale="70" zoomScaleNormal="70" workbookViewId="0">
      <selection activeCell="L120" sqref="L120"/>
    </sheetView>
  </sheetViews>
  <sheetFormatPr defaultRowHeight="14.25"/>
  <cols>
    <col min="2" max="2" width="20.5" customWidth="1"/>
    <col min="3" max="3" width="19.75" customWidth="1"/>
    <col min="4" max="4" width="26" customWidth="1"/>
    <col min="5" max="5" width="16.875" customWidth="1"/>
    <col min="6" max="6" width="17.625" customWidth="1"/>
    <col min="7" max="7" width="14.25" customWidth="1"/>
    <col min="8" max="8" width="12.625" customWidth="1"/>
    <col min="9" max="9" width="13.125" customWidth="1"/>
    <col min="10" max="10" width="13.75" customWidth="1"/>
    <col min="11" max="11" width="12.375" customWidth="1"/>
    <col min="12" max="12" width="12.875" customWidth="1"/>
    <col min="13" max="13" width="13.25" customWidth="1"/>
    <col min="14" max="14" width="12.375" customWidth="1"/>
    <col min="15" max="15" width="15.25" customWidth="1"/>
    <col min="17" max="17" width="12.125" customWidth="1"/>
    <col min="18" max="18" width="11.5" customWidth="1"/>
  </cols>
  <sheetData>
    <row r="2" spans="2:8" ht="15">
      <c r="B2" s="3" t="s">
        <v>295</v>
      </c>
    </row>
    <row r="4" spans="2:8">
      <c r="B4" t="s">
        <v>0</v>
      </c>
    </row>
    <row r="5" spans="2:8">
      <c r="B5" s="139" t="s">
        <v>139</v>
      </c>
    </row>
    <row r="7" spans="2:8" ht="15">
      <c r="B7" s="1" t="s">
        <v>7</v>
      </c>
      <c r="C7" s="1"/>
    </row>
    <row r="8" spans="2:8">
      <c r="B8" s="11" t="s">
        <v>1</v>
      </c>
      <c r="C8" t="s">
        <v>2</v>
      </c>
      <c r="E8" t="s">
        <v>10</v>
      </c>
    </row>
    <row r="9" spans="2:8">
      <c r="B9" s="11" t="s">
        <v>5</v>
      </c>
      <c r="C9" t="s">
        <v>3</v>
      </c>
      <c r="E9" t="s">
        <v>16</v>
      </c>
    </row>
    <row r="10" spans="2:8">
      <c r="B10" s="11" t="s">
        <v>6</v>
      </c>
      <c r="C10" t="s">
        <v>4</v>
      </c>
      <c r="E10" t="s">
        <v>15</v>
      </c>
    </row>
    <row r="12" spans="2:8" ht="15">
      <c r="B12" s="1" t="s">
        <v>8</v>
      </c>
      <c r="C12" s="2"/>
    </row>
    <row r="13" spans="2:8">
      <c r="B13" s="11" t="s">
        <v>14</v>
      </c>
      <c r="C13" t="s">
        <v>9</v>
      </c>
    </row>
    <row r="15" spans="2:8" ht="15">
      <c r="B15" s="27" t="s">
        <v>11</v>
      </c>
      <c r="C15" s="28"/>
      <c r="D15" s="28"/>
      <c r="E15" s="28"/>
      <c r="F15" s="28"/>
      <c r="G15" s="28"/>
      <c r="H15" s="29"/>
    </row>
    <row r="17" spans="2:18">
      <c r="H17" t="s">
        <v>17</v>
      </c>
    </row>
    <row r="18" spans="2:18" ht="18">
      <c r="B18" s="4" t="s">
        <v>12</v>
      </c>
      <c r="C18" s="4" t="s">
        <v>13</v>
      </c>
      <c r="D18" s="4" t="s">
        <v>5</v>
      </c>
      <c r="E18" s="4" t="s">
        <v>6</v>
      </c>
      <c r="F18" s="4" t="s">
        <v>14</v>
      </c>
      <c r="H18" s="4" t="s">
        <v>18</v>
      </c>
      <c r="I18" s="4" t="s">
        <v>19</v>
      </c>
      <c r="J18" s="4" t="s">
        <v>20</v>
      </c>
      <c r="K18" s="4" t="s">
        <v>14</v>
      </c>
      <c r="R18" s="150" t="s">
        <v>296</v>
      </c>
    </row>
    <row r="19" spans="2:18">
      <c r="B19" s="5">
        <v>1</v>
      </c>
      <c r="C19" s="10">
        <v>50000</v>
      </c>
      <c r="D19" s="10">
        <v>80</v>
      </c>
      <c r="E19" s="10">
        <v>3</v>
      </c>
      <c r="F19" s="6">
        <v>15500</v>
      </c>
      <c r="H19" s="5">
        <f>(C19-$E$38)/$F$38</f>
        <v>-1</v>
      </c>
      <c r="I19" s="5">
        <f>(D19-$E$39)/$F$39</f>
        <v>-1</v>
      </c>
      <c r="J19" s="5">
        <f>(E19-$E$40)/$F$40</f>
        <v>-1</v>
      </c>
      <c r="K19" s="6">
        <v>15500</v>
      </c>
    </row>
    <row r="20" spans="2:18">
      <c r="B20" s="5">
        <v>2</v>
      </c>
      <c r="C20" s="10">
        <v>100000</v>
      </c>
      <c r="D20" s="10">
        <v>80</v>
      </c>
      <c r="E20" s="10">
        <v>3</v>
      </c>
      <c r="F20" s="6">
        <v>14490</v>
      </c>
      <c r="H20" s="5">
        <f t="shared" ref="H20:H34" si="0">(C20-$E$38)/$F$38</f>
        <v>1</v>
      </c>
      <c r="I20" s="5">
        <f t="shared" ref="I20:I34" si="1">(D20-$E$39)/$F$39</f>
        <v>-1</v>
      </c>
      <c r="J20" s="5">
        <f t="shared" ref="J20:J34" si="2">(E20-$E$40)/$F$40</f>
        <v>-1</v>
      </c>
      <c r="K20" s="6">
        <v>14490</v>
      </c>
    </row>
    <row r="21" spans="2:18">
      <c r="B21" s="5">
        <v>3</v>
      </c>
      <c r="C21" s="10">
        <v>50000</v>
      </c>
      <c r="D21" s="10">
        <v>110</v>
      </c>
      <c r="E21" s="10">
        <v>3</v>
      </c>
      <c r="F21" s="6">
        <v>23000</v>
      </c>
      <c r="H21" s="5">
        <f t="shared" si="0"/>
        <v>-1</v>
      </c>
      <c r="I21" s="5">
        <f t="shared" si="1"/>
        <v>1</v>
      </c>
      <c r="J21" s="5">
        <f t="shared" si="2"/>
        <v>-1</v>
      </c>
      <c r="K21" s="6">
        <v>23000</v>
      </c>
    </row>
    <row r="22" spans="2:18">
      <c r="B22" s="5">
        <v>4</v>
      </c>
      <c r="C22" s="10">
        <v>100000</v>
      </c>
      <c r="D22" s="10">
        <v>110</v>
      </c>
      <c r="E22" s="10">
        <v>3</v>
      </c>
      <c r="F22" s="6">
        <v>17800</v>
      </c>
      <c r="H22" s="5">
        <f t="shared" si="0"/>
        <v>1</v>
      </c>
      <c r="I22" s="5">
        <f t="shared" si="1"/>
        <v>1</v>
      </c>
      <c r="J22" s="5">
        <f t="shared" si="2"/>
        <v>-1</v>
      </c>
      <c r="K22" s="6">
        <v>17800</v>
      </c>
      <c r="O22" s="11"/>
      <c r="P22" s="11"/>
    </row>
    <row r="23" spans="2:18">
      <c r="B23" s="5">
        <v>5</v>
      </c>
      <c r="C23" s="10">
        <v>50000</v>
      </c>
      <c r="D23" s="10">
        <v>80</v>
      </c>
      <c r="E23" s="10">
        <v>6</v>
      </c>
      <c r="F23" s="6">
        <v>10685</v>
      </c>
      <c r="H23" s="5">
        <f t="shared" si="0"/>
        <v>-1</v>
      </c>
      <c r="I23" s="5">
        <f t="shared" si="1"/>
        <v>-1</v>
      </c>
      <c r="J23" s="5">
        <f t="shared" si="2"/>
        <v>1</v>
      </c>
      <c r="K23" s="6">
        <v>10685</v>
      </c>
      <c r="O23" s="11"/>
      <c r="P23" s="11"/>
    </row>
    <row r="24" spans="2:18">
      <c r="B24" s="5">
        <v>6</v>
      </c>
      <c r="C24" s="10">
        <v>100000</v>
      </c>
      <c r="D24" s="10">
        <v>80</v>
      </c>
      <c r="E24" s="10">
        <v>6</v>
      </c>
      <c r="F24" s="6">
        <v>11800</v>
      </c>
      <c r="H24" s="5">
        <f t="shared" si="0"/>
        <v>1</v>
      </c>
      <c r="I24" s="5">
        <f t="shared" si="1"/>
        <v>-1</v>
      </c>
      <c r="J24" s="5">
        <f t="shared" si="2"/>
        <v>1</v>
      </c>
      <c r="K24" s="6">
        <v>11800</v>
      </c>
      <c r="O24" s="11"/>
      <c r="P24" s="11"/>
    </row>
    <row r="25" spans="2:18">
      <c r="B25" s="5">
        <v>7</v>
      </c>
      <c r="C25" s="10">
        <v>50000</v>
      </c>
      <c r="D25" s="10">
        <v>110</v>
      </c>
      <c r="E25" s="10">
        <v>6</v>
      </c>
      <c r="F25" s="6">
        <v>18500</v>
      </c>
      <c r="H25" s="5">
        <f t="shared" si="0"/>
        <v>-1</v>
      </c>
      <c r="I25" s="5">
        <f t="shared" si="1"/>
        <v>1</v>
      </c>
      <c r="J25" s="5">
        <f t="shared" si="2"/>
        <v>1</v>
      </c>
      <c r="K25" s="6">
        <v>18500</v>
      </c>
      <c r="O25" s="11"/>
      <c r="P25" s="11"/>
    </row>
    <row r="26" spans="2:18">
      <c r="B26" s="5">
        <v>8</v>
      </c>
      <c r="C26" s="10">
        <v>100000</v>
      </c>
      <c r="D26" s="10">
        <v>110</v>
      </c>
      <c r="E26" s="10">
        <v>6</v>
      </c>
      <c r="F26" s="6">
        <v>15400</v>
      </c>
      <c r="H26" s="5">
        <f t="shared" si="0"/>
        <v>1</v>
      </c>
      <c r="I26" s="5">
        <f t="shared" si="1"/>
        <v>1</v>
      </c>
      <c r="J26" s="5">
        <f t="shared" si="2"/>
        <v>1</v>
      </c>
      <c r="K26" s="6">
        <v>15400</v>
      </c>
    </row>
    <row r="27" spans="2:18">
      <c r="B27" s="5">
        <v>9</v>
      </c>
      <c r="C27" s="10">
        <v>50000</v>
      </c>
      <c r="D27" s="10">
        <v>80</v>
      </c>
      <c r="E27" s="10">
        <v>3</v>
      </c>
      <c r="F27" s="6">
        <v>15400</v>
      </c>
      <c r="H27" s="5">
        <f t="shared" si="0"/>
        <v>-1</v>
      </c>
      <c r="I27" s="5">
        <f t="shared" si="1"/>
        <v>-1</v>
      </c>
      <c r="J27" s="5">
        <f t="shared" si="2"/>
        <v>-1</v>
      </c>
      <c r="K27" s="6">
        <v>15400</v>
      </c>
    </row>
    <row r="28" spans="2:18">
      <c r="B28" s="5">
        <v>10</v>
      </c>
      <c r="C28" s="10">
        <v>100000</v>
      </c>
      <c r="D28" s="10">
        <v>80</v>
      </c>
      <c r="E28" s="10">
        <v>3</v>
      </c>
      <c r="F28" s="6">
        <v>12900</v>
      </c>
      <c r="H28" s="5">
        <f t="shared" si="0"/>
        <v>1</v>
      </c>
      <c r="I28" s="5">
        <f t="shared" si="1"/>
        <v>-1</v>
      </c>
      <c r="J28" s="5">
        <f t="shared" si="2"/>
        <v>-1</v>
      </c>
      <c r="K28" s="6">
        <v>12900</v>
      </c>
    </row>
    <row r="29" spans="2:18">
      <c r="B29" s="5">
        <v>11</v>
      </c>
      <c r="C29" s="10">
        <v>50000</v>
      </c>
      <c r="D29" s="10">
        <v>110</v>
      </c>
      <c r="E29" s="10">
        <v>3</v>
      </c>
      <c r="F29" s="6">
        <v>23990</v>
      </c>
      <c r="H29" s="5">
        <f t="shared" si="0"/>
        <v>-1</v>
      </c>
      <c r="I29" s="5">
        <f t="shared" si="1"/>
        <v>1</v>
      </c>
      <c r="J29" s="5">
        <f t="shared" si="2"/>
        <v>-1</v>
      </c>
      <c r="K29" s="6">
        <v>23990</v>
      </c>
    </row>
    <row r="30" spans="2:18">
      <c r="B30" s="5">
        <v>12</v>
      </c>
      <c r="C30" s="10">
        <v>100000</v>
      </c>
      <c r="D30" s="10">
        <v>110</v>
      </c>
      <c r="E30" s="10">
        <v>3</v>
      </c>
      <c r="F30" s="6">
        <v>22000</v>
      </c>
      <c r="H30" s="5">
        <f t="shared" si="0"/>
        <v>1</v>
      </c>
      <c r="I30" s="5">
        <f t="shared" si="1"/>
        <v>1</v>
      </c>
      <c r="J30" s="5">
        <f t="shared" si="2"/>
        <v>-1</v>
      </c>
      <c r="K30" s="6">
        <v>22000</v>
      </c>
    </row>
    <row r="31" spans="2:18">
      <c r="B31" s="5">
        <v>13</v>
      </c>
      <c r="C31" s="10">
        <v>50000</v>
      </c>
      <c r="D31" s="10">
        <v>80</v>
      </c>
      <c r="E31" s="10">
        <v>6</v>
      </c>
      <c r="F31" s="6">
        <v>12001</v>
      </c>
      <c r="H31" s="5">
        <f t="shared" si="0"/>
        <v>-1</v>
      </c>
      <c r="I31" s="5">
        <f t="shared" si="1"/>
        <v>-1</v>
      </c>
      <c r="J31" s="5">
        <f t="shared" si="2"/>
        <v>1</v>
      </c>
      <c r="K31" s="6">
        <v>12001</v>
      </c>
    </row>
    <row r="32" spans="2:18">
      <c r="B32" s="5">
        <v>14</v>
      </c>
      <c r="C32" s="10">
        <v>100000</v>
      </c>
      <c r="D32" s="10">
        <v>80</v>
      </c>
      <c r="E32" s="10">
        <v>6</v>
      </c>
      <c r="F32" s="6">
        <v>11600</v>
      </c>
      <c r="H32" s="5">
        <f t="shared" si="0"/>
        <v>1</v>
      </c>
      <c r="I32" s="5">
        <f t="shared" si="1"/>
        <v>-1</v>
      </c>
      <c r="J32" s="5">
        <f t="shared" si="2"/>
        <v>1</v>
      </c>
      <c r="K32" s="6">
        <v>11600</v>
      </c>
    </row>
    <row r="33" spans="2:12">
      <c r="B33" s="5">
        <v>15</v>
      </c>
      <c r="C33" s="10">
        <v>50000</v>
      </c>
      <c r="D33" s="10">
        <v>110</v>
      </c>
      <c r="E33" s="10">
        <v>6</v>
      </c>
      <c r="F33" s="6">
        <v>19000</v>
      </c>
      <c r="H33" s="5">
        <f t="shared" si="0"/>
        <v>-1</v>
      </c>
      <c r="I33" s="5">
        <f t="shared" si="1"/>
        <v>1</v>
      </c>
      <c r="J33" s="5">
        <f t="shared" si="2"/>
        <v>1</v>
      </c>
      <c r="K33" s="6">
        <v>19000</v>
      </c>
    </row>
    <row r="34" spans="2:12">
      <c r="B34" s="5">
        <v>16</v>
      </c>
      <c r="C34" s="10">
        <v>100000</v>
      </c>
      <c r="D34" s="10">
        <v>110</v>
      </c>
      <c r="E34" s="10">
        <v>6</v>
      </c>
      <c r="F34" s="6">
        <v>18000</v>
      </c>
      <c r="H34" s="5">
        <f t="shared" si="0"/>
        <v>1</v>
      </c>
      <c r="I34" s="5">
        <f t="shared" si="1"/>
        <v>1</v>
      </c>
      <c r="J34" s="5">
        <f t="shared" si="2"/>
        <v>1</v>
      </c>
      <c r="K34" s="6">
        <v>18000</v>
      </c>
    </row>
    <row r="35" spans="2:12">
      <c r="G35" s="87"/>
    </row>
    <row r="37" spans="2:12" ht="15">
      <c r="B37" s="7"/>
      <c r="C37" s="22" t="s">
        <v>21</v>
      </c>
      <c r="D37" s="23" t="s">
        <v>22</v>
      </c>
      <c r="E37" s="24" t="s">
        <v>23</v>
      </c>
      <c r="F37" s="23" t="s">
        <v>24</v>
      </c>
    </row>
    <row r="38" spans="2:12" ht="15">
      <c r="B38" s="25" t="s">
        <v>13</v>
      </c>
      <c r="C38" s="13">
        <v>50000</v>
      </c>
      <c r="D38" s="14">
        <v>100000</v>
      </c>
      <c r="E38" s="13">
        <f>(C38+D38)/2</f>
        <v>75000</v>
      </c>
      <c r="F38" s="14">
        <f>(D38-C38)/2</f>
        <v>25000</v>
      </c>
    </row>
    <row r="39" spans="2:12" ht="15">
      <c r="B39" s="25" t="s">
        <v>5</v>
      </c>
      <c r="C39" s="16">
        <v>80</v>
      </c>
      <c r="D39" s="17">
        <v>110</v>
      </c>
      <c r="E39" s="16">
        <f>(C39+D39)/2</f>
        <v>95</v>
      </c>
      <c r="F39" s="17">
        <f>(D39-C39)/2</f>
        <v>15</v>
      </c>
    </row>
    <row r="40" spans="2:12" ht="15">
      <c r="B40" s="26" t="s">
        <v>6</v>
      </c>
      <c r="C40" s="19">
        <v>3</v>
      </c>
      <c r="D40" s="20">
        <v>6</v>
      </c>
      <c r="E40" s="19">
        <f>(C40+D40)/2</f>
        <v>4.5</v>
      </c>
      <c r="F40" s="20">
        <f>(D40-C40)/2</f>
        <v>1.5</v>
      </c>
    </row>
    <row r="43" spans="2:12" ht="15">
      <c r="B43" s="27" t="s">
        <v>25</v>
      </c>
      <c r="C43" s="28"/>
      <c r="D43" s="28"/>
      <c r="E43" s="28"/>
      <c r="F43" s="28"/>
      <c r="G43" s="28"/>
      <c r="H43" s="29"/>
    </row>
    <row r="45" spans="2:12">
      <c r="D45" s="11" t="s">
        <v>18</v>
      </c>
      <c r="E45" s="11" t="s">
        <v>19</v>
      </c>
      <c r="F45" s="11" t="s">
        <v>20</v>
      </c>
      <c r="G45" t="s">
        <v>26</v>
      </c>
      <c r="H45" t="s">
        <v>27</v>
      </c>
      <c r="I45" t="s">
        <v>28</v>
      </c>
      <c r="J45" t="s">
        <v>29</v>
      </c>
    </row>
    <row r="46" spans="2:12">
      <c r="C46" t="s">
        <v>30</v>
      </c>
      <c r="D46" s="11" t="s">
        <v>31</v>
      </c>
      <c r="E46" s="11" t="s">
        <v>32</v>
      </c>
      <c r="F46" s="11" t="s">
        <v>33</v>
      </c>
      <c r="G46" t="s">
        <v>34</v>
      </c>
      <c r="H46" t="s">
        <v>35</v>
      </c>
      <c r="I46" t="s">
        <v>36</v>
      </c>
      <c r="J46" t="s">
        <v>37</v>
      </c>
      <c r="L46" s="11" t="s">
        <v>14</v>
      </c>
    </row>
    <row r="47" spans="2:12">
      <c r="B47" s="32" t="s">
        <v>38</v>
      </c>
      <c r="C47" s="15">
        <v>1</v>
      </c>
      <c r="D47" s="30">
        <v>-1</v>
      </c>
      <c r="E47" s="30">
        <v>-1</v>
      </c>
      <c r="F47" s="30">
        <v>-1</v>
      </c>
      <c r="G47" s="30">
        <f>D47*E47</f>
        <v>1</v>
      </c>
      <c r="H47" s="30">
        <f>D47*F47</f>
        <v>1</v>
      </c>
      <c r="I47" s="30">
        <f>E47*F47</f>
        <v>1</v>
      </c>
      <c r="J47" s="14">
        <f>D47*E47*F47</f>
        <v>-1</v>
      </c>
      <c r="L47" s="13">
        <v>15500</v>
      </c>
    </row>
    <row r="48" spans="2:12">
      <c r="C48" s="18">
        <v>1</v>
      </c>
      <c r="D48" s="11">
        <v>1</v>
      </c>
      <c r="E48" s="11">
        <v>-1</v>
      </c>
      <c r="F48" s="11">
        <v>-1</v>
      </c>
      <c r="G48" s="11">
        <f t="shared" ref="G48:G62" si="3">D48*E48</f>
        <v>-1</v>
      </c>
      <c r="H48" s="11">
        <f t="shared" ref="H48:H62" si="4">D48*F48</f>
        <v>-1</v>
      </c>
      <c r="I48" s="11">
        <f t="shared" ref="I48:I62" si="5">E48*F48</f>
        <v>1</v>
      </c>
      <c r="J48" s="17">
        <f t="shared" ref="J48:J62" si="6">D48*E48*F48</f>
        <v>1</v>
      </c>
      <c r="L48" s="16">
        <v>14490</v>
      </c>
    </row>
    <row r="49" spans="2:18">
      <c r="C49" s="18">
        <v>1</v>
      </c>
      <c r="D49" s="11">
        <v>-1</v>
      </c>
      <c r="E49" s="11">
        <v>1</v>
      </c>
      <c r="F49" s="11">
        <v>-1</v>
      </c>
      <c r="G49" s="11">
        <f t="shared" si="3"/>
        <v>-1</v>
      </c>
      <c r="H49" s="11">
        <f t="shared" si="4"/>
        <v>1</v>
      </c>
      <c r="I49" s="11">
        <f t="shared" si="5"/>
        <v>-1</v>
      </c>
      <c r="J49" s="17">
        <f t="shared" si="6"/>
        <v>1</v>
      </c>
      <c r="L49" s="16">
        <v>23000</v>
      </c>
    </row>
    <row r="50" spans="2:18">
      <c r="C50" s="18">
        <v>1</v>
      </c>
      <c r="D50" s="11">
        <v>1</v>
      </c>
      <c r="E50" s="11">
        <v>1</v>
      </c>
      <c r="F50" s="11">
        <v>-1</v>
      </c>
      <c r="G50" s="11">
        <f t="shared" si="3"/>
        <v>1</v>
      </c>
      <c r="H50" s="11">
        <f t="shared" si="4"/>
        <v>-1</v>
      </c>
      <c r="I50" s="11">
        <f t="shared" si="5"/>
        <v>-1</v>
      </c>
      <c r="J50" s="17">
        <f t="shared" si="6"/>
        <v>-1</v>
      </c>
      <c r="L50" s="16">
        <v>17800</v>
      </c>
    </row>
    <row r="51" spans="2:18">
      <c r="C51" s="18">
        <v>1</v>
      </c>
      <c r="D51" s="11">
        <v>-1</v>
      </c>
      <c r="E51" s="11">
        <v>-1</v>
      </c>
      <c r="F51" s="11">
        <v>1</v>
      </c>
      <c r="G51" s="11">
        <f t="shared" si="3"/>
        <v>1</v>
      </c>
      <c r="H51" s="11">
        <f t="shared" si="4"/>
        <v>-1</v>
      </c>
      <c r="I51" s="11">
        <f t="shared" si="5"/>
        <v>-1</v>
      </c>
      <c r="J51" s="17">
        <f t="shared" si="6"/>
        <v>1</v>
      </c>
      <c r="L51" s="16">
        <v>10685</v>
      </c>
    </row>
    <row r="52" spans="2:18">
      <c r="C52" s="18">
        <v>1</v>
      </c>
      <c r="D52" s="11">
        <v>1</v>
      </c>
      <c r="E52" s="11">
        <v>-1</v>
      </c>
      <c r="F52" s="11">
        <v>1</v>
      </c>
      <c r="G52" s="11">
        <f t="shared" si="3"/>
        <v>-1</v>
      </c>
      <c r="H52" s="11">
        <f t="shared" si="4"/>
        <v>1</v>
      </c>
      <c r="I52" s="11">
        <f t="shared" si="5"/>
        <v>-1</v>
      </c>
      <c r="J52" s="17">
        <f t="shared" si="6"/>
        <v>-1</v>
      </c>
      <c r="L52" s="16">
        <v>11800</v>
      </c>
    </row>
    <row r="53" spans="2:18">
      <c r="C53" s="18">
        <v>1</v>
      </c>
      <c r="D53" s="11">
        <v>-1</v>
      </c>
      <c r="E53" s="11">
        <v>1</v>
      </c>
      <c r="F53" s="11">
        <v>1</v>
      </c>
      <c r="G53" s="11">
        <f t="shared" si="3"/>
        <v>-1</v>
      </c>
      <c r="H53" s="11">
        <f t="shared" si="4"/>
        <v>-1</v>
      </c>
      <c r="I53" s="11">
        <f t="shared" si="5"/>
        <v>1</v>
      </c>
      <c r="J53" s="17">
        <f t="shared" si="6"/>
        <v>-1</v>
      </c>
      <c r="L53" s="16">
        <v>18500</v>
      </c>
    </row>
    <row r="54" spans="2:18">
      <c r="C54" s="18">
        <v>1</v>
      </c>
      <c r="D54" s="11">
        <v>1</v>
      </c>
      <c r="E54" s="11">
        <v>1</v>
      </c>
      <c r="F54" s="11">
        <v>1</v>
      </c>
      <c r="G54" s="11">
        <f t="shared" si="3"/>
        <v>1</v>
      </c>
      <c r="H54" s="11">
        <f t="shared" si="4"/>
        <v>1</v>
      </c>
      <c r="I54" s="11">
        <f t="shared" si="5"/>
        <v>1</v>
      </c>
      <c r="J54" s="17">
        <f t="shared" si="6"/>
        <v>1</v>
      </c>
      <c r="L54" s="16">
        <v>15400</v>
      </c>
    </row>
    <row r="55" spans="2:18">
      <c r="C55" s="18">
        <v>1</v>
      </c>
      <c r="D55" s="11">
        <v>-1</v>
      </c>
      <c r="E55" s="11">
        <v>-1</v>
      </c>
      <c r="F55" s="11">
        <v>-1</v>
      </c>
      <c r="G55" s="11">
        <f t="shared" si="3"/>
        <v>1</v>
      </c>
      <c r="H55" s="11">
        <f t="shared" si="4"/>
        <v>1</v>
      </c>
      <c r="I55" s="11">
        <f t="shared" si="5"/>
        <v>1</v>
      </c>
      <c r="J55" s="17">
        <f t="shared" si="6"/>
        <v>-1</v>
      </c>
      <c r="L55" s="16">
        <v>15400</v>
      </c>
    </row>
    <row r="56" spans="2:18">
      <c r="C56" s="18">
        <v>1</v>
      </c>
      <c r="D56" s="11">
        <v>1</v>
      </c>
      <c r="E56" s="11">
        <v>-1</v>
      </c>
      <c r="F56" s="11">
        <v>-1</v>
      </c>
      <c r="G56" s="11">
        <f t="shared" si="3"/>
        <v>-1</v>
      </c>
      <c r="H56" s="11">
        <f t="shared" si="4"/>
        <v>-1</v>
      </c>
      <c r="I56" s="11">
        <f t="shared" si="5"/>
        <v>1</v>
      </c>
      <c r="J56" s="17">
        <f t="shared" si="6"/>
        <v>1</v>
      </c>
      <c r="L56" s="16">
        <v>12900</v>
      </c>
    </row>
    <row r="57" spans="2:18">
      <c r="C57" s="18">
        <v>1</v>
      </c>
      <c r="D57" s="11">
        <v>-1</v>
      </c>
      <c r="E57" s="11">
        <v>1</v>
      </c>
      <c r="F57" s="11">
        <v>-1</v>
      </c>
      <c r="G57" s="11">
        <f t="shared" si="3"/>
        <v>-1</v>
      </c>
      <c r="H57" s="11">
        <f t="shared" si="4"/>
        <v>1</v>
      </c>
      <c r="I57" s="11">
        <f t="shared" si="5"/>
        <v>-1</v>
      </c>
      <c r="J57" s="17">
        <f t="shared" si="6"/>
        <v>1</v>
      </c>
      <c r="L57" s="16">
        <v>23990</v>
      </c>
    </row>
    <row r="58" spans="2:18">
      <c r="C58" s="18">
        <v>1</v>
      </c>
      <c r="D58" s="11">
        <v>1</v>
      </c>
      <c r="E58" s="11">
        <v>1</v>
      </c>
      <c r="F58" s="11">
        <v>-1</v>
      </c>
      <c r="G58" s="11">
        <f t="shared" si="3"/>
        <v>1</v>
      </c>
      <c r="H58" s="11">
        <f t="shared" si="4"/>
        <v>-1</v>
      </c>
      <c r="I58" s="11">
        <f t="shared" si="5"/>
        <v>-1</v>
      </c>
      <c r="J58" s="17">
        <f t="shared" si="6"/>
        <v>-1</v>
      </c>
      <c r="L58" s="16">
        <v>22000</v>
      </c>
    </row>
    <row r="59" spans="2:18">
      <c r="C59" s="18">
        <v>1</v>
      </c>
      <c r="D59" s="11">
        <v>-1</v>
      </c>
      <c r="E59" s="11">
        <v>-1</v>
      </c>
      <c r="F59" s="11">
        <v>1</v>
      </c>
      <c r="G59" s="11">
        <f t="shared" si="3"/>
        <v>1</v>
      </c>
      <c r="H59" s="11">
        <f t="shared" si="4"/>
        <v>-1</v>
      </c>
      <c r="I59" s="11">
        <f t="shared" si="5"/>
        <v>-1</v>
      </c>
      <c r="J59" s="17">
        <f t="shared" si="6"/>
        <v>1</v>
      </c>
      <c r="L59" s="16">
        <v>12001</v>
      </c>
    </row>
    <row r="60" spans="2:18">
      <c r="C60" s="18">
        <v>1</v>
      </c>
      <c r="D60" s="11">
        <v>1</v>
      </c>
      <c r="E60" s="11">
        <v>-1</v>
      </c>
      <c r="F60" s="11">
        <v>1</v>
      </c>
      <c r="G60" s="11">
        <f t="shared" si="3"/>
        <v>-1</v>
      </c>
      <c r="H60" s="11">
        <f t="shared" si="4"/>
        <v>1</v>
      </c>
      <c r="I60" s="11">
        <f t="shared" si="5"/>
        <v>-1</v>
      </c>
      <c r="J60" s="17">
        <f t="shared" si="6"/>
        <v>-1</v>
      </c>
      <c r="L60" s="16">
        <v>11600</v>
      </c>
    </row>
    <row r="61" spans="2:18">
      <c r="C61" s="18">
        <v>1</v>
      </c>
      <c r="D61" s="11">
        <v>-1</v>
      </c>
      <c r="E61" s="11">
        <v>1</v>
      </c>
      <c r="F61" s="11">
        <v>1</v>
      </c>
      <c r="G61" s="11">
        <f t="shared" si="3"/>
        <v>-1</v>
      </c>
      <c r="H61" s="11">
        <f t="shared" si="4"/>
        <v>-1</v>
      </c>
      <c r="I61" s="11">
        <f t="shared" si="5"/>
        <v>1</v>
      </c>
      <c r="J61" s="17">
        <f t="shared" si="6"/>
        <v>-1</v>
      </c>
      <c r="L61" s="16">
        <v>19000</v>
      </c>
    </row>
    <row r="62" spans="2:18">
      <c r="C62" s="21">
        <v>1</v>
      </c>
      <c r="D62" s="31">
        <v>1</v>
      </c>
      <c r="E62" s="31">
        <v>1</v>
      </c>
      <c r="F62" s="31">
        <v>1</v>
      </c>
      <c r="G62" s="31">
        <f t="shared" si="3"/>
        <v>1</v>
      </c>
      <c r="H62" s="31">
        <f t="shared" si="4"/>
        <v>1</v>
      </c>
      <c r="I62" s="31">
        <f t="shared" si="5"/>
        <v>1</v>
      </c>
      <c r="J62" s="20">
        <f t="shared" si="6"/>
        <v>1</v>
      </c>
      <c r="L62" s="19">
        <v>18000</v>
      </c>
    </row>
    <row r="64" spans="2:18">
      <c r="B64" s="32" t="s">
        <v>39</v>
      </c>
      <c r="C64" s="36">
        <f t="array" ref="C64:R71">TRANSPOSE(C47:J62)</f>
        <v>1</v>
      </c>
      <c r="D64" s="37">
        <v>1</v>
      </c>
      <c r="E64" s="37">
        <v>1</v>
      </c>
      <c r="F64" s="37">
        <v>1</v>
      </c>
      <c r="G64" s="37">
        <v>1</v>
      </c>
      <c r="H64" s="37">
        <v>1</v>
      </c>
      <c r="I64" s="37">
        <v>1</v>
      </c>
      <c r="J64" s="37">
        <v>1</v>
      </c>
      <c r="K64" s="37">
        <v>1</v>
      </c>
      <c r="L64" s="37">
        <v>1</v>
      </c>
      <c r="M64" s="37">
        <v>1</v>
      </c>
      <c r="N64" s="37">
        <v>1</v>
      </c>
      <c r="O64" s="37">
        <v>1</v>
      </c>
      <c r="P64" s="37">
        <v>1</v>
      </c>
      <c r="Q64" s="37">
        <v>1</v>
      </c>
      <c r="R64" s="38">
        <v>1</v>
      </c>
    </row>
    <row r="65" spans="2:18">
      <c r="C65" s="39">
        <v>-1</v>
      </c>
      <c r="D65">
        <v>1</v>
      </c>
      <c r="E65">
        <v>-1</v>
      </c>
      <c r="F65">
        <v>1</v>
      </c>
      <c r="G65">
        <v>-1</v>
      </c>
      <c r="H65">
        <v>1</v>
      </c>
      <c r="I65">
        <v>-1</v>
      </c>
      <c r="J65">
        <v>1</v>
      </c>
      <c r="K65">
        <v>-1</v>
      </c>
      <c r="L65">
        <v>1</v>
      </c>
      <c r="M65">
        <v>-1</v>
      </c>
      <c r="N65">
        <v>1</v>
      </c>
      <c r="O65">
        <v>-1</v>
      </c>
      <c r="P65">
        <v>1</v>
      </c>
      <c r="Q65">
        <v>-1</v>
      </c>
      <c r="R65" s="40">
        <v>1</v>
      </c>
    </row>
    <row r="66" spans="2:18">
      <c r="C66" s="39">
        <v>-1</v>
      </c>
      <c r="D66">
        <v>-1</v>
      </c>
      <c r="E66">
        <v>1</v>
      </c>
      <c r="F66">
        <v>1</v>
      </c>
      <c r="G66">
        <v>-1</v>
      </c>
      <c r="H66">
        <v>-1</v>
      </c>
      <c r="I66">
        <v>1</v>
      </c>
      <c r="J66">
        <v>1</v>
      </c>
      <c r="K66">
        <v>-1</v>
      </c>
      <c r="L66">
        <v>-1</v>
      </c>
      <c r="M66">
        <v>1</v>
      </c>
      <c r="N66">
        <v>1</v>
      </c>
      <c r="O66">
        <v>-1</v>
      </c>
      <c r="P66">
        <v>-1</v>
      </c>
      <c r="Q66">
        <v>1</v>
      </c>
      <c r="R66" s="40">
        <v>1</v>
      </c>
    </row>
    <row r="67" spans="2:18">
      <c r="C67" s="39">
        <v>-1</v>
      </c>
      <c r="D67">
        <v>-1</v>
      </c>
      <c r="E67">
        <v>-1</v>
      </c>
      <c r="F67">
        <v>-1</v>
      </c>
      <c r="G67">
        <v>1</v>
      </c>
      <c r="H67">
        <v>1</v>
      </c>
      <c r="I67">
        <v>1</v>
      </c>
      <c r="J67">
        <v>1</v>
      </c>
      <c r="K67">
        <v>-1</v>
      </c>
      <c r="L67">
        <v>-1</v>
      </c>
      <c r="M67">
        <v>-1</v>
      </c>
      <c r="N67">
        <v>-1</v>
      </c>
      <c r="O67">
        <v>1</v>
      </c>
      <c r="P67">
        <v>1</v>
      </c>
      <c r="Q67">
        <v>1</v>
      </c>
      <c r="R67" s="40">
        <v>1</v>
      </c>
    </row>
    <row r="68" spans="2:18">
      <c r="C68" s="39">
        <v>1</v>
      </c>
      <c r="D68">
        <v>-1</v>
      </c>
      <c r="E68">
        <v>-1</v>
      </c>
      <c r="F68">
        <v>1</v>
      </c>
      <c r="G68">
        <v>1</v>
      </c>
      <c r="H68">
        <v>-1</v>
      </c>
      <c r="I68">
        <v>-1</v>
      </c>
      <c r="J68">
        <v>1</v>
      </c>
      <c r="K68">
        <v>1</v>
      </c>
      <c r="L68">
        <v>-1</v>
      </c>
      <c r="M68">
        <v>-1</v>
      </c>
      <c r="N68">
        <v>1</v>
      </c>
      <c r="O68">
        <v>1</v>
      </c>
      <c r="P68">
        <v>-1</v>
      </c>
      <c r="Q68">
        <v>-1</v>
      </c>
      <c r="R68" s="40">
        <v>1</v>
      </c>
    </row>
    <row r="69" spans="2:18">
      <c r="C69" s="39">
        <v>1</v>
      </c>
      <c r="D69">
        <v>-1</v>
      </c>
      <c r="E69">
        <v>1</v>
      </c>
      <c r="F69">
        <v>-1</v>
      </c>
      <c r="G69">
        <v>-1</v>
      </c>
      <c r="H69">
        <v>1</v>
      </c>
      <c r="I69">
        <v>-1</v>
      </c>
      <c r="J69">
        <v>1</v>
      </c>
      <c r="K69">
        <v>1</v>
      </c>
      <c r="L69">
        <v>-1</v>
      </c>
      <c r="M69">
        <v>1</v>
      </c>
      <c r="N69">
        <v>-1</v>
      </c>
      <c r="O69">
        <v>-1</v>
      </c>
      <c r="P69">
        <v>1</v>
      </c>
      <c r="Q69">
        <v>-1</v>
      </c>
      <c r="R69" s="40">
        <v>1</v>
      </c>
    </row>
    <row r="70" spans="2:18">
      <c r="C70" s="39">
        <v>1</v>
      </c>
      <c r="D70">
        <v>1</v>
      </c>
      <c r="E70">
        <v>-1</v>
      </c>
      <c r="F70">
        <v>-1</v>
      </c>
      <c r="G70">
        <v>-1</v>
      </c>
      <c r="H70">
        <v>-1</v>
      </c>
      <c r="I70">
        <v>1</v>
      </c>
      <c r="J70">
        <v>1</v>
      </c>
      <c r="K70">
        <v>1</v>
      </c>
      <c r="L70">
        <v>1</v>
      </c>
      <c r="M70">
        <v>-1</v>
      </c>
      <c r="N70">
        <v>-1</v>
      </c>
      <c r="O70">
        <v>-1</v>
      </c>
      <c r="P70">
        <v>-1</v>
      </c>
      <c r="Q70">
        <v>1</v>
      </c>
      <c r="R70" s="40">
        <v>1</v>
      </c>
    </row>
    <row r="71" spans="2:18">
      <c r="C71" s="41">
        <v>-1</v>
      </c>
      <c r="D71" s="2">
        <v>1</v>
      </c>
      <c r="E71" s="2">
        <v>1</v>
      </c>
      <c r="F71" s="2">
        <v>-1</v>
      </c>
      <c r="G71" s="2">
        <v>1</v>
      </c>
      <c r="H71" s="2">
        <v>-1</v>
      </c>
      <c r="I71" s="2">
        <v>-1</v>
      </c>
      <c r="J71" s="2">
        <v>1</v>
      </c>
      <c r="K71" s="2">
        <v>-1</v>
      </c>
      <c r="L71" s="2">
        <v>1</v>
      </c>
      <c r="M71" s="2">
        <v>1</v>
      </c>
      <c r="N71" s="2">
        <v>-1</v>
      </c>
      <c r="O71" s="2">
        <v>1</v>
      </c>
      <c r="P71" s="2">
        <v>-1</v>
      </c>
      <c r="Q71" s="2">
        <v>-1</v>
      </c>
      <c r="R71" s="42">
        <v>1</v>
      </c>
    </row>
    <row r="74" spans="2:18">
      <c r="B74" s="32" t="s">
        <v>40</v>
      </c>
      <c r="C74" s="33">
        <f t="array" ref="C74:C81">MMULT(C64:R71,L47:L62)</f>
        <v>262066</v>
      </c>
      <c r="E74" s="32" t="s">
        <v>41</v>
      </c>
      <c r="F74" s="49">
        <f>$C74/16</f>
        <v>16379.125</v>
      </c>
      <c r="G74" t="s">
        <v>42</v>
      </c>
    </row>
    <row r="75" spans="2:18">
      <c r="C75" s="34">
        <v>-14086</v>
      </c>
      <c r="F75" s="50">
        <f t="shared" ref="F75:F81" si="7">$C75/16</f>
        <v>-880.375</v>
      </c>
      <c r="G75" t="s">
        <v>43</v>
      </c>
    </row>
    <row r="76" spans="2:18">
      <c r="C76" s="34">
        <v>53314</v>
      </c>
      <c r="F76" s="50">
        <f t="shared" si="7"/>
        <v>3332.125</v>
      </c>
      <c r="G76" t="s">
        <v>44</v>
      </c>
    </row>
    <row r="77" spans="2:18">
      <c r="C77" s="34">
        <v>-28094</v>
      </c>
      <c r="F77" s="50">
        <f t="shared" si="7"/>
        <v>-1755.875</v>
      </c>
      <c r="G77" t="s">
        <v>45</v>
      </c>
    </row>
    <row r="78" spans="2:18">
      <c r="C78" s="34">
        <v>-8494</v>
      </c>
      <c r="F78" s="50">
        <f t="shared" si="7"/>
        <v>-530.875</v>
      </c>
      <c r="G78" t="s">
        <v>46</v>
      </c>
    </row>
    <row r="79" spans="2:18">
      <c r="C79" s="34">
        <v>7314</v>
      </c>
      <c r="F79" s="50">
        <f t="shared" si="7"/>
        <v>457.125</v>
      </c>
      <c r="G79" t="s">
        <v>47</v>
      </c>
    </row>
    <row r="80" spans="2:18">
      <c r="C80" s="34">
        <v>-3686</v>
      </c>
      <c r="F80" s="50">
        <f t="shared" si="7"/>
        <v>-230.375</v>
      </c>
      <c r="G80" t="s">
        <v>48</v>
      </c>
    </row>
    <row r="81" spans="2:10">
      <c r="C81" s="35">
        <v>-1134</v>
      </c>
      <c r="F81" s="51">
        <f t="shared" si="7"/>
        <v>-70.875</v>
      </c>
      <c r="G81" t="s">
        <v>49</v>
      </c>
    </row>
    <row r="83" spans="2:10" ht="15">
      <c r="B83" s="27" t="s">
        <v>50</v>
      </c>
      <c r="C83" s="28"/>
      <c r="D83" s="28"/>
      <c r="E83" s="28"/>
      <c r="F83" s="28"/>
      <c r="G83" s="28"/>
      <c r="H83" s="28"/>
      <c r="I83" s="28"/>
      <c r="J83" s="29"/>
    </row>
    <row r="85" spans="2:10" ht="15">
      <c r="B85" s="12" t="s">
        <v>18</v>
      </c>
      <c r="C85" s="12" t="s">
        <v>19</v>
      </c>
      <c r="D85" s="12" t="s">
        <v>20</v>
      </c>
      <c r="E85" s="12" t="s">
        <v>26</v>
      </c>
      <c r="F85" s="12" t="s">
        <v>27</v>
      </c>
      <c r="G85" s="12" t="s">
        <v>28</v>
      </c>
      <c r="H85" s="12" t="s">
        <v>29</v>
      </c>
      <c r="I85" s="43" t="s">
        <v>14</v>
      </c>
    </row>
    <row r="86" spans="2:10">
      <c r="B86" s="15">
        <v>-1</v>
      </c>
      <c r="C86" s="30">
        <v>-1</v>
      </c>
      <c r="D86" s="30">
        <v>-1</v>
      </c>
      <c r="E86" s="30">
        <f>B86*C86</f>
        <v>1</v>
      </c>
      <c r="F86" s="30">
        <f>B86*D86</f>
        <v>1</v>
      </c>
      <c r="G86" s="30">
        <f>C86*D86</f>
        <v>1</v>
      </c>
      <c r="H86" s="14">
        <f>B86*C86*D86</f>
        <v>-1</v>
      </c>
      <c r="I86" s="13">
        <v>15500</v>
      </c>
    </row>
    <row r="87" spans="2:10">
      <c r="B87" s="18">
        <v>1</v>
      </c>
      <c r="C87" s="11">
        <v>-1</v>
      </c>
      <c r="D87" s="11">
        <v>-1</v>
      </c>
      <c r="E87" s="11">
        <f t="shared" ref="E87:E101" si="8">B87*C87</f>
        <v>-1</v>
      </c>
      <c r="F87" s="11">
        <f t="shared" ref="F87:F101" si="9">B87*D87</f>
        <v>-1</v>
      </c>
      <c r="G87" s="11">
        <f t="shared" ref="G87:G101" si="10">C87*D87</f>
        <v>1</v>
      </c>
      <c r="H87" s="17">
        <f t="shared" ref="H87:H101" si="11">B87*C87*D87</f>
        <v>1</v>
      </c>
      <c r="I87" s="16">
        <v>14490</v>
      </c>
    </row>
    <row r="88" spans="2:10">
      <c r="B88" s="18">
        <v>-1</v>
      </c>
      <c r="C88" s="11">
        <v>1</v>
      </c>
      <c r="D88" s="11">
        <v>-1</v>
      </c>
      <c r="E88" s="11">
        <f t="shared" si="8"/>
        <v>-1</v>
      </c>
      <c r="F88" s="11">
        <f t="shared" si="9"/>
        <v>1</v>
      </c>
      <c r="G88" s="11">
        <f t="shared" si="10"/>
        <v>-1</v>
      </c>
      <c r="H88" s="17">
        <f t="shared" si="11"/>
        <v>1</v>
      </c>
      <c r="I88" s="16">
        <v>23000</v>
      </c>
    </row>
    <row r="89" spans="2:10">
      <c r="B89" s="18">
        <v>1</v>
      </c>
      <c r="C89" s="11">
        <v>1</v>
      </c>
      <c r="D89" s="11">
        <v>-1</v>
      </c>
      <c r="E89" s="11">
        <f t="shared" si="8"/>
        <v>1</v>
      </c>
      <c r="F89" s="11">
        <f t="shared" si="9"/>
        <v>-1</v>
      </c>
      <c r="G89" s="11">
        <f t="shared" si="10"/>
        <v>-1</v>
      </c>
      <c r="H89" s="17">
        <f t="shared" si="11"/>
        <v>-1</v>
      </c>
      <c r="I89" s="16">
        <v>17800</v>
      </c>
    </row>
    <row r="90" spans="2:10">
      <c r="B90" s="18">
        <v>-1</v>
      </c>
      <c r="C90" s="11">
        <v>-1</v>
      </c>
      <c r="D90" s="11">
        <v>1</v>
      </c>
      <c r="E90" s="11">
        <f t="shared" si="8"/>
        <v>1</v>
      </c>
      <c r="F90" s="11">
        <f t="shared" si="9"/>
        <v>-1</v>
      </c>
      <c r="G90" s="11">
        <f t="shared" si="10"/>
        <v>-1</v>
      </c>
      <c r="H90" s="17">
        <f t="shared" si="11"/>
        <v>1</v>
      </c>
      <c r="I90" s="16">
        <v>10685</v>
      </c>
    </row>
    <row r="91" spans="2:10">
      <c r="B91" s="18">
        <v>1</v>
      </c>
      <c r="C91" s="11">
        <v>-1</v>
      </c>
      <c r="D91" s="11">
        <v>1</v>
      </c>
      <c r="E91" s="11">
        <f t="shared" si="8"/>
        <v>-1</v>
      </c>
      <c r="F91" s="11">
        <f t="shared" si="9"/>
        <v>1</v>
      </c>
      <c r="G91" s="11">
        <f t="shared" si="10"/>
        <v>-1</v>
      </c>
      <c r="H91" s="17">
        <f t="shared" si="11"/>
        <v>-1</v>
      </c>
      <c r="I91" s="16">
        <v>11800</v>
      </c>
    </row>
    <row r="92" spans="2:10">
      <c r="B92" s="18">
        <v>-1</v>
      </c>
      <c r="C92" s="11">
        <v>1</v>
      </c>
      <c r="D92" s="11">
        <v>1</v>
      </c>
      <c r="E92" s="11">
        <f t="shared" si="8"/>
        <v>-1</v>
      </c>
      <c r="F92" s="11">
        <f t="shared" si="9"/>
        <v>-1</v>
      </c>
      <c r="G92" s="11">
        <f t="shared" si="10"/>
        <v>1</v>
      </c>
      <c r="H92" s="17">
        <f t="shared" si="11"/>
        <v>-1</v>
      </c>
      <c r="I92" s="16">
        <v>18500</v>
      </c>
    </row>
    <row r="93" spans="2:10">
      <c r="B93" s="18">
        <v>1</v>
      </c>
      <c r="C93" s="11">
        <v>1</v>
      </c>
      <c r="D93" s="11">
        <v>1</v>
      </c>
      <c r="E93" s="11">
        <f t="shared" si="8"/>
        <v>1</v>
      </c>
      <c r="F93" s="11">
        <f t="shared" si="9"/>
        <v>1</v>
      </c>
      <c r="G93" s="11">
        <f t="shared" si="10"/>
        <v>1</v>
      </c>
      <c r="H93" s="17">
        <f t="shared" si="11"/>
        <v>1</v>
      </c>
      <c r="I93" s="16">
        <v>15400</v>
      </c>
    </row>
    <row r="94" spans="2:10">
      <c r="B94" s="18">
        <v>-1</v>
      </c>
      <c r="C94" s="11">
        <v>-1</v>
      </c>
      <c r="D94" s="11">
        <v>-1</v>
      </c>
      <c r="E94" s="11">
        <f t="shared" si="8"/>
        <v>1</v>
      </c>
      <c r="F94" s="11">
        <f t="shared" si="9"/>
        <v>1</v>
      </c>
      <c r="G94" s="11">
        <f t="shared" si="10"/>
        <v>1</v>
      </c>
      <c r="H94" s="17">
        <f t="shared" si="11"/>
        <v>-1</v>
      </c>
      <c r="I94" s="16">
        <v>15400</v>
      </c>
    </row>
    <row r="95" spans="2:10">
      <c r="B95" s="18">
        <v>1</v>
      </c>
      <c r="C95" s="11">
        <v>-1</v>
      </c>
      <c r="D95" s="11">
        <v>-1</v>
      </c>
      <c r="E95" s="11">
        <f t="shared" si="8"/>
        <v>-1</v>
      </c>
      <c r="F95" s="11">
        <f t="shared" si="9"/>
        <v>-1</v>
      </c>
      <c r="G95" s="11">
        <f t="shared" si="10"/>
        <v>1</v>
      </c>
      <c r="H95" s="17">
        <f t="shared" si="11"/>
        <v>1</v>
      </c>
      <c r="I95" s="16">
        <v>12900</v>
      </c>
    </row>
    <row r="96" spans="2:10">
      <c r="B96" s="18">
        <v>-1</v>
      </c>
      <c r="C96" s="11">
        <v>1</v>
      </c>
      <c r="D96" s="11">
        <v>-1</v>
      </c>
      <c r="E96" s="11">
        <f t="shared" si="8"/>
        <v>-1</v>
      </c>
      <c r="F96" s="11">
        <f t="shared" si="9"/>
        <v>1</v>
      </c>
      <c r="G96" s="11">
        <f t="shared" si="10"/>
        <v>-1</v>
      </c>
      <c r="H96" s="17">
        <f t="shared" si="11"/>
        <v>1</v>
      </c>
      <c r="I96" s="16">
        <v>23990</v>
      </c>
    </row>
    <row r="97" spans="2:25">
      <c r="B97" s="18">
        <v>1</v>
      </c>
      <c r="C97" s="11">
        <v>1</v>
      </c>
      <c r="D97" s="11">
        <v>-1</v>
      </c>
      <c r="E97" s="11">
        <f t="shared" si="8"/>
        <v>1</v>
      </c>
      <c r="F97" s="11">
        <f t="shared" si="9"/>
        <v>-1</v>
      </c>
      <c r="G97" s="11">
        <f t="shared" si="10"/>
        <v>-1</v>
      </c>
      <c r="H97" s="17">
        <f t="shared" si="11"/>
        <v>-1</v>
      </c>
      <c r="I97" s="16">
        <v>22000</v>
      </c>
    </row>
    <row r="98" spans="2:25">
      <c r="B98" s="18">
        <v>-1</v>
      </c>
      <c r="C98" s="11">
        <v>-1</v>
      </c>
      <c r="D98" s="11">
        <v>1</v>
      </c>
      <c r="E98" s="11">
        <f t="shared" si="8"/>
        <v>1</v>
      </c>
      <c r="F98" s="11">
        <f t="shared" si="9"/>
        <v>-1</v>
      </c>
      <c r="G98" s="11">
        <f t="shared" si="10"/>
        <v>-1</v>
      </c>
      <c r="H98" s="17">
        <f t="shared" si="11"/>
        <v>1</v>
      </c>
      <c r="I98" s="16">
        <v>12001</v>
      </c>
    </row>
    <row r="99" spans="2:25">
      <c r="B99" s="18">
        <v>1</v>
      </c>
      <c r="C99" s="11">
        <v>-1</v>
      </c>
      <c r="D99" s="11">
        <v>1</v>
      </c>
      <c r="E99" s="11">
        <f t="shared" si="8"/>
        <v>-1</v>
      </c>
      <c r="F99" s="11">
        <f t="shared" si="9"/>
        <v>1</v>
      </c>
      <c r="G99" s="11">
        <f t="shared" si="10"/>
        <v>-1</v>
      </c>
      <c r="H99" s="17">
        <f t="shared" si="11"/>
        <v>-1</v>
      </c>
      <c r="I99" s="16">
        <v>11600</v>
      </c>
    </row>
    <row r="100" spans="2:25">
      <c r="B100" s="18">
        <v>-1</v>
      </c>
      <c r="C100" s="11">
        <v>1</v>
      </c>
      <c r="D100" s="11">
        <v>1</v>
      </c>
      <c r="E100" s="11">
        <f t="shared" si="8"/>
        <v>-1</v>
      </c>
      <c r="F100" s="11">
        <f t="shared" si="9"/>
        <v>-1</v>
      </c>
      <c r="G100" s="11">
        <f t="shared" si="10"/>
        <v>1</v>
      </c>
      <c r="H100" s="17">
        <f t="shared" si="11"/>
        <v>-1</v>
      </c>
      <c r="I100" s="16">
        <v>19000</v>
      </c>
    </row>
    <row r="101" spans="2:25">
      <c r="B101" s="21">
        <v>1</v>
      </c>
      <c r="C101" s="31">
        <v>1</v>
      </c>
      <c r="D101" s="31">
        <v>1</v>
      </c>
      <c r="E101" s="31">
        <f t="shared" si="8"/>
        <v>1</v>
      </c>
      <c r="F101" s="31">
        <f t="shared" si="9"/>
        <v>1</v>
      </c>
      <c r="G101" s="31">
        <f t="shared" si="10"/>
        <v>1</v>
      </c>
      <c r="H101" s="20">
        <f t="shared" si="11"/>
        <v>1</v>
      </c>
      <c r="I101" s="19">
        <v>18000</v>
      </c>
    </row>
    <row r="103" spans="2:25">
      <c r="B103" t="s">
        <v>51</v>
      </c>
    </row>
    <row r="104" spans="2:25" ht="18.75" thickBot="1">
      <c r="T104" s="141" t="s">
        <v>269</v>
      </c>
      <c r="U104" s="141"/>
      <c r="V104" s="141"/>
      <c r="W104" s="141"/>
      <c r="X104" s="141"/>
      <c r="Y104" s="141"/>
    </row>
    <row r="105" spans="2:25">
      <c r="B105" s="46" t="s">
        <v>52</v>
      </c>
      <c r="C105" s="46"/>
    </row>
    <row r="106" spans="2:25">
      <c r="B106" t="s">
        <v>53</v>
      </c>
      <c r="C106">
        <v>0.97113759096924446</v>
      </c>
    </row>
    <row r="107" spans="2:25">
      <c r="B107" t="s">
        <v>54</v>
      </c>
      <c r="C107">
        <v>0.9431082205935476</v>
      </c>
    </row>
    <row r="108" spans="2:25">
      <c r="B108" t="s">
        <v>55</v>
      </c>
      <c r="C108">
        <v>0.89332791361290176</v>
      </c>
    </row>
    <row r="109" spans="2:25">
      <c r="B109" t="s">
        <v>56</v>
      </c>
      <c r="C109">
        <v>1367.9376813290874</v>
      </c>
    </row>
    <row r="110" spans="2:25" ht="15" thickBot="1">
      <c r="B110" s="44" t="s">
        <v>57</v>
      </c>
      <c r="C110" s="44">
        <v>16</v>
      </c>
    </row>
    <row r="112" spans="2:25" ht="15" thickBot="1">
      <c r="B112" t="s">
        <v>58</v>
      </c>
    </row>
    <row r="113" spans="2:10">
      <c r="B113" s="45"/>
      <c r="C113" s="45" t="s">
        <v>63</v>
      </c>
      <c r="D113" s="45" t="s">
        <v>64</v>
      </c>
      <c r="E113" s="45" t="s">
        <v>65</v>
      </c>
      <c r="F113" s="45" t="s">
        <v>66</v>
      </c>
      <c r="G113" s="45" t="s">
        <v>67</v>
      </c>
    </row>
    <row r="114" spans="2:10">
      <c r="B114" t="s">
        <v>59</v>
      </c>
      <c r="C114">
        <v>7</v>
      </c>
      <c r="D114">
        <v>248161625.75</v>
      </c>
      <c r="E114">
        <v>35451660.821428575</v>
      </c>
      <c r="F114">
        <v>18.945407889112072</v>
      </c>
      <c r="G114">
        <v>2.187989657668216E-4</v>
      </c>
    </row>
    <row r="115" spans="2:10">
      <c r="B115" t="s">
        <v>60</v>
      </c>
      <c r="C115">
        <v>8</v>
      </c>
      <c r="D115">
        <v>14970027.999999998</v>
      </c>
      <c r="E115">
        <v>1871253.4999999998</v>
      </c>
    </row>
    <row r="116" spans="2:10" ht="15" thickBot="1">
      <c r="B116" s="44" t="s">
        <v>61</v>
      </c>
      <c r="C116" s="44">
        <v>15</v>
      </c>
      <c r="D116" s="44">
        <v>263131653.75</v>
      </c>
      <c r="E116" s="44"/>
      <c r="F116" s="44"/>
      <c r="G116" s="44"/>
    </row>
    <row r="117" spans="2:10" ht="15" thickBot="1"/>
    <row r="118" spans="2:10">
      <c r="B118" s="45"/>
      <c r="C118" s="45" t="s">
        <v>68</v>
      </c>
      <c r="D118" s="45" t="s">
        <v>56</v>
      </c>
      <c r="E118" s="45" t="s">
        <v>69</v>
      </c>
      <c r="F118" s="45" t="s">
        <v>70</v>
      </c>
      <c r="G118" s="45" t="s">
        <v>71</v>
      </c>
      <c r="H118" s="45" t="s">
        <v>72</v>
      </c>
      <c r="I118" s="45" t="s">
        <v>73</v>
      </c>
      <c r="J118" s="45" t="s">
        <v>74</v>
      </c>
    </row>
    <row r="119" spans="2:10">
      <c r="B119" t="s">
        <v>62</v>
      </c>
      <c r="C119">
        <v>16379.125</v>
      </c>
      <c r="D119">
        <v>341.98442033227184</v>
      </c>
      <c r="E119">
        <v>47.894360170226626</v>
      </c>
      <c r="F119">
        <v>3.9948427525179916E-11</v>
      </c>
      <c r="G119">
        <v>15590.507512538381</v>
      </c>
      <c r="H119">
        <v>17167.742487461619</v>
      </c>
      <c r="I119">
        <v>15590.507512538381</v>
      </c>
      <c r="J119">
        <v>17167.742487461619</v>
      </c>
    </row>
    <row r="120" spans="2:10">
      <c r="B120" t="s">
        <v>18</v>
      </c>
      <c r="C120">
        <v>-880.37499999999989</v>
      </c>
      <c r="D120">
        <v>341.98442033227184</v>
      </c>
      <c r="E120">
        <v>-2.5743131781986679</v>
      </c>
      <c r="F120">
        <v>3.2906061478400819E-2</v>
      </c>
      <c r="G120">
        <v>-1668.9924874616188</v>
      </c>
      <c r="H120">
        <v>-91.757512538380979</v>
      </c>
      <c r="I120">
        <v>-1668.9924874616188</v>
      </c>
      <c r="J120">
        <v>-91.757512538380979</v>
      </c>
    </row>
    <row r="121" spans="2:10">
      <c r="B121" t="s">
        <v>19</v>
      </c>
      <c r="C121">
        <v>3332.125</v>
      </c>
      <c r="D121">
        <v>341.98442033227184</v>
      </c>
      <c r="E121">
        <v>9.7434994166181887</v>
      </c>
      <c r="F121">
        <v>1.0301988938754258E-5</v>
      </c>
      <c r="G121">
        <v>2543.507512538381</v>
      </c>
      <c r="H121">
        <v>4120.742487461619</v>
      </c>
      <c r="I121">
        <v>2543.507512538381</v>
      </c>
      <c r="J121">
        <v>4120.742487461619</v>
      </c>
    </row>
    <row r="122" spans="2:10">
      <c r="B122" t="s">
        <v>20</v>
      </c>
      <c r="C122">
        <v>-1755.8749999999995</v>
      </c>
      <c r="D122">
        <v>341.98442033227184</v>
      </c>
      <c r="E122">
        <v>-5.1343713210502182</v>
      </c>
      <c r="F122">
        <v>8.912799693508339E-4</v>
      </c>
      <c r="G122">
        <v>-2544.4924874616186</v>
      </c>
      <c r="H122">
        <v>-967.25751253838064</v>
      </c>
      <c r="I122">
        <v>-2544.4924874616186</v>
      </c>
      <c r="J122">
        <v>-967.25751253838064</v>
      </c>
    </row>
    <row r="123" spans="2:10" ht="15">
      <c r="B123" t="s">
        <v>26</v>
      </c>
      <c r="C123">
        <v>-530.875</v>
      </c>
      <c r="D123">
        <v>341.98442033227184</v>
      </c>
      <c r="E123">
        <v>-1.5523367979284033</v>
      </c>
      <c r="F123" s="47">
        <v>0.15918350258811562</v>
      </c>
      <c r="G123">
        <v>-1319.492487461619</v>
      </c>
      <c r="H123">
        <v>257.74248746161891</v>
      </c>
      <c r="I123">
        <v>-1319.492487461619</v>
      </c>
      <c r="J123">
        <v>257.74248746161891</v>
      </c>
    </row>
    <row r="124" spans="2:10" ht="15">
      <c r="B124" t="s">
        <v>27</v>
      </c>
      <c r="C124">
        <v>457.125</v>
      </c>
      <c r="D124">
        <v>341.98442033227184</v>
      </c>
      <c r="E124">
        <v>1.336683699087396</v>
      </c>
      <c r="F124" s="47">
        <v>0.21809020322982764</v>
      </c>
      <c r="G124">
        <v>-331.49248746161891</v>
      </c>
      <c r="H124">
        <v>1245.742487461619</v>
      </c>
      <c r="I124">
        <v>-331.49248746161891</v>
      </c>
      <c r="J124">
        <v>1245.742487461619</v>
      </c>
    </row>
    <row r="125" spans="2:10" ht="15">
      <c r="B125" t="s">
        <v>28</v>
      </c>
      <c r="C125">
        <v>-230.37500000000017</v>
      </c>
      <c r="D125">
        <v>341.98442033227184</v>
      </c>
      <c r="E125">
        <v>-0.67364179858301143</v>
      </c>
      <c r="F125" s="47">
        <v>0.51952341664764667</v>
      </c>
      <c r="G125">
        <v>-1018.992487461619</v>
      </c>
      <c r="H125">
        <v>558.24248746161879</v>
      </c>
      <c r="I125">
        <v>-1018.992487461619</v>
      </c>
      <c r="J125">
        <v>558.24248746161879</v>
      </c>
    </row>
    <row r="126" spans="2:10" ht="15.75" thickBot="1">
      <c r="B126" s="44" t="s">
        <v>29</v>
      </c>
      <c r="C126" s="44">
        <v>-70.875000000000085</v>
      </c>
      <c r="D126" s="44">
        <v>341.98442033227184</v>
      </c>
      <c r="E126" s="44">
        <v>-0.20724628312347673</v>
      </c>
      <c r="F126" s="48">
        <v>0.84099560656637773</v>
      </c>
      <c r="G126" s="44">
        <v>-859.49248746161902</v>
      </c>
      <c r="H126" s="44">
        <v>717.74248746161879</v>
      </c>
      <c r="I126" s="44">
        <v>-859.49248746161902</v>
      </c>
      <c r="J126" s="44">
        <v>717.74248746161879</v>
      </c>
    </row>
    <row r="127" spans="2:10" ht="15" thickBot="1"/>
    <row r="128" spans="2:10" ht="15" thickBot="1">
      <c r="B128" s="52"/>
      <c r="C128" s="55" t="s">
        <v>78</v>
      </c>
      <c r="D128" s="53"/>
      <c r="E128" s="54" t="s">
        <v>80</v>
      </c>
      <c r="F128" s="53"/>
      <c r="G128" s="59"/>
    </row>
    <row r="129" spans="2:11">
      <c r="B129" s="63" t="s">
        <v>18</v>
      </c>
      <c r="C129" s="3">
        <v>3.2906061478400819E-2</v>
      </c>
      <c r="D129" s="64" t="s">
        <v>76</v>
      </c>
      <c r="E129" s="65">
        <v>0.05</v>
      </c>
      <c r="F129" s="3" t="s">
        <v>77</v>
      </c>
      <c r="G129" s="57"/>
      <c r="H129" s="56"/>
    </row>
    <row r="130" spans="2:11">
      <c r="B130" s="66" t="s">
        <v>19</v>
      </c>
      <c r="C130" s="3">
        <v>1.0301988938754258E-5</v>
      </c>
      <c r="D130" s="64" t="s">
        <v>76</v>
      </c>
      <c r="E130" s="65">
        <v>0.05</v>
      </c>
      <c r="F130" s="3" t="s">
        <v>77</v>
      </c>
      <c r="G130" s="58"/>
      <c r="H130" s="56"/>
    </row>
    <row r="131" spans="2:11">
      <c r="B131" s="66" t="s">
        <v>20</v>
      </c>
      <c r="C131" s="3">
        <v>8.912799693508339E-4</v>
      </c>
      <c r="D131" s="64" t="s">
        <v>76</v>
      </c>
      <c r="E131" s="65">
        <v>0.05</v>
      </c>
      <c r="F131" s="3" t="s">
        <v>77</v>
      </c>
      <c r="G131" s="58"/>
      <c r="H131" s="56"/>
    </row>
    <row r="132" spans="2:11" ht="15">
      <c r="B132" s="67" t="s">
        <v>26</v>
      </c>
      <c r="C132" s="47">
        <v>0.15918350258811562</v>
      </c>
      <c r="D132" s="68" t="s">
        <v>79</v>
      </c>
      <c r="E132" s="62">
        <v>0.05</v>
      </c>
      <c r="F132" s="47" t="s">
        <v>75</v>
      </c>
      <c r="G132" s="60"/>
    </row>
    <row r="133" spans="2:11" ht="15">
      <c r="B133" s="67" t="s">
        <v>27</v>
      </c>
      <c r="C133" s="47">
        <v>0.21809020322982764</v>
      </c>
      <c r="D133" s="68" t="s">
        <v>79</v>
      </c>
      <c r="E133" s="62">
        <v>0.05</v>
      </c>
      <c r="F133" s="47" t="s">
        <v>75</v>
      </c>
      <c r="G133" s="60"/>
      <c r="H133" s="56"/>
    </row>
    <row r="134" spans="2:11" ht="15">
      <c r="B134" s="67" t="s">
        <v>28</v>
      </c>
      <c r="C134" s="47">
        <v>0.51952341664764667</v>
      </c>
      <c r="D134" s="68" t="s">
        <v>79</v>
      </c>
      <c r="E134" s="62">
        <v>0.05</v>
      </c>
      <c r="F134" s="47" t="s">
        <v>75</v>
      </c>
      <c r="G134" s="60"/>
    </row>
    <row r="135" spans="2:11" ht="15.75" thickBot="1">
      <c r="B135" s="69" t="s">
        <v>29</v>
      </c>
      <c r="C135" s="48">
        <v>0.84099560656637773</v>
      </c>
      <c r="D135" s="70" t="s">
        <v>79</v>
      </c>
      <c r="E135" s="71">
        <v>0.05</v>
      </c>
      <c r="F135" s="48" t="s">
        <v>75</v>
      </c>
      <c r="G135" s="61"/>
    </row>
    <row r="137" spans="2:11" ht="15">
      <c r="B137" s="72" t="s">
        <v>81</v>
      </c>
    </row>
    <row r="139" spans="2:11" ht="15">
      <c r="B139" s="27" t="s">
        <v>82</v>
      </c>
      <c r="C139" s="28"/>
      <c r="D139" s="28"/>
      <c r="E139" s="28"/>
      <c r="F139" s="28"/>
      <c r="G139" s="28"/>
      <c r="H139" s="28"/>
      <c r="I139" s="28"/>
      <c r="J139" s="28"/>
      <c r="K139" s="29"/>
    </row>
    <row r="141" spans="2:11" ht="15">
      <c r="B141" s="12" t="s">
        <v>18</v>
      </c>
      <c r="C141" s="12" t="s">
        <v>19</v>
      </c>
      <c r="D141" s="12" t="s">
        <v>20</v>
      </c>
      <c r="E141" s="43" t="s">
        <v>14</v>
      </c>
      <c r="G141" t="s">
        <v>51</v>
      </c>
    </row>
    <row r="142" spans="2:11" ht="15" thickBot="1">
      <c r="B142" s="15">
        <v>-1</v>
      </c>
      <c r="C142" s="30">
        <v>-1</v>
      </c>
      <c r="D142" s="14">
        <v>-1</v>
      </c>
      <c r="E142" s="13">
        <v>15500</v>
      </c>
    </row>
    <row r="143" spans="2:11">
      <c r="B143" s="18">
        <v>1</v>
      </c>
      <c r="C143" s="11">
        <v>-1</v>
      </c>
      <c r="D143" s="17">
        <v>-1</v>
      </c>
      <c r="E143" s="16">
        <v>14490</v>
      </c>
      <c r="G143" s="46" t="s">
        <v>52</v>
      </c>
      <c r="H143" s="46"/>
    </row>
    <row r="144" spans="2:11">
      <c r="B144" s="18">
        <v>-1</v>
      </c>
      <c r="C144" s="11">
        <v>1</v>
      </c>
      <c r="D144" s="17">
        <v>-1</v>
      </c>
      <c r="E144" s="16">
        <v>23000</v>
      </c>
      <c r="G144" t="s">
        <v>53</v>
      </c>
      <c r="H144">
        <v>0.95379900205030499</v>
      </c>
    </row>
    <row r="145" spans="2:15">
      <c r="B145" s="18">
        <v>1</v>
      </c>
      <c r="C145" s="11">
        <v>1</v>
      </c>
      <c r="D145" s="17">
        <v>-1</v>
      </c>
      <c r="E145" s="16">
        <v>17800</v>
      </c>
      <c r="G145" t="s">
        <v>54</v>
      </c>
      <c r="H145">
        <v>0.90973253631215778</v>
      </c>
    </row>
    <row r="146" spans="2:15">
      <c r="B146" s="18">
        <v>-1</v>
      </c>
      <c r="C146" s="11">
        <v>-1</v>
      </c>
      <c r="D146" s="17">
        <v>1</v>
      </c>
      <c r="E146" s="16">
        <v>10685</v>
      </c>
      <c r="G146" t="s">
        <v>55</v>
      </c>
      <c r="H146">
        <v>0.88716567039019723</v>
      </c>
    </row>
    <row r="147" spans="2:15">
      <c r="B147" s="18">
        <v>1</v>
      </c>
      <c r="C147" s="11">
        <v>-1</v>
      </c>
      <c r="D147" s="17">
        <v>1</v>
      </c>
      <c r="E147" s="16">
        <v>11800</v>
      </c>
      <c r="G147" t="s">
        <v>56</v>
      </c>
      <c r="H147">
        <v>1406.8945411792599</v>
      </c>
    </row>
    <row r="148" spans="2:15" ht="15" thickBot="1">
      <c r="B148" s="18">
        <v>-1</v>
      </c>
      <c r="C148" s="11">
        <v>1</v>
      </c>
      <c r="D148" s="17">
        <v>1</v>
      </c>
      <c r="E148" s="16">
        <v>18500</v>
      </c>
      <c r="G148" s="44" t="s">
        <v>57</v>
      </c>
      <c r="H148" s="44">
        <v>16</v>
      </c>
    </row>
    <row r="149" spans="2:15">
      <c r="B149" s="18">
        <v>1</v>
      </c>
      <c r="C149" s="11">
        <v>1</v>
      </c>
      <c r="D149" s="17">
        <v>1</v>
      </c>
      <c r="E149" s="16">
        <v>15400</v>
      </c>
    </row>
    <row r="150" spans="2:15" ht="15" thickBot="1">
      <c r="B150" s="18">
        <v>-1</v>
      </c>
      <c r="C150" s="11">
        <v>-1</v>
      </c>
      <c r="D150" s="17">
        <v>-1</v>
      </c>
      <c r="E150" s="16">
        <v>15400</v>
      </c>
      <c r="G150" t="s">
        <v>58</v>
      </c>
    </row>
    <row r="151" spans="2:15">
      <c r="B151" s="18">
        <v>1</v>
      </c>
      <c r="C151" s="11">
        <v>-1</v>
      </c>
      <c r="D151" s="17">
        <v>-1</v>
      </c>
      <c r="E151" s="16">
        <v>12900</v>
      </c>
      <c r="G151" s="45"/>
      <c r="H151" s="45" t="s">
        <v>63</v>
      </c>
      <c r="I151" s="45" t="s">
        <v>64</v>
      </c>
      <c r="J151" s="45" t="s">
        <v>65</v>
      </c>
      <c r="K151" s="45" t="s">
        <v>66</v>
      </c>
      <c r="L151" s="45" t="s">
        <v>67</v>
      </c>
    </row>
    <row r="152" spans="2:15">
      <c r="B152" s="18">
        <v>-1</v>
      </c>
      <c r="C152" s="11">
        <v>1</v>
      </c>
      <c r="D152" s="17">
        <v>-1</v>
      </c>
      <c r="E152" s="16">
        <v>23990</v>
      </c>
      <c r="G152" t="s">
        <v>59</v>
      </c>
      <c r="H152">
        <v>3</v>
      </c>
      <c r="I152">
        <v>239379426.75</v>
      </c>
      <c r="J152">
        <v>79793142.25</v>
      </c>
      <c r="K152">
        <v>40.312754968197297</v>
      </c>
      <c r="L152">
        <v>1.5238710216412619E-6</v>
      </c>
    </row>
    <row r="153" spans="2:15">
      <c r="B153" s="18">
        <v>1</v>
      </c>
      <c r="C153" s="11">
        <v>1</v>
      </c>
      <c r="D153" s="17">
        <v>-1</v>
      </c>
      <c r="E153" s="16">
        <v>22000</v>
      </c>
      <c r="G153" t="s">
        <v>60</v>
      </c>
      <c r="H153">
        <v>12</v>
      </c>
      <c r="I153">
        <v>23752227.000000004</v>
      </c>
      <c r="J153">
        <v>1979352.2500000002</v>
      </c>
    </row>
    <row r="154" spans="2:15" ht="15" thickBot="1">
      <c r="B154" s="18">
        <v>-1</v>
      </c>
      <c r="C154" s="11">
        <v>-1</v>
      </c>
      <c r="D154" s="17">
        <v>1</v>
      </c>
      <c r="E154" s="16">
        <v>12001</v>
      </c>
      <c r="G154" s="44" t="s">
        <v>61</v>
      </c>
      <c r="H154" s="44">
        <v>15</v>
      </c>
      <c r="I154" s="44">
        <v>263131653.75</v>
      </c>
      <c r="J154" s="44"/>
      <c r="K154" s="44"/>
      <c r="L154" s="44"/>
    </row>
    <row r="155" spans="2:15" ht="15" thickBot="1">
      <c r="B155" s="18">
        <v>1</v>
      </c>
      <c r="C155" s="11">
        <v>-1</v>
      </c>
      <c r="D155" s="17">
        <v>1</v>
      </c>
      <c r="E155" s="16">
        <v>11600</v>
      </c>
    </row>
    <row r="156" spans="2:15">
      <c r="B156" s="18">
        <v>-1</v>
      </c>
      <c r="C156" s="11">
        <v>1</v>
      </c>
      <c r="D156" s="17">
        <v>1</v>
      </c>
      <c r="E156" s="16">
        <v>19000</v>
      </c>
      <c r="G156" s="45"/>
      <c r="H156" s="45" t="s">
        <v>68</v>
      </c>
      <c r="I156" s="45" t="s">
        <v>56</v>
      </c>
      <c r="J156" s="45" t="s">
        <v>69</v>
      </c>
      <c r="K156" s="45" t="s">
        <v>70</v>
      </c>
      <c r="L156" s="45" t="s">
        <v>71</v>
      </c>
      <c r="M156" s="45" t="s">
        <v>72</v>
      </c>
      <c r="N156" s="45" t="s">
        <v>73</v>
      </c>
      <c r="O156" s="45" t="s">
        <v>74</v>
      </c>
    </row>
    <row r="157" spans="2:15">
      <c r="B157" s="21">
        <v>1</v>
      </c>
      <c r="C157" s="31">
        <v>1</v>
      </c>
      <c r="D157" s="20">
        <v>1</v>
      </c>
      <c r="E157" s="19">
        <v>18000</v>
      </c>
      <c r="G157" t="s">
        <v>62</v>
      </c>
      <c r="H157" s="73">
        <v>16379.125</v>
      </c>
      <c r="I157">
        <v>351.72363529481498</v>
      </c>
      <c r="J157">
        <v>46.568167039076023</v>
      </c>
      <c r="K157">
        <v>6.2802535025545679E-15</v>
      </c>
      <c r="L157">
        <v>15612.78503092246</v>
      </c>
      <c r="M157">
        <v>17145.46496907754</v>
      </c>
      <c r="N157">
        <v>15612.78503092246</v>
      </c>
      <c r="O157">
        <v>17145.46496907754</v>
      </c>
    </row>
    <row r="158" spans="2:15">
      <c r="G158" t="s">
        <v>18</v>
      </c>
      <c r="H158" s="73">
        <v>-880.375</v>
      </c>
      <c r="I158">
        <v>351.72363529481498</v>
      </c>
      <c r="J158">
        <v>-2.5030305377745488</v>
      </c>
      <c r="K158">
        <v>2.776061763774787E-2</v>
      </c>
      <c r="L158">
        <v>-1646.71496907754</v>
      </c>
      <c r="M158">
        <v>-114.0350309224599</v>
      </c>
      <c r="N158">
        <v>-1646.71496907754</v>
      </c>
      <c r="O158">
        <v>-114.0350309224599</v>
      </c>
    </row>
    <row r="159" spans="2:15">
      <c r="G159" t="s">
        <v>19</v>
      </c>
      <c r="H159" s="73">
        <v>3332.125</v>
      </c>
      <c r="I159">
        <v>351.72363529481498</v>
      </c>
      <c r="J159">
        <v>9.4737022640147863</v>
      </c>
      <c r="K159">
        <v>6.4025043355402372E-7</v>
      </c>
      <c r="L159">
        <v>2565.78503092246</v>
      </c>
      <c r="M159">
        <v>4098.4649690775404</v>
      </c>
      <c r="N159">
        <v>2565.78503092246</v>
      </c>
      <c r="O159">
        <v>4098.4649690775404</v>
      </c>
    </row>
    <row r="160" spans="2:15" ht="15" thickBot="1">
      <c r="G160" s="44" t="s">
        <v>20</v>
      </c>
      <c r="H160" s="74">
        <v>-1755.8749999999995</v>
      </c>
      <c r="I160" s="44">
        <v>351.72363529481498</v>
      </c>
      <c r="J160" s="44">
        <v>-4.9922007616241766</v>
      </c>
      <c r="K160" s="44">
        <v>3.1337846148396509E-4</v>
      </c>
      <c r="L160" s="44">
        <v>-2522.2149690775395</v>
      </c>
      <c r="M160" s="44">
        <v>-989.53503092245944</v>
      </c>
      <c r="N160" s="44">
        <v>-2522.2149690775395</v>
      </c>
      <c r="O160" s="44">
        <v>-989.53503092245944</v>
      </c>
    </row>
    <row r="162" spans="2:17">
      <c r="G162" s="75" t="s">
        <v>83</v>
      </c>
      <c r="H162" s="8">
        <f>H157</f>
        <v>16379.125</v>
      </c>
      <c r="I162" s="8" t="s">
        <v>89</v>
      </c>
      <c r="J162" s="8">
        <f>H158</f>
        <v>-880.375</v>
      </c>
      <c r="K162" s="8" t="s">
        <v>84</v>
      </c>
      <c r="L162" s="8" t="s">
        <v>89</v>
      </c>
      <c r="M162" s="8">
        <f>H159</f>
        <v>3332.125</v>
      </c>
      <c r="N162" s="8" t="s">
        <v>85</v>
      </c>
      <c r="O162" s="8" t="s">
        <v>89</v>
      </c>
      <c r="P162" s="8">
        <f>H160</f>
        <v>-1755.8749999999995</v>
      </c>
      <c r="Q162" s="9" t="s">
        <v>86</v>
      </c>
    </row>
    <row r="164" spans="2:17" ht="15">
      <c r="B164" s="27" t="s">
        <v>87</v>
      </c>
      <c r="C164" s="28"/>
      <c r="D164" s="28"/>
      <c r="E164" s="28"/>
      <c r="F164" s="28"/>
      <c r="G164" s="28"/>
      <c r="H164" s="28"/>
      <c r="I164" s="28"/>
      <c r="J164" s="28"/>
      <c r="K164" s="29"/>
    </row>
    <row r="166" spans="2:17" ht="15">
      <c r="B166" s="7"/>
      <c r="C166" s="22" t="s">
        <v>21</v>
      </c>
      <c r="D166" s="23" t="s">
        <v>22</v>
      </c>
      <c r="E166" s="24" t="s">
        <v>23</v>
      </c>
      <c r="F166" s="23" t="s">
        <v>24</v>
      </c>
    </row>
    <row r="167" spans="2:17" ht="15">
      <c r="B167" s="25" t="s">
        <v>13</v>
      </c>
      <c r="C167" s="13">
        <v>50000</v>
      </c>
      <c r="D167" s="14">
        <v>100000</v>
      </c>
      <c r="E167" s="13">
        <f>(C167+D167)/2</f>
        <v>75000</v>
      </c>
      <c r="F167" s="14">
        <f>(D167-C167)/2</f>
        <v>25000</v>
      </c>
    </row>
    <row r="168" spans="2:17" ht="15">
      <c r="B168" s="25" t="s">
        <v>5</v>
      </c>
      <c r="C168" s="16">
        <v>80</v>
      </c>
      <c r="D168" s="17">
        <v>110</v>
      </c>
      <c r="E168" s="16">
        <f>(C168+D168)/2</f>
        <v>95</v>
      </c>
      <c r="F168" s="17">
        <f>(D168-C168)/2</f>
        <v>15</v>
      </c>
    </row>
    <row r="169" spans="2:17" ht="15">
      <c r="B169" s="26" t="s">
        <v>6</v>
      </c>
      <c r="C169" s="19">
        <v>3</v>
      </c>
      <c r="D169" s="20">
        <v>6</v>
      </c>
      <c r="E169" s="19">
        <f>(C169+D169)/2</f>
        <v>4.5</v>
      </c>
      <c r="F169" s="20">
        <f>(D169-C169)/2</f>
        <v>1.5</v>
      </c>
    </row>
    <row r="170" spans="2:17" ht="15" thickBot="1"/>
    <row r="171" spans="2:17">
      <c r="B171" s="45"/>
      <c r="C171" s="45" t="s">
        <v>68</v>
      </c>
      <c r="D171" s="45" t="s">
        <v>56</v>
      </c>
      <c r="E171" s="45" t="s">
        <v>69</v>
      </c>
      <c r="F171" s="45" t="s">
        <v>70</v>
      </c>
      <c r="G171" s="45" t="s">
        <v>71</v>
      </c>
      <c r="H171" s="45" t="s">
        <v>72</v>
      </c>
      <c r="I171" s="45" t="s">
        <v>73</v>
      </c>
      <c r="J171" s="45" t="s">
        <v>74</v>
      </c>
    </row>
    <row r="172" spans="2:17">
      <c r="B172" t="s">
        <v>62</v>
      </c>
      <c r="C172" s="73">
        <v>16379.125</v>
      </c>
      <c r="D172">
        <v>351.72363529481498</v>
      </c>
      <c r="E172">
        <v>46.568167039076023</v>
      </c>
      <c r="F172">
        <v>6.2802535025545679E-15</v>
      </c>
      <c r="G172">
        <v>15612.78503092246</v>
      </c>
      <c r="H172">
        <v>17145.46496907754</v>
      </c>
      <c r="I172">
        <v>15612.78503092246</v>
      </c>
      <c r="J172">
        <v>17145.46496907754</v>
      </c>
    </row>
    <row r="173" spans="2:17">
      <c r="B173" t="s">
        <v>18</v>
      </c>
      <c r="C173" s="73">
        <v>-880.375</v>
      </c>
      <c r="D173">
        <v>351.72363529481498</v>
      </c>
      <c r="E173">
        <v>-2.5030305377745488</v>
      </c>
      <c r="F173">
        <v>2.776061763774787E-2</v>
      </c>
      <c r="G173">
        <v>-1646.71496907754</v>
      </c>
      <c r="H173">
        <v>-114.0350309224599</v>
      </c>
      <c r="I173">
        <v>-1646.71496907754</v>
      </c>
      <c r="J173">
        <v>-114.0350309224599</v>
      </c>
    </row>
    <row r="174" spans="2:17">
      <c r="B174" t="s">
        <v>19</v>
      </c>
      <c r="C174" s="73">
        <v>3332.125</v>
      </c>
      <c r="D174">
        <v>351.72363529481498</v>
      </c>
      <c r="E174">
        <v>9.4737022640147863</v>
      </c>
      <c r="F174">
        <v>6.4025043355402372E-7</v>
      </c>
      <c r="G174">
        <v>2565.78503092246</v>
      </c>
      <c r="H174">
        <v>4098.4649690775404</v>
      </c>
      <c r="I174">
        <v>2565.78503092246</v>
      </c>
      <c r="J174">
        <v>4098.4649690775404</v>
      </c>
    </row>
    <row r="175" spans="2:17" ht="15" thickBot="1">
      <c r="B175" s="44" t="s">
        <v>20</v>
      </c>
      <c r="C175" s="74">
        <v>-1755.8749999999995</v>
      </c>
      <c r="D175" s="44">
        <v>351.72363529481498</v>
      </c>
      <c r="E175" s="44">
        <v>-4.9922007616241766</v>
      </c>
      <c r="F175" s="44">
        <v>3.1337846148396509E-4</v>
      </c>
      <c r="G175" s="44">
        <v>-2522.2149690775395</v>
      </c>
      <c r="H175" s="44">
        <v>-989.53503092245944</v>
      </c>
      <c r="I175" s="44">
        <v>-2522.2149690775395</v>
      </c>
      <c r="J175" s="44">
        <v>-989.53503092245944</v>
      </c>
    </row>
    <row r="177" spans="2:12">
      <c r="B177" t="s">
        <v>83</v>
      </c>
      <c r="C177">
        <f>C172</f>
        <v>16379.125</v>
      </c>
      <c r="D177" t="s">
        <v>89</v>
      </c>
      <c r="E177">
        <f>C173</f>
        <v>-880.375</v>
      </c>
      <c r="F177" t="s">
        <v>84</v>
      </c>
      <c r="G177" t="s">
        <v>89</v>
      </c>
      <c r="H177">
        <f>C174</f>
        <v>3332.125</v>
      </c>
      <c r="I177" t="s">
        <v>85</v>
      </c>
      <c r="J177" t="s">
        <v>89</v>
      </c>
      <c r="K177">
        <f>C175</f>
        <v>-1755.8749999999995</v>
      </c>
      <c r="L177" t="s">
        <v>86</v>
      </c>
    </row>
    <row r="178" spans="2:12">
      <c r="B178" t="s">
        <v>88</v>
      </c>
      <c r="C178">
        <f>C177</f>
        <v>16379.125</v>
      </c>
      <c r="D178" t="s">
        <v>89</v>
      </c>
      <c r="E178">
        <f>E177</f>
        <v>-880.375</v>
      </c>
      <c r="F178" t="s">
        <v>90</v>
      </c>
      <c r="G178" t="s">
        <v>89</v>
      </c>
      <c r="H178">
        <f>H177</f>
        <v>3332.125</v>
      </c>
      <c r="I178" t="s">
        <v>91</v>
      </c>
      <c r="J178" t="s">
        <v>89</v>
      </c>
      <c r="K178">
        <f>K177</f>
        <v>-1755.8749999999995</v>
      </c>
      <c r="L178" t="s">
        <v>92</v>
      </c>
    </row>
    <row r="179" spans="2:12">
      <c r="B179" s="75" t="s">
        <v>88</v>
      </c>
      <c r="C179" s="8">
        <f>C178+E178*(-75000/25000)+H178*(-95/15)+K178*(-4.5/1.5)</f>
        <v>3184.4166666666661</v>
      </c>
      <c r="D179" s="8" t="s">
        <v>89</v>
      </c>
      <c r="E179" s="8">
        <f>E178/25000</f>
        <v>-3.5215000000000003E-2</v>
      </c>
      <c r="F179" s="8" t="s">
        <v>93</v>
      </c>
      <c r="G179" s="8" t="s">
        <v>89</v>
      </c>
      <c r="H179" s="8">
        <f>H178/15</f>
        <v>222.14166666666668</v>
      </c>
      <c r="I179" s="8" t="s">
        <v>94</v>
      </c>
      <c r="J179" s="8" t="s">
        <v>89</v>
      </c>
      <c r="K179" s="8">
        <f>K178/1.5</f>
        <v>-1170.583333333333</v>
      </c>
      <c r="L179" s="9" t="s">
        <v>95</v>
      </c>
    </row>
    <row r="181" spans="2:12">
      <c r="B181" s="76"/>
      <c r="C181" s="76"/>
      <c r="D181" s="76"/>
      <c r="E181" s="76"/>
      <c r="F181" s="76"/>
      <c r="G181" s="76"/>
    </row>
    <row r="182" spans="2:12" ht="15">
      <c r="B182" s="77" t="s">
        <v>96</v>
      </c>
      <c r="C182" s="28"/>
      <c r="D182" s="28"/>
      <c r="E182" s="28"/>
      <c r="F182" s="28"/>
      <c r="G182" s="28"/>
      <c r="H182" s="29"/>
    </row>
    <row r="185" spans="2:12" ht="15">
      <c r="B185" s="32" t="s">
        <v>97</v>
      </c>
      <c r="C185">
        <f>I152/I154</f>
        <v>0.90973253631215778</v>
      </c>
      <c r="D185" t="s">
        <v>98</v>
      </c>
    </row>
    <row r="186" spans="2:12">
      <c r="B186" s="32"/>
    </row>
    <row r="187" spans="2:12">
      <c r="B187" s="32"/>
    </row>
    <row r="188" spans="2:12">
      <c r="B188" s="76"/>
      <c r="C188" s="76"/>
      <c r="D188" s="76"/>
      <c r="E188" s="76"/>
      <c r="F188" s="76"/>
      <c r="G188" s="76"/>
      <c r="H188" s="76"/>
      <c r="I188" s="76"/>
      <c r="J188" s="76"/>
    </row>
    <row r="189" spans="2:12" ht="15">
      <c r="B189" s="27" t="s">
        <v>99</v>
      </c>
      <c r="C189" s="28"/>
      <c r="D189" s="28"/>
      <c r="E189" s="28"/>
      <c r="F189" s="28"/>
      <c r="G189" s="28"/>
      <c r="H189" s="28"/>
      <c r="I189" s="28"/>
      <c r="J189" s="28"/>
      <c r="K189" s="29"/>
    </row>
    <row r="191" spans="2:12" ht="15">
      <c r="B191" s="78" t="s">
        <v>101</v>
      </c>
      <c r="C191" s="78"/>
      <c r="D191" s="78"/>
      <c r="E191" s="73">
        <f>C196</f>
        <v>0.89332791361290198</v>
      </c>
    </row>
    <row r="192" spans="2:12" ht="15" thickBot="1"/>
    <row r="193" spans="2:6">
      <c r="B193" s="46" t="s">
        <v>52</v>
      </c>
      <c r="C193" s="46"/>
      <c r="F193" s="3"/>
    </row>
    <row r="194" spans="2:6">
      <c r="B194" t="s">
        <v>53</v>
      </c>
      <c r="C194">
        <v>0.97113759096924446</v>
      </c>
    </row>
    <row r="195" spans="2:6">
      <c r="B195" t="s">
        <v>54</v>
      </c>
      <c r="C195">
        <v>0.9431082205935476</v>
      </c>
    </row>
    <row r="196" spans="2:6">
      <c r="B196" s="73" t="s">
        <v>55</v>
      </c>
      <c r="C196" s="73">
        <v>0.89332791361290198</v>
      </c>
    </row>
    <row r="197" spans="2:6">
      <c r="B197" t="s">
        <v>56</v>
      </c>
      <c r="C197">
        <v>1367.9376813290874</v>
      </c>
    </row>
    <row r="198" spans="2:6" ht="15" thickBot="1">
      <c r="B198" s="44" t="s">
        <v>57</v>
      </c>
      <c r="C198" s="44">
        <v>16</v>
      </c>
    </row>
    <row r="200" spans="2:6" ht="15">
      <c r="B200" s="78" t="s">
        <v>102</v>
      </c>
      <c r="C200" s="78"/>
      <c r="D200" s="78"/>
      <c r="E200" s="73">
        <f>C205</f>
        <v>0.887165670390197</v>
      </c>
    </row>
    <row r="201" spans="2:6" ht="15" thickBot="1"/>
    <row r="202" spans="2:6">
      <c r="B202" s="46" t="s">
        <v>52</v>
      </c>
      <c r="C202" s="46"/>
    </row>
    <row r="203" spans="2:6">
      <c r="B203" t="s">
        <v>53</v>
      </c>
      <c r="C203">
        <v>0.95379900205030499</v>
      </c>
    </row>
    <row r="204" spans="2:6">
      <c r="B204" t="s">
        <v>54</v>
      </c>
      <c r="C204">
        <v>0.90973253631215778</v>
      </c>
    </row>
    <row r="205" spans="2:6">
      <c r="B205" s="73" t="s">
        <v>55</v>
      </c>
      <c r="C205" s="73">
        <v>0.887165670390197</v>
      </c>
    </row>
    <row r="206" spans="2:6">
      <c r="B206" t="s">
        <v>56</v>
      </c>
      <c r="C206">
        <v>1406.8945411792599</v>
      </c>
    </row>
    <row r="207" spans="2:6" ht="15" thickBot="1">
      <c r="B207" s="44" t="s">
        <v>57</v>
      </c>
      <c r="C207" s="44">
        <v>16</v>
      </c>
    </row>
    <row r="208" spans="2:6">
      <c r="B208" s="142"/>
      <c r="C208" s="142"/>
      <c r="E208" s="3" t="s">
        <v>100</v>
      </c>
    </row>
    <row r="209" spans="2:10">
      <c r="B209" s="142"/>
      <c r="C209" s="142"/>
      <c r="E209" s="3" t="s">
        <v>103</v>
      </c>
    </row>
    <row r="210" spans="2:10">
      <c r="B210" s="142"/>
      <c r="C210" s="142"/>
      <c r="E210" s="3" t="s">
        <v>104</v>
      </c>
    </row>
    <row r="211" spans="2:10">
      <c r="B211" s="142"/>
      <c r="C211" s="142"/>
      <c r="E211" t="s">
        <v>105</v>
      </c>
    </row>
    <row r="213" spans="2:10" ht="15">
      <c r="B213" s="27" t="s">
        <v>106</v>
      </c>
      <c r="C213" s="28"/>
      <c r="D213" s="29"/>
    </row>
    <row r="221" spans="2:10">
      <c r="B221" s="3"/>
      <c r="C221" s="3"/>
      <c r="D221" s="3"/>
      <c r="E221" s="3"/>
      <c r="F221" s="3"/>
      <c r="G221" s="3"/>
      <c r="H221" s="3"/>
      <c r="I221" s="3"/>
      <c r="J221" s="3"/>
    </row>
    <row r="222" spans="2:10">
      <c r="B222" s="3" t="s">
        <v>270</v>
      </c>
      <c r="C222" s="3"/>
      <c r="D222" s="3"/>
      <c r="E222" s="3"/>
      <c r="F222" s="3"/>
      <c r="G222" s="3"/>
      <c r="H222" s="3"/>
      <c r="I222" s="3"/>
      <c r="J222" s="3"/>
    </row>
    <row r="224" spans="2:10" ht="15">
      <c r="B224" s="27" t="s">
        <v>107</v>
      </c>
      <c r="C224" s="28"/>
      <c r="D224" s="28"/>
      <c r="E224" s="28"/>
      <c r="F224" s="29"/>
    </row>
    <row r="226" spans="2:7" ht="15" thickBot="1">
      <c r="B226" t="s">
        <v>58</v>
      </c>
    </row>
    <row r="227" spans="2:7">
      <c r="B227" s="45"/>
      <c r="C227" s="45" t="s">
        <v>63</v>
      </c>
      <c r="D227" s="45" t="s">
        <v>64</v>
      </c>
      <c r="E227" s="45" t="s">
        <v>65</v>
      </c>
      <c r="F227" s="45" t="s">
        <v>66</v>
      </c>
      <c r="G227" s="45" t="s">
        <v>67</v>
      </c>
    </row>
    <row r="228" spans="2:7">
      <c r="B228" t="s">
        <v>59</v>
      </c>
      <c r="C228">
        <v>3</v>
      </c>
      <c r="D228">
        <v>239379426.75</v>
      </c>
      <c r="E228">
        <v>79793142.25</v>
      </c>
      <c r="F228">
        <v>40.312754968197297</v>
      </c>
      <c r="G228">
        <v>1.5238710216412619E-6</v>
      </c>
    </row>
    <row r="229" spans="2:7">
      <c r="B229" t="s">
        <v>60</v>
      </c>
      <c r="C229">
        <v>12</v>
      </c>
      <c r="D229">
        <v>23752227.000000004</v>
      </c>
      <c r="E229">
        <v>1979352.2500000002</v>
      </c>
    </row>
    <row r="230" spans="2:7" ht="15" thickBot="1">
      <c r="B230" s="44" t="s">
        <v>61</v>
      </c>
      <c r="C230" s="44">
        <v>15</v>
      </c>
      <c r="D230" s="44">
        <v>263131653.75</v>
      </c>
      <c r="E230" s="44"/>
      <c r="F230" s="44"/>
      <c r="G230" s="44"/>
    </row>
    <row r="232" spans="2:7" ht="15">
      <c r="B232" t="s">
        <v>289</v>
      </c>
      <c r="F232" s="80" t="s">
        <v>108</v>
      </c>
    </row>
    <row r="234" spans="2:7">
      <c r="B234" s="32" t="s">
        <v>109</v>
      </c>
      <c r="C234">
        <f>E228</f>
        <v>79793142.25</v>
      </c>
    </row>
    <row r="235" spans="2:7">
      <c r="B235" s="32" t="s">
        <v>110</v>
      </c>
      <c r="C235">
        <f>E229</f>
        <v>1979352.2500000002</v>
      </c>
    </row>
    <row r="236" spans="2:7">
      <c r="B236" s="32" t="s">
        <v>111</v>
      </c>
      <c r="C236">
        <f>C234/C235</f>
        <v>40.312754968197297</v>
      </c>
    </row>
    <row r="237" spans="2:7">
      <c r="B237" s="32" t="s">
        <v>112</v>
      </c>
      <c r="C237">
        <f>_xlfn.F.INV(0.95,3,12)</f>
        <v>3.4902948194976031</v>
      </c>
    </row>
    <row r="238" spans="2:7">
      <c r="B238" s="32" t="s">
        <v>113</v>
      </c>
      <c r="C238">
        <f>1-_xlfn.F.DIST(C236,3,12,1)</f>
        <v>1.5238710215914608E-6</v>
      </c>
    </row>
    <row r="239" spans="2:7">
      <c r="B239" s="32" t="s">
        <v>114</v>
      </c>
      <c r="C239" t="s">
        <v>115</v>
      </c>
    </row>
    <row r="240" spans="2:7">
      <c r="B240" s="32" t="s">
        <v>116</v>
      </c>
      <c r="C240" t="s">
        <v>290</v>
      </c>
    </row>
    <row r="241" spans="2:9">
      <c r="B241" s="32"/>
      <c r="C241" t="s">
        <v>118</v>
      </c>
    </row>
    <row r="242" spans="2:9">
      <c r="B242" s="32" t="s">
        <v>117</v>
      </c>
      <c r="C242" t="s">
        <v>290</v>
      </c>
    </row>
    <row r="243" spans="2:9">
      <c r="C243" t="s">
        <v>118</v>
      </c>
    </row>
    <row r="245" spans="2:9" ht="15">
      <c r="B245" s="81" t="s">
        <v>119</v>
      </c>
      <c r="C245" s="82"/>
      <c r="D245" s="82"/>
      <c r="E245" s="82"/>
      <c r="F245" s="83"/>
    </row>
    <row r="248" spans="2:9" ht="15">
      <c r="B248" s="27" t="s">
        <v>120</v>
      </c>
      <c r="C248" s="28"/>
      <c r="D248" s="29"/>
      <c r="F248" s="80" t="s">
        <v>108</v>
      </c>
    </row>
    <row r="250" spans="2:9" ht="15" thickBot="1">
      <c r="B250" t="s">
        <v>58</v>
      </c>
      <c r="G250" s="44"/>
    </row>
    <row r="251" spans="2:9">
      <c r="B251" s="45"/>
      <c r="C251" s="45" t="s">
        <v>63</v>
      </c>
      <c r="D251" s="45" t="s">
        <v>64</v>
      </c>
      <c r="E251" s="45" t="s">
        <v>65</v>
      </c>
      <c r="F251" s="45" t="s">
        <v>66</v>
      </c>
      <c r="G251" s="45" t="s">
        <v>121</v>
      </c>
      <c r="H251" s="45" t="s">
        <v>67</v>
      </c>
      <c r="I251" s="76"/>
    </row>
    <row r="252" spans="2:9">
      <c r="B252" t="s">
        <v>59</v>
      </c>
      <c r="C252">
        <v>3</v>
      </c>
      <c r="D252">
        <v>239379426.75</v>
      </c>
      <c r="E252">
        <v>79793142.25</v>
      </c>
      <c r="F252">
        <v>40.312754968197297</v>
      </c>
      <c r="G252">
        <f>_xlfn.F.INV(0.95,C252,C253)</f>
        <v>3.4902948194976031</v>
      </c>
      <c r="H252">
        <v>1.5238710216412619E-6</v>
      </c>
    </row>
    <row r="253" spans="2:9">
      <c r="B253" t="s">
        <v>60</v>
      </c>
      <c r="C253">
        <v>12</v>
      </c>
      <c r="D253">
        <v>23752227.000000004</v>
      </c>
      <c r="E253">
        <v>1979352.25</v>
      </c>
    </row>
    <row r="254" spans="2:9">
      <c r="B254" t="s">
        <v>122</v>
      </c>
      <c r="C254">
        <f>C253-C255</f>
        <v>4</v>
      </c>
      <c r="D254">
        <f>D253-D255</f>
        <v>8782199.0000000037</v>
      </c>
      <c r="E254">
        <f>D254/C254</f>
        <v>2195549.7500000009</v>
      </c>
      <c r="F254">
        <f>E254/E255</f>
        <v>1.173304285068806</v>
      </c>
      <c r="G254">
        <f>_xlfn.F.INV(0.95,C254,C255)</f>
        <v>3.8378533545558948</v>
      </c>
      <c r="H254">
        <f>1-_xlfn.F.DIST(F254,C254,C255,1)</f>
        <v>0.39115070886687275</v>
      </c>
    </row>
    <row r="255" spans="2:9">
      <c r="B255" t="s">
        <v>123</v>
      </c>
      <c r="C255">
        <f>G275</f>
        <v>8</v>
      </c>
      <c r="D255">
        <f>F275</f>
        <v>14970028</v>
      </c>
      <c r="E255">
        <f>D255/C255</f>
        <v>1871253.5</v>
      </c>
    </row>
    <row r="256" spans="2:9" ht="15" thickBot="1">
      <c r="B256" s="44" t="s">
        <v>61</v>
      </c>
      <c r="C256" s="44">
        <v>15</v>
      </c>
      <c r="D256" s="44">
        <f>D230</f>
        <v>263131653.75</v>
      </c>
      <c r="E256" s="44"/>
      <c r="F256" s="44"/>
      <c r="G256" s="44"/>
      <c r="H256" s="44"/>
    </row>
    <row r="258" spans="2:7" ht="15">
      <c r="B258" s="12" t="s">
        <v>18</v>
      </c>
      <c r="C258" s="12" t="s">
        <v>19</v>
      </c>
      <c r="D258" s="12" t="s">
        <v>20</v>
      </c>
      <c r="E258" s="43" t="s">
        <v>14</v>
      </c>
      <c r="F258" s="12" t="s">
        <v>124</v>
      </c>
      <c r="G258" s="12" t="s">
        <v>125</v>
      </c>
    </row>
    <row r="259" spans="2:7">
      <c r="B259" s="15">
        <v>-1</v>
      </c>
      <c r="C259" s="30">
        <v>-1</v>
      </c>
      <c r="D259" s="14">
        <v>-1</v>
      </c>
      <c r="E259" s="13">
        <v>15500</v>
      </c>
      <c r="F259" s="34">
        <f t="shared" ref="F259:F266" si="12">DEVSQ(E259,E267)</f>
        <v>5000</v>
      </c>
      <c r="G259" s="34">
        <v>1</v>
      </c>
    </row>
    <row r="260" spans="2:7">
      <c r="B260" s="18">
        <v>1</v>
      </c>
      <c r="C260" s="11">
        <v>-1</v>
      </c>
      <c r="D260" s="17">
        <v>-1</v>
      </c>
      <c r="E260" s="16">
        <v>14490</v>
      </c>
      <c r="F260" s="34">
        <f t="shared" si="12"/>
        <v>1264050</v>
      </c>
      <c r="G260" s="34">
        <v>1</v>
      </c>
    </row>
    <row r="261" spans="2:7">
      <c r="B261" s="18">
        <v>-1</v>
      </c>
      <c r="C261" s="11">
        <v>1</v>
      </c>
      <c r="D261" s="17">
        <v>-1</v>
      </c>
      <c r="E261" s="16">
        <v>23000</v>
      </c>
      <c r="F261" s="34">
        <f t="shared" si="12"/>
        <v>490050</v>
      </c>
      <c r="G261" s="34">
        <v>1</v>
      </c>
    </row>
    <row r="262" spans="2:7">
      <c r="B262" s="18">
        <v>1</v>
      </c>
      <c r="C262" s="11">
        <v>1</v>
      </c>
      <c r="D262" s="17">
        <v>-1</v>
      </c>
      <c r="E262" s="16">
        <v>17800</v>
      </c>
      <c r="F262" s="34">
        <f t="shared" si="12"/>
        <v>8820000</v>
      </c>
      <c r="G262" s="34">
        <v>1</v>
      </c>
    </row>
    <row r="263" spans="2:7">
      <c r="B263" s="18">
        <v>-1</v>
      </c>
      <c r="C263" s="11">
        <v>-1</v>
      </c>
      <c r="D263" s="17">
        <v>1</v>
      </c>
      <c r="E263" s="16">
        <v>10685</v>
      </c>
      <c r="F263" s="34">
        <f t="shared" si="12"/>
        <v>865928</v>
      </c>
      <c r="G263" s="34">
        <v>1</v>
      </c>
    </row>
    <row r="264" spans="2:7">
      <c r="B264" s="18">
        <v>1</v>
      </c>
      <c r="C264" s="11">
        <v>-1</v>
      </c>
      <c r="D264" s="17">
        <v>1</v>
      </c>
      <c r="E264" s="16">
        <v>11800</v>
      </c>
      <c r="F264" s="34">
        <f t="shared" si="12"/>
        <v>20000</v>
      </c>
      <c r="G264" s="34">
        <v>1</v>
      </c>
    </row>
    <row r="265" spans="2:7">
      <c r="B265" s="18">
        <v>-1</v>
      </c>
      <c r="C265" s="11">
        <v>1</v>
      </c>
      <c r="D265" s="17">
        <v>1</v>
      </c>
      <c r="E265" s="16">
        <v>18500</v>
      </c>
      <c r="F265" s="34">
        <f t="shared" si="12"/>
        <v>125000</v>
      </c>
      <c r="G265" s="34">
        <v>1</v>
      </c>
    </row>
    <row r="266" spans="2:7">
      <c r="B266" s="18">
        <v>1</v>
      </c>
      <c r="C266" s="11">
        <v>1</v>
      </c>
      <c r="D266" s="17">
        <v>1</v>
      </c>
      <c r="E266" s="16">
        <v>15400</v>
      </c>
      <c r="F266" s="34">
        <f t="shared" si="12"/>
        <v>3380000</v>
      </c>
      <c r="G266" s="34">
        <v>1</v>
      </c>
    </row>
    <row r="267" spans="2:7">
      <c r="B267" s="18">
        <v>-1</v>
      </c>
      <c r="C267" s="11">
        <v>-1</v>
      </c>
      <c r="D267" s="17">
        <v>-1</v>
      </c>
      <c r="E267" s="16">
        <v>15400</v>
      </c>
      <c r="F267" s="34"/>
      <c r="G267" s="34"/>
    </row>
    <row r="268" spans="2:7">
      <c r="B268" s="18">
        <v>1</v>
      </c>
      <c r="C268" s="11">
        <v>-1</v>
      </c>
      <c r="D268" s="17">
        <v>-1</v>
      </c>
      <c r="E268" s="16">
        <v>12900</v>
      </c>
      <c r="F268" s="34"/>
      <c r="G268" s="34"/>
    </row>
    <row r="269" spans="2:7">
      <c r="B269" s="18">
        <v>-1</v>
      </c>
      <c r="C269" s="11">
        <v>1</v>
      </c>
      <c r="D269" s="17">
        <v>-1</v>
      </c>
      <c r="E269" s="16">
        <v>23990</v>
      </c>
      <c r="F269" s="34"/>
      <c r="G269" s="34"/>
    </row>
    <row r="270" spans="2:7">
      <c r="B270" s="18">
        <v>1</v>
      </c>
      <c r="C270" s="11">
        <v>1</v>
      </c>
      <c r="D270" s="17">
        <v>-1</v>
      </c>
      <c r="E270" s="16">
        <v>22000</v>
      </c>
      <c r="F270" s="34"/>
      <c r="G270" s="34"/>
    </row>
    <row r="271" spans="2:7">
      <c r="B271" s="18">
        <v>-1</v>
      </c>
      <c r="C271" s="11">
        <v>-1</v>
      </c>
      <c r="D271" s="17">
        <v>1</v>
      </c>
      <c r="E271" s="16">
        <v>12001</v>
      </c>
      <c r="F271" s="34"/>
      <c r="G271" s="34"/>
    </row>
    <row r="272" spans="2:7">
      <c r="B272" s="18">
        <v>1</v>
      </c>
      <c r="C272" s="11">
        <v>-1</v>
      </c>
      <c r="D272" s="17">
        <v>1</v>
      </c>
      <c r="E272" s="16">
        <v>11600</v>
      </c>
      <c r="F272" s="34"/>
      <c r="G272" s="34"/>
    </row>
    <row r="273" spans="2:7">
      <c r="B273" s="18">
        <v>-1</v>
      </c>
      <c r="C273" s="11">
        <v>1</v>
      </c>
      <c r="D273" s="17">
        <v>1</v>
      </c>
      <c r="E273" s="16">
        <v>19000</v>
      </c>
      <c r="F273" s="34"/>
      <c r="G273" s="34"/>
    </row>
    <row r="274" spans="2:7">
      <c r="B274" s="21">
        <v>1</v>
      </c>
      <c r="C274" s="31">
        <v>1</v>
      </c>
      <c r="D274" s="20">
        <v>1</v>
      </c>
      <c r="E274" s="19">
        <v>18000</v>
      </c>
      <c r="F274" s="35"/>
      <c r="G274" s="35"/>
    </row>
    <row r="275" spans="2:7">
      <c r="F275">
        <f>SUM(F259:F266)</f>
        <v>14970028</v>
      </c>
      <c r="G275">
        <f>SUM(G259:G266)</f>
        <v>8</v>
      </c>
    </row>
    <row r="277" spans="2:7" ht="15">
      <c r="B277" t="s">
        <v>126</v>
      </c>
    </row>
    <row r="279" spans="2:7">
      <c r="B279" s="32" t="s">
        <v>111</v>
      </c>
      <c r="C279" s="32">
        <f>F254</f>
        <v>1.173304285068806</v>
      </c>
    </row>
    <row r="280" spans="2:7">
      <c r="B280" s="32" t="s">
        <v>128</v>
      </c>
      <c r="C280" s="32">
        <f>G254</f>
        <v>3.8378533545558948</v>
      </c>
    </row>
    <row r="281" spans="2:7">
      <c r="B281" s="32" t="s">
        <v>114</v>
      </c>
      <c r="C281" s="32" t="s">
        <v>127</v>
      </c>
    </row>
    <row r="282" spans="2:7">
      <c r="B282" s="32" t="s">
        <v>113</v>
      </c>
      <c r="C282" s="32">
        <f>H254</f>
        <v>0.39115070886687275</v>
      </c>
    </row>
    <row r="283" spans="2:7">
      <c r="B283" s="32" t="s">
        <v>129</v>
      </c>
      <c r="C283" t="s">
        <v>130</v>
      </c>
    </row>
    <row r="284" spans="2:7">
      <c r="C284" t="s">
        <v>131</v>
      </c>
    </row>
    <row r="285" spans="2:7">
      <c r="B285" s="32" t="s">
        <v>132</v>
      </c>
      <c r="C285" t="s">
        <v>130</v>
      </c>
    </row>
    <row r="286" spans="2:7">
      <c r="C286" t="s">
        <v>131</v>
      </c>
    </row>
    <row r="288" spans="2:7">
      <c r="B288" s="79" t="s">
        <v>133</v>
      </c>
    </row>
    <row r="290" spans="2:8" ht="15">
      <c r="B290" s="27" t="s">
        <v>134</v>
      </c>
      <c r="C290" s="28"/>
      <c r="D290" s="28"/>
      <c r="E290" s="29"/>
    </row>
    <row r="292" spans="2:8" ht="15">
      <c r="B292" t="s">
        <v>140</v>
      </c>
      <c r="D292" s="80" t="s">
        <v>108</v>
      </c>
      <c r="G292" t="s">
        <v>142</v>
      </c>
    </row>
    <row r="293" spans="2:8">
      <c r="B293" t="s">
        <v>141</v>
      </c>
      <c r="G293" t="s">
        <v>143</v>
      </c>
    </row>
    <row r="294" spans="2:8">
      <c r="H294" s="13">
        <v>15500</v>
      </c>
    </row>
    <row r="295" spans="2:8">
      <c r="B295" t="s">
        <v>135</v>
      </c>
      <c r="H295" s="16">
        <v>14490</v>
      </c>
    </row>
    <row r="296" spans="2:8">
      <c r="B296" t="s">
        <v>136</v>
      </c>
      <c r="H296" s="16">
        <v>23000</v>
      </c>
    </row>
    <row r="297" spans="2:8">
      <c r="C297" s="84">
        <v>15800</v>
      </c>
      <c r="D297" s="88">
        <f>C297-$B$91</f>
        <v>15799</v>
      </c>
      <c r="H297" s="16">
        <v>17800</v>
      </c>
    </row>
    <row r="298" spans="2:8">
      <c r="C298" s="84">
        <v>17100</v>
      </c>
      <c r="D298" s="88">
        <f t="shared" ref="D298:D301" si="13">C298-$B$91</f>
        <v>17099</v>
      </c>
      <c r="H298" s="16">
        <v>10685</v>
      </c>
    </row>
    <row r="299" spans="2:8">
      <c r="C299" s="84">
        <v>17900</v>
      </c>
      <c r="D299" s="88">
        <f t="shared" si="13"/>
        <v>17899</v>
      </c>
      <c r="H299" s="16">
        <v>11800</v>
      </c>
    </row>
    <row r="300" spans="2:8">
      <c r="C300" s="84">
        <v>18200</v>
      </c>
      <c r="D300" s="88">
        <f t="shared" si="13"/>
        <v>18199</v>
      </c>
      <c r="H300" s="16">
        <v>18500</v>
      </c>
    </row>
    <row r="301" spans="2:8">
      <c r="C301" s="85">
        <v>19799</v>
      </c>
      <c r="D301" s="88">
        <f t="shared" si="13"/>
        <v>19798</v>
      </c>
      <c r="H301" s="16">
        <v>15400</v>
      </c>
    </row>
    <row r="302" spans="2:8">
      <c r="B302" s="86" t="s">
        <v>137</v>
      </c>
      <c r="C302" s="6">
        <f>AVERAGE(C297:C301)</f>
        <v>17759.8</v>
      </c>
      <c r="D302" s="6">
        <f>SUM(D297:D301)</f>
        <v>88794</v>
      </c>
      <c r="E302" s="87"/>
      <c r="H302" s="16">
        <v>15400</v>
      </c>
    </row>
    <row r="303" spans="2:8">
      <c r="B303" s="86" t="s">
        <v>138</v>
      </c>
      <c r="C303" s="10">
        <f>COUNT(C297:C301)</f>
        <v>5</v>
      </c>
      <c r="D303" s="6">
        <f>DEVSQ(C297:C301)</f>
        <v>8647920.8000000007</v>
      </c>
      <c r="H303" s="16">
        <v>12900</v>
      </c>
    </row>
    <row r="304" spans="2:8">
      <c r="H304" s="16">
        <v>23990</v>
      </c>
    </row>
    <row r="305" spans="2:8">
      <c r="H305" s="16">
        <v>22000</v>
      </c>
    </row>
    <row r="306" spans="2:8">
      <c r="B306" s="32" t="s">
        <v>146</v>
      </c>
      <c r="C306" s="32">
        <f>((C303*H311)*((H310-C302)^2))/(C303+H311)</f>
        <v>7261956.0214285636</v>
      </c>
      <c r="H306" s="16">
        <v>12001</v>
      </c>
    </row>
    <row r="307" spans="2:8">
      <c r="B307" s="32" t="s">
        <v>147</v>
      </c>
      <c r="C307" s="32">
        <f>_xlfn.F.INV(0.95,1,4)</f>
        <v>7.7086474221767833</v>
      </c>
      <c r="H307" s="16">
        <v>11600</v>
      </c>
    </row>
    <row r="308" spans="2:8">
      <c r="B308" s="32" t="s">
        <v>148</v>
      </c>
      <c r="C308" s="32">
        <f>(C306/1)/(D303/(C303-1))</f>
        <v>3.3589373396798745</v>
      </c>
      <c r="H308" s="16">
        <v>19000</v>
      </c>
    </row>
    <row r="309" spans="2:8">
      <c r="B309" s="32" t="s">
        <v>113</v>
      </c>
      <c r="C309" s="32">
        <f>1-_xlfn.F.DIST(C308,1,4,1)</f>
        <v>0.14077909841290559</v>
      </c>
      <c r="H309" s="19">
        <v>18000</v>
      </c>
    </row>
    <row r="310" spans="2:8">
      <c r="B310" s="32" t="s">
        <v>114</v>
      </c>
      <c r="C310" s="32" t="s">
        <v>149</v>
      </c>
      <c r="G310" s="89" t="s">
        <v>144</v>
      </c>
      <c r="H310" s="6">
        <f>AVERAGE(H294:H309)</f>
        <v>16379.125</v>
      </c>
    </row>
    <row r="311" spans="2:8">
      <c r="G311" s="89" t="s">
        <v>145</v>
      </c>
      <c r="H311" s="10">
        <f>COUNT(H294:H309)</f>
        <v>16</v>
      </c>
    </row>
    <row r="313" spans="2:8">
      <c r="B313" s="32" t="s">
        <v>150</v>
      </c>
      <c r="C313" t="s">
        <v>151</v>
      </c>
    </row>
    <row r="314" spans="2:8">
      <c r="C314" t="s">
        <v>152</v>
      </c>
    </row>
    <row r="315" spans="2:8">
      <c r="B315" s="32" t="s">
        <v>132</v>
      </c>
      <c r="C315" t="s">
        <v>151</v>
      </c>
    </row>
    <row r="316" spans="2:8">
      <c r="B316" s="32"/>
      <c r="C316" t="s">
        <v>152</v>
      </c>
    </row>
    <row r="323" spans="2:7">
      <c r="B323" s="32"/>
    </row>
    <row r="324" spans="2:7">
      <c r="B324" s="32"/>
    </row>
    <row r="326" spans="2:7">
      <c r="B326" s="32"/>
    </row>
    <row r="327" spans="2:7" ht="15">
      <c r="B327" s="27" t="s">
        <v>153</v>
      </c>
      <c r="C327" s="28"/>
      <c r="D327" s="28"/>
      <c r="E327" s="28"/>
      <c r="F327" s="29"/>
    </row>
    <row r="328" spans="2:7">
      <c r="B328" s="32"/>
    </row>
    <row r="333" spans="2:7">
      <c r="B333" t="s">
        <v>154</v>
      </c>
      <c r="F333" t="s">
        <v>158</v>
      </c>
    </row>
    <row r="334" spans="2:7" ht="15" thickBot="1"/>
    <row r="335" spans="2:7">
      <c r="B335" s="45" t="s">
        <v>155</v>
      </c>
      <c r="C335" s="45" t="s">
        <v>156</v>
      </c>
      <c r="D335" s="45" t="s">
        <v>157</v>
      </c>
      <c r="F335" s="45" t="s">
        <v>159</v>
      </c>
      <c r="G335" s="45" t="s">
        <v>14</v>
      </c>
    </row>
    <row r="336" spans="2:7">
      <c r="B336">
        <v>1</v>
      </c>
      <c r="C336">
        <v>15683.25</v>
      </c>
      <c r="D336">
        <v>-183.25</v>
      </c>
      <c r="F336">
        <v>3.125</v>
      </c>
      <c r="G336">
        <v>10685</v>
      </c>
    </row>
    <row r="337" spans="2:15">
      <c r="B337">
        <v>2</v>
      </c>
      <c r="C337">
        <v>13922.5</v>
      </c>
      <c r="D337">
        <v>567.5</v>
      </c>
      <c r="F337">
        <v>9.375</v>
      </c>
      <c r="G337">
        <v>11600</v>
      </c>
    </row>
    <row r="338" spans="2:15">
      <c r="B338">
        <v>3</v>
      </c>
      <c r="C338">
        <v>22347.5</v>
      </c>
      <c r="D338">
        <v>652.5</v>
      </c>
      <c r="F338">
        <v>15.625</v>
      </c>
      <c r="G338">
        <v>11800</v>
      </c>
    </row>
    <row r="339" spans="2:15">
      <c r="B339">
        <v>4</v>
      </c>
      <c r="C339">
        <v>20586.75</v>
      </c>
      <c r="D339">
        <v>-2786.75</v>
      </c>
      <c r="F339">
        <v>21.875</v>
      </c>
      <c r="G339">
        <v>12001</v>
      </c>
    </row>
    <row r="340" spans="2:15">
      <c r="B340">
        <v>5</v>
      </c>
      <c r="C340">
        <v>12171.5</v>
      </c>
      <c r="D340">
        <v>-1486.5</v>
      </c>
      <c r="F340">
        <v>28.125</v>
      </c>
      <c r="G340">
        <v>12900</v>
      </c>
    </row>
    <row r="341" spans="2:15">
      <c r="B341">
        <v>6</v>
      </c>
      <c r="C341">
        <v>10410.75</v>
      </c>
      <c r="D341">
        <v>1389.25</v>
      </c>
      <c r="F341">
        <v>34.375</v>
      </c>
      <c r="G341">
        <v>14490</v>
      </c>
    </row>
    <row r="342" spans="2:15">
      <c r="B342">
        <v>7</v>
      </c>
      <c r="C342">
        <v>18835.75</v>
      </c>
      <c r="D342">
        <v>-335.75</v>
      </c>
      <c r="F342">
        <v>40.625</v>
      </c>
      <c r="G342">
        <v>15400</v>
      </c>
    </row>
    <row r="343" spans="2:15">
      <c r="B343">
        <v>8</v>
      </c>
      <c r="C343">
        <v>17075</v>
      </c>
      <c r="D343">
        <v>-1675</v>
      </c>
      <c r="F343">
        <v>46.875</v>
      </c>
      <c r="G343">
        <v>15400</v>
      </c>
    </row>
    <row r="344" spans="2:15">
      <c r="B344">
        <v>9</v>
      </c>
      <c r="C344">
        <v>15683.25</v>
      </c>
      <c r="D344">
        <v>-283.25</v>
      </c>
      <c r="F344">
        <v>53.125</v>
      </c>
      <c r="G344">
        <v>15500</v>
      </c>
    </row>
    <row r="345" spans="2:15">
      <c r="B345">
        <v>10</v>
      </c>
      <c r="C345">
        <v>13922.5</v>
      </c>
      <c r="D345">
        <v>-1022.5</v>
      </c>
      <c r="F345">
        <v>59.375</v>
      </c>
      <c r="G345">
        <v>17800</v>
      </c>
    </row>
    <row r="346" spans="2:15">
      <c r="B346">
        <v>11</v>
      </c>
      <c r="C346">
        <v>22347.5</v>
      </c>
      <c r="D346">
        <v>1642.5</v>
      </c>
      <c r="F346">
        <v>65.625</v>
      </c>
      <c r="G346">
        <v>18000</v>
      </c>
      <c r="O346" t="s">
        <v>271</v>
      </c>
    </row>
    <row r="347" spans="2:15">
      <c r="B347">
        <v>12</v>
      </c>
      <c r="C347">
        <v>20586.75</v>
      </c>
      <c r="D347">
        <v>1413.25</v>
      </c>
      <c r="F347">
        <v>71.875</v>
      </c>
      <c r="G347">
        <v>18500</v>
      </c>
    </row>
    <row r="348" spans="2:15">
      <c r="B348">
        <v>13</v>
      </c>
      <c r="C348">
        <v>12171.5</v>
      </c>
      <c r="D348">
        <v>-170.5</v>
      </c>
      <c r="F348">
        <v>78.125</v>
      </c>
      <c r="G348">
        <v>19000</v>
      </c>
      <c r="H348" s="76"/>
      <c r="I348" s="76"/>
      <c r="J348" s="76"/>
    </row>
    <row r="349" spans="2:15">
      <c r="B349">
        <v>14</v>
      </c>
      <c r="C349">
        <v>10410.75</v>
      </c>
      <c r="D349">
        <v>1189.25</v>
      </c>
      <c r="F349">
        <v>84.375</v>
      </c>
      <c r="G349">
        <v>22000</v>
      </c>
    </row>
    <row r="350" spans="2:15">
      <c r="B350">
        <v>15</v>
      </c>
      <c r="C350">
        <v>18835.75</v>
      </c>
      <c r="D350">
        <v>164.25</v>
      </c>
      <c r="F350">
        <v>90.625</v>
      </c>
      <c r="G350">
        <v>23000</v>
      </c>
    </row>
    <row r="351" spans="2:15" ht="15" thickBot="1">
      <c r="B351" s="44">
        <v>16</v>
      </c>
      <c r="C351" s="44">
        <v>17075</v>
      </c>
      <c r="D351" s="44">
        <v>925</v>
      </c>
      <c r="F351" s="44">
        <v>96.875</v>
      </c>
      <c r="G351" s="44">
        <v>23990</v>
      </c>
    </row>
    <row r="366" spans="2:8" ht="15">
      <c r="B366" s="143" t="s">
        <v>272</v>
      </c>
      <c r="C366" s="143"/>
      <c r="D366" s="143"/>
      <c r="E366" s="143"/>
      <c r="F366" s="143"/>
      <c r="G366" s="143"/>
      <c r="H366" s="143"/>
    </row>
    <row r="367" spans="2:8" ht="15">
      <c r="B367" s="143" t="s">
        <v>273</v>
      </c>
      <c r="C367" s="143"/>
      <c r="D367" s="143"/>
      <c r="E367" s="143"/>
      <c r="F367" s="143"/>
      <c r="G367" s="143"/>
    </row>
    <row r="368" spans="2:8" ht="15">
      <c r="B368" s="143" t="s">
        <v>274</v>
      </c>
      <c r="C368" s="143"/>
      <c r="D368" s="143"/>
      <c r="E368" s="143"/>
      <c r="F368" s="3"/>
      <c r="G368" s="3"/>
    </row>
    <row r="390" spans="2:10" ht="15">
      <c r="B390" s="27" t="s">
        <v>187</v>
      </c>
      <c r="C390" s="28"/>
      <c r="D390" s="28"/>
      <c r="E390" s="28"/>
      <c r="F390" s="28"/>
      <c r="G390" s="28"/>
      <c r="H390" s="28"/>
      <c r="I390" s="28"/>
      <c r="J390" s="29"/>
    </row>
    <row r="396" spans="2:10">
      <c r="B396" t="s">
        <v>51</v>
      </c>
    </row>
    <row r="397" spans="2:10" ht="15" thickBot="1"/>
    <row r="398" spans="2:10">
      <c r="B398" s="46" t="s">
        <v>52</v>
      </c>
      <c r="C398" s="46"/>
    </row>
    <row r="399" spans="2:10">
      <c r="B399" t="s">
        <v>53</v>
      </c>
      <c r="C399">
        <v>0.95379900205030499</v>
      </c>
    </row>
    <row r="400" spans="2:10">
      <c r="B400" t="s">
        <v>54</v>
      </c>
      <c r="C400">
        <v>0.90973253631215778</v>
      </c>
    </row>
    <row r="401" spans="2:10">
      <c r="B401" t="s">
        <v>55</v>
      </c>
      <c r="C401">
        <v>0.88716567039019723</v>
      </c>
    </row>
    <row r="402" spans="2:10">
      <c r="B402" t="s">
        <v>56</v>
      </c>
      <c r="C402">
        <v>1406.8945411792599</v>
      </c>
    </row>
    <row r="403" spans="2:10" ht="15" thickBot="1">
      <c r="B403" s="44" t="s">
        <v>57</v>
      </c>
      <c r="C403" s="44">
        <v>16</v>
      </c>
    </row>
    <row r="405" spans="2:10" ht="15" thickBot="1">
      <c r="B405" t="s">
        <v>58</v>
      </c>
    </row>
    <row r="406" spans="2:10">
      <c r="B406" s="45"/>
      <c r="C406" s="45" t="s">
        <v>63</v>
      </c>
      <c r="D406" s="45" t="s">
        <v>64</v>
      </c>
      <c r="E406" s="45" t="s">
        <v>65</v>
      </c>
      <c r="F406" s="45" t="s">
        <v>66</v>
      </c>
      <c r="G406" s="45" t="s">
        <v>67</v>
      </c>
    </row>
    <row r="407" spans="2:10">
      <c r="B407" t="s">
        <v>59</v>
      </c>
      <c r="C407">
        <v>3</v>
      </c>
      <c r="D407">
        <v>239379426.75</v>
      </c>
      <c r="E407">
        <v>79793142.25</v>
      </c>
      <c r="F407">
        <v>40.312754968197297</v>
      </c>
      <c r="G407">
        <v>1.5238710216412619E-6</v>
      </c>
    </row>
    <row r="408" spans="2:10">
      <c r="B408" t="s">
        <v>60</v>
      </c>
      <c r="C408">
        <v>12</v>
      </c>
      <c r="D408">
        <v>23752227.000000004</v>
      </c>
      <c r="E408">
        <v>1979352.2500000002</v>
      </c>
    </row>
    <row r="409" spans="2:10" ht="15" thickBot="1">
      <c r="B409" s="44" t="s">
        <v>61</v>
      </c>
      <c r="C409" s="44">
        <v>15</v>
      </c>
      <c r="D409" s="44">
        <v>263131653.75</v>
      </c>
      <c r="E409" s="44"/>
      <c r="F409" s="44"/>
      <c r="G409" s="44"/>
    </row>
    <row r="410" spans="2:10" ht="15" thickBot="1"/>
    <row r="411" spans="2:10">
      <c r="B411" s="45"/>
      <c r="C411" s="45" t="s">
        <v>68</v>
      </c>
      <c r="D411" s="45" t="s">
        <v>56</v>
      </c>
      <c r="E411" s="45" t="s">
        <v>69</v>
      </c>
      <c r="F411" s="45" t="s">
        <v>70</v>
      </c>
      <c r="G411" s="45" t="s">
        <v>71</v>
      </c>
      <c r="H411" s="45" t="s">
        <v>72</v>
      </c>
      <c r="I411" s="45" t="s">
        <v>73</v>
      </c>
      <c r="J411" s="45" t="s">
        <v>74</v>
      </c>
    </row>
    <row r="412" spans="2:10">
      <c r="B412" t="s">
        <v>62</v>
      </c>
      <c r="C412">
        <v>16379.125</v>
      </c>
      <c r="D412">
        <v>351.72363529481498</v>
      </c>
      <c r="E412">
        <v>46.568167039076023</v>
      </c>
      <c r="F412">
        <v>6.2802535025545679E-15</v>
      </c>
      <c r="G412">
        <v>15612.78503092246</v>
      </c>
      <c r="H412">
        <v>17145.46496907754</v>
      </c>
      <c r="I412">
        <v>15612.78503092246</v>
      </c>
      <c r="J412">
        <v>17145.46496907754</v>
      </c>
    </row>
    <row r="413" spans="2:10">
      <c r="B413" t="s">
        <v>18</v>
      </c>
      <c r="C413">
        <v>-880.375</v>
      </c>
      <c r="D413">
        <v>351.72363529481498</v>
      </c>
      <c r="E413">
        <v>-2.5030305377745488</v>
      </c>
      <c r="F413">
        <v>2.776061763774787E-2</v>
      </c>
      <c r="G413">
        <v>-1646.71496907754</v>
      </c>
      <c r="H413">
        <v>-114.0350309224599</v>
      </c>
      <c r="I413">
        <v>-1646.71496907754</v>
      </c>
      <c r="J413">
        <v>-114.0350309224599</v>
      </c>
    </row>
    <row r="414" spans="2:10">
      <c r="B414" t="s">
        <v>19</v>
      </c>
      <c r="C414">
        <v>3332.125</v>
      </c>
      <c r="D414">
        <v>351.72363529481498</v>
      </c>
      <c r="E414">
        <v>9.4737022640147863</v>
      </c>
      <c r="F414">
        <v>6.4025043355402372E-7</v>
      </c>
      <c r="G414">
        <v>2565.78503092246</v>
      </c>
      <c r="H414">
        <v>4098.4649690775404</v>
      </c>
      <c r="I414">
        <v>2565.78503092246</v>
      </c>
      <c r="J414">
        <v>4098.4649690775404</v>
      </c>
    </row>
    <row r="415" spans="2:10" ht="15" thickBot="1">
      <c r="B415" s="44" t="s">
        <v>20</v>
      </c>
      <c r="C415" s="44">
        <v>-1755.8749999999995</v>
      </c>
      <c r="D415" s="44">
        <v>351.72363529481498</v>
      </c>
      <c r="E415" s="44">
        <v>-4.9922007616241766</v>
      </c>
      <c r="F415" s="44">
        <v>3.1337846148396509E-4</v>
      </c>
      <c r="G415" s="44">
        <v>-2522.2149690775395</v>
      </c>
      <c r="H415" s="44">
        <v>-989.53503092245944</v>
      </c>
      <c r="I415" s="44">
        <v>-2522.2149690775395</v>
      </c>
      <c r="J415" s="44">
        <v>-989.53503092245944</v>
      </c>
    </row>
    <row r="417" spans="2:8" ht="15">
      <c r="B417" s="99" t="s">
        <v>160</v>
      </c>
    </row>
    <row r="418" spans="2:8" ht="18.75">
      <c r="B418" s="100" t="s">
        <v>170</v>
      </c>
      <c r="C418" s="101">
        <f>_xlfn.T.INV(0.025,12)</f>
        <v>-2.1788128296672284</v>
      </c>
      <c r="D418" s="102" t="s">
        <v>171</v>
      </c>
      <c r="E418" s="103">
        <f>_xlfn.T.INV(0.975,12)</f>
        <v>2.178812829667228</v>
      </c>
      <c r="F418" s="104" t="s">
        <v>169</v>
      </c>
    </row>
    <row r="419" spans="2:8" ht="15" thickBot="1"/>
    <row r="420" spans="2:8">
      <c r="B420" s="90" t="s">
        <v>161</v>
      </c>
      <c r="C420" s="91"/>
      <c r="D420" s="91"/>
      <c r="E420" s="91"/>
      <c r="F420" s="92"/>
      <c r="H420" t="s">
        <v>178</v>
      </c>
    </row>
    <row r="421" spans="2:8" ht="15">
      <c r="B421" s="93" t="s">
        <v>162</v>
      </c>
      <c r="F421" s="94"/>
      <c r="H421" t="s">
        <v>179</v>
      </c>
    </row>
    <row r="422" spans="2:8">
      <c r="B422" s="95" t="s">
        <v>163</v>
      </c>
      <c r="C422" s="11">
        <f>E413</f>
        <v>-2.5030305377745488</v>
      </c>
      <c r="D422" s="11" t="s">
        <v>164</v>
      </c>
      <c r="F422" s="94"/>
      <c r="H422" t="s">
        <v>180</v>
      </c>
    </row>
    <row r="423" spans="2:8" ht="15">
      <c r="B423" s="93" t="s">
        <v>165</v>
      </c>
      <c r="C423" s="148">
        <f>F413</f>
        <v>2.776061763774787E-2</v>
      </c>
      <c r="D423" s="11" t="s">
        <v>76</v>
      </c>
      <c r="E423" s="96" t="s">
        <v>166</v>
      </c>
      <c r="F423" s="94"/>
      <c r="H423" t="s">
        <v>181</v>
      </c>
    </row>
    <row r="424" spans="2:8" ht="15" thickBot="1">
      <c r="B424" s="97" t="s">
        <v>167</v>
      </c>
      <c r="C424" s="44">
        <v>-1646.71496907754</v>
      </c>
      <c r="D424" s="44">
        <v>-114.0350309224599</v>
      </c>
      <c r="E424" s="44" t="s">
        <v>168</v>
      </c>
      <c r="F424" s="98"/>
    </row>
    <row r="425" spans="2:8" ht="15" thickBot="1"/>
    <row r="426" spans="2:8">
      <c r="B426" s="90" t="s">
        <v>172</v>
      </c>
      <c r="C426" s="91"/>
      <c r="D426" s="91"/>
      <c r="E426" s="91"/>
      <c r="F426" s="92"/>
      <c r="H426" t="s">
        <v>291</v>
      </c>
    </row>
    <row r="427" spans="2:8" ht="15">
      <c r="B427" s="93" t="s">
        <v>173</v>
      </c>
      <c r="F427" s="94"/>
      <c r="H427" t="s">
        <v>292</v>
      </c>
    </row>
    <row r="428" spans="2:8">
      <c r="B428" s="95" t="s">
        <v>174</v>
      </c>
      <c r="C428">
        <f>E414</f>
        <v>9.4737022640147863</v>
      </c>
      <c r="D428" s="11" t="s">
        <v>164</v>
      </c>
      <c r="F428" s="94"/>
      <c r="H428" t="s">
        <v>182</v>
      </c>
    </row>
    <row r="429" spans="2:8" ht="15">
      <c r="B429" s="93" t="s">
        <v>165</v>
      </c>
      <c r="C429">
        <f>F414</f>
        <v>6.4025043355402372E-7</v>
      </c>
      <c r="D429" s="11" t="s">
        <v>76</v>
      </c>
      <c r="E429" s="96" t="s">
        <v>166</v>
      </c>
      <c r="F429" s="94"/>
      <c r="H429" t="s">
        <v>184</v>
      </c>
    </row>
    <row r="430" spans="2:8" ht="15" thickBot="1">
      <c r="B430" s="97" t="s">
        <v>167</v>
      </c>
      <c r="C430" s="44">
        <v>2565.78503092246</v>
      </c>
      <c r="D430" s="44">
        <v>4098.4649690775404</v>
      </c>
      <c r="E430" s="44" t="s">
        <v>168</v>
      </c>
      <c r="F430" s="98"/>
    </row>
    <row r="431" spans="2:8" ht="15" thickBot="1"/>
    <row r="432" spans="2:8">
      <c r="B432" s="90" t="s">
        <v>175</v>
      </c>
      <c r="C432" s="91"/>
      <c r="D432" s="91"/>
      <c r="E432" s="91"/>
      <c r="F432" s="92"/>
      <c r="H432" t="s">
        <v>294</v>
      </c>
    </row>
    <row r="433" spans="2:14" ht="15">
      <c r="B433" s="93" t="s">
        <v>176</v>
      </c>
      <c r="F433" s="94"/>
      <c r="H433" t="s">
        <v>293</v>
      </c>
    </row>
    <row r="434" spans="2:14">
      <c r="B434" s="95" t="s">
        <v>177</v>
      </c>
      <c r="C434">
        <f>E415</f>
        <v>-4.9922007616241766</v>
      </c>
      <c r="D434" s="11" t="s">
        <v>164</v>
      </c>
      <c r="F434" s="94"/>
      <c r="H434" t="s">
        <v>183</v>
      </c>
    </row>
    <row r="435" spans="2:14" ht="15">
      <c r="B435" s="93" t="s">
        <v>165</v>
      </c>
      <c r="C435">
        <f>F415</f>
        <v>3.1337846148396509E-4</v>
      </c>
      <c r="D435" s="11" t="s">
        <v>76</v>
      </c>
      <c r="E435" s="96" t="s">
        <v>166</v>
      </c>
      <c r="F435" s="94"/>
      <c r="H435" t="s">
        <v>185</v>
      </c>
    </row>
    <row r="436" spans="2:14" ht="15" thickBot="1">
      <c r="B436" s="97" t="s">
        <v>167</v>
      </c>
      <c r="C436" s="105">
        <v>-2522.2149690775395</v>
      </c>
      <c r="D436" s="106">
        <v>-989.53503092245944</v>
      </c>
      <c r="E436" s="44" t="s">
        <v>168</v>
      </c>
      <c r="F436" s="98"/>
    </row>
    <row r="438" spans="2:14">
      <c r="K438" s="107"/>
      <c r="L438" s="107"/>
    </row>
    <row r="439" spans="2:14" ht="15">
      <c r="B439" s="110" t="s">
        <v>186</v>
      </c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49"/>
    </row>
    <row r="441" spans="2:14">
      <c r="E441" s="3"/>
      <c r="F441" s="3" t="s">
        <v>285</v>
      </c>
      <c r="G441" s="3"/>
      <c r="H441" s="3"/>
      <c r="I441" s="3"/>
      <c r="L441" t="s">
        <v>108</v>
      </c>
    </row>
    <row r="442" spans="2:14">
      <c r="E442" s="3"/>
      <c r="F442" s="3" t="s">
        <v>286</v>
      </c>
      <c r="G442" s="3"/>
      <c r="H442" s="3"/>
      <c r="I442" s="3"/>
    </row>
    <row r="444" spans="2:14">
      <c r="F444" s="32" t="s">
        <v>281</v>
      </c>
      <c r="G444">
        <f>12400962/1</f>
        <v>12400962</v>
      </c>
    </row>
    <row r="445" spans="2:14">
      <c r="F445" s="32" t="s">
        <v>282</v>
      </c>
      <c r="G445">
        <f>23752227/12</f>
        <v>1979352.25</v>
      </c>
    </row>
    <row r="446" spans="2:14">
      <c r="F446" s="32" t="s">
        <v>111</v>
      </c>
      <c r="G446">
        <f>G444/G445</f>
        <v>6.2651617467280012</v>
      </c>
    </row>
    <row r="447" spans="2:14">
      <c r="F447" s="32" t="s">
        <v>283</v>
      </c>
      <c r="G447">
        <f>_xlfn.F.INV(0.95,1,12)</f>
        <v>4.7472253467225123</v>
      </c>
    </row>
    <row r="448" spans="2:14">
      <c r="F448" s="32" t="s">
        <v>113</v>
      </c>
      <c r="G448">
        <v>2.8000000000000001E-2</v>
      </c>
    </row>
    <row r="449" spans="2:10">
      <c r="F449" s="32" t="s">
        <v>114</v>
      </c>
      <c r="G449" s="32" t="s">
        <v>284</v>
      </c>
    </row>
    <row r="450" spans="2:10">
      <c r="F450" s="32" t="s">
        <v>116</v>
      </c>
      <c r="G450" t="s">
        <v>287</v>
      </c>
    </row>
    <row r="451" spans="2:10">
      <c r="F451" s="32"/>
      <c r="G451" t="s">
        <v>288</v>
      </c>
    </row>
    <row r="452" spans="2:10">
      <c r="F452" s="32" t="s">
        <v>117</v>
      </c>
      <c r="G452" t="s">
        <v>287</v>
      </c>
    </row>
    <row r="453" spans="2:10">
      <c r="G453" t="s">
        <v>288</v>
      </c>
    </row>
    <row r="464" spans="2:10" ht="15">
      <c r="B464" s="108" t="s">
        <v>188</v>
      </c>
      <c r="C464" s="109"/>
      <c r="D464" s="109"/>
      <c r="E464" s="109"/>
      <c r="F464" s="109"/>
      <c r="G464" s="109"/>
      <c r="H464" s="109"/>
      <c r="I464" s="109"/>
      <c r="J464" s="144"/>
    </row>
    <row r="466" spans="2:17">
      <c r="B466" t="s">
        <v>275</v>
      </c>
    </row>
    <row r="468" spans="2:17" ht="19.5" thickBot="1">
      <c r="B468" s="100" t="s">
        <v>170</v>
      </c>
      <c r="C468" s="101">
        <f>_xlfn.T.INV(0.025,12)</f>
        <v>-2.1788128296672284</v>
      </c>
      <c r="D468" s="102" t="s">
        <v>171</v>
      </c>
      <c r="E468" s="103">
        <f>_xlfn.T.INV(0.975,12)</f>
        <v>2.178812829667228</v>
      </c>
      <c r="F468" s="104" t="s">
        <v>169</v>
      </c>
    </row>
    <row r="469" spans="2:17">
      <c r="B469" s="90" t="s">
        <v>191</v>
      </c>
      <c r="C469" s="91"/>
      <c r="D469" s="91"/>
      <c r="E469" s="91"/>
      <c r="F469" s="92"/>
    </row>
    <row r="470" spans="2:17" ht="15">
      <c r="B470" s="93" t="s">
        <v>189</v>
      </c>
      <c r="F470" s="94"/>
    </row>
    <row r="471" spans="2:17">
      <c r="B471" s="95" t="s">
        <v>190</v>
      </c>
      <c r="C471">
        <f>E123</f>
        <v>-1.5523367979284033</v>
      </c>
      <c r="D471" s="11" t="s">
        <v>192</v>
      </c>
      <c r="F471" s="94"/>
    </row>
    <row r="472" spans="2:17" ht="15">
      <c r="B472" s="93" t="s">
        <v>165</v>
      </c>
      <c r="C472">
        <f>F123</f>
        <v>0.15918350258811562</v>
      </c>
      <c r="D472" s="11" t="s">
        <v>79</v>
      </c>
      <c r="E472" s="96" t="s">
        <v>166</v>
      </c>
      <c r="F472" s="94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</row>
    <row r="473" spans="2:17" ht="15" thickBot="1">
      <c r="B473" s="97" t="s">
        <v>167</v>
      </c>
      <c r="C473" s="105">
        <f>G123</f>
        <v>-1319.492487461619</v>
      </c>
      <c r="D473" s="106">
        <f>H123</f>
        <v>257.74248746161891</v>
      </c>
      <c r="E473" s="44" t="s">
        <v>193</v>
      </c>
      <c r="F473" s="98"/>
    </row>
    <row r="476" spans="2:17">
      <c r="B476" s="153" t="s">
        <v>194</v>
      </c>
      <c r="C476" s="153"/>
      <c r="D476" s="153"/>
      <c r="E476" s="153"/>
      <c r="F476" s="153"/>
      <c r="G476" s="153"/>
      <c r="H476" s="153"/>
      <c r="I476" s="153"/>
      <c r="J476" s="153"/>
      <c r="K476" s="153"/>
    </row>
    <row r="477" spans="2:17">
      <c r="B477" s="153" t="s">
        <v>195</v>
      </c>
      <c r="C477" s="153"/>
      <c r="D477" s="153"/>
      <c r="E477" s="153"/>
      <c r="F477" s="153"/>
      <c r="G477" s="153"/>
      <c r="H477" s="153"/>
      <c r="I477" s="153"/>
      <c r="J477" s="153"/>
      <c r="K477" s="153"/>
    </row>
    <row r="478" spans="2:17" ht="15">
      <c r="B478" s="153" t="s">
        <v>196</v>
      </c>
      <c r="C478" s="153"/>
      <c r="D478" s="153"/>
      <c r="E478" s="153"/>
      <c r="F478" s="153"/>
      <c r="G478" s="153"/>
      <c r="H478" s="153"/>
      <c r="I478" s="153"/>
      <c r="J478" s="153"/>
      <c r="K478" s="153"/>
    </row>
    <row r="500" spans="2:8" ht="15">
      <c r="B500" s="27" t="s">
        <v>197</v>
      </c>
      <c r="C500" s="28"/>
      <c r="D500" s="28"/>
      <c r="E500" s="28"/>
      <c r="F500" s="28"/>
      <c r="G500" s="29"/>
    </row>
    <row r="504" spans="2:8">
      <c r="B504" t="s">
        <v>198</v>
      </c>
    </row>
    <row r="505" spans="2:8">
      <c r="B505" t="s">
        <v>199</v>
      </c>
    </row>
    <row r="506" spans="2:8">
      <c r="B506" t="s">
        <v>200</v>
      </c>
    </row>
    <row r="507" spans="2:8">
      <c r="E507" s="11"/>
    </row>
    <row r="508" spans="2:8" ht="18.75">
      <c r="B508" s="12" t="s">
        <v>18</v>
      </c>
      <c r="C508" s="12" t="s">
        <v>19</v>
      </c>
      <c r="D508" s="12" t="s">
        <v>20</v>
      </c>
      <c r="E508" s="43" t="s">
        <v>14</v>
      </c>
      <c r="G508" s="113" t="s">
        <v>201</v>
      </c>
      <c r="H508" s="114" t="s">
        <v>202</v>
      </c>
    </row>
    <row r="509" spans="2:8">
      <c r="B509" s="15">
        <v>-1</v>
      </c>
      <c r="C509" s="30">
        <v>-1</v>
      </c>
      <c r="D509" s="14">
        <v>-1</v>
      </c>
      <c r="E509" s="13">
        <v>15500</v>
      </c>
      <c r="F509" s="115" t="s">
        <v>203</v>
      </c>
      <c r="G509" s="36">
        <v>75000</v>
      </c>
      <c r="H509" s="38">
        <v>25000</v>
      </c>
    </row>
    <row r="510" spans="2:8">
      <c r="B510" s="18">
        <v>1</v>
      </c>
      <c r="C510" s="11">
        <v>-1</v>
      </c>
      <c r="D510" s="17">
        <v>-1</v>
      </c>
      <c r="E510" s="16">
        <v>14490</v>
      </c>
      <c r="F510" s="115" t="s">
        <v>204</v>
      </c>
      <c r="G510" s="39">
        <v>95</v>
      </c>
      <c r="H510" s="40">
        <v>15</v>
      </c>
    </row>
    <row r="511" spans="2:8">
      <c r="B511" s="18">
        <v>-1</v>
      </c>
      <c r="C511" s="11">
        <v>1</v>
      </c>
      <c r="D511" s="17">
        <v>-1</v>
      </c>
      <c r="E511" s="16">
        <v>23000</v>
      </c>
      <c r="F511" s="115" t="s">
        <v>205</v>
      </c>
      <c r="G511" s="41">
        <v>4.5</v>
      </c>
      <c r="H511" s="42">
        <v>1.5</v>
      </c>
    </row>
    <row r="512" spans="2:8">
      <c r="B512" s="18">
        <v>1</v>
      </c>
      <c r="C512" s="11">
        <v>1</v>
      </c>
      <c r="D512" s="17">
        <v>-1</v>
      </c>
      <c r="E512" s="16">
        <v>17800</v>
      </c>
    </row>
    <row r="513" spans="2:8">
      <c r="B513" s="18">
        <v>-1</v>
      </c>
      <c r="C513" s="11">
        <v>-1</v>
      </c>
      <c r="D513" s="17">
        <v>1</v>
      </c>
      <c r="E513" s="16">
        <v>10685</v>
      </c>
    </row>
    <row r="514" spans="2:8">
      <c r="B514" s="18">
        <v>1</v>
      </c>
      <c r="C514" s="11">
        <v>-1</v>
      </c>
      <c r="D514" s="17">
        <v>1</v>
      </c>
      <c r="E514" s="16">
        <v>11800</v>
      </c>
    </row>
    <row r="515" spans="2:8">
      <c r="B515" s="18">
        <v>-1</v>
      </c>
      <c r="C515" s="11">
        <v>1</v>
      </c>
      <c r="D515" s="17">
        <v>1</v>
      </c>
      <c r="E515" s="16">
        <v>18500</v>
      </c>
    </row>
    <row r="516" spans="2:8">
      <c r="B516" s="18">
        <v>1</v>
      </c>
      <c r="C516" s="11">
        <v>1</v>
      </c>
      <c r="D516" s="17">
        <v>1</v>
      </c>
      <c r="E516" s="16">
        <v>15400</v>
      </c>
    </row>
    <row r="517" spans="2:8">
      <c r="B517" s="18">
        <v>-1</v>
      </c>
      <c r="C517" s="11">
        <v>-1</v>
      </c>
      <c r="D517" s="17">
        <v>-1</v>
      </c>
      <c r="E517" s="16">
        <v>15400</v>
      </c>
    </row>
    <row r="518" spans="2:8">
      <c r="B518" s="18">
        <v>1</v>
      </c>
      <c r="C518" s="11">
        <v>-1</v>
      </c>
      <c r="D518" s="17">
        <v>-1</v>
      </c>
      <c r="E518" s="16">
        <v>12900</v>
      </c>
    </row>
    <row r="519" spans="2:8">
      <c r="B519" s="18">
        <v>-1</v>
      </c>
      <c r="C519" s="11">
        <v>1</v>
      </c>
      <c r="D519" s="17">
        <v>-1</v>
      </c>
      <c r="E519" s="16">
        <v>23990</v>
      </c>
    </row>
    <row r="520" spans="2:8">
      <c r="B520" s="18">
        <v>1</v>
      </c>
      <c r="C520" s="11">
        <v>1</v>
      </c>
      <c r="D520" s="17">
        <v>-1</v>
      </c>
      <c r="E520" s="16">
        <v>22000</v>
      </c>
    </row>
    <row r="521" spans="2:8">
      <c r="B521" s="18">
        <v>-1</v>
      </c>
      <c r="C521" s="11">
        <v>-1</v>
      </c>
      <c r="D521" s="17">
        <v>1</v>
      </c>
      <c r="E521" s="16">
        <v>12001</v>
      </c>
    </row>
    <row r="522" spans="2:8">
      <c r="B522" s="18">
        <v>1</v>
      </c>
      <c r="C522" s="11">
        <v>-1</v>
      </c>
      <c r="D522" s="17">
        <v>1</v>
      </c>
      <c r="E522" s="16">
        <v>11600</v>
      </c>
    </row>
    <row r="523" spans="2:8">
      <c r="B523" s="18">
        <v>-1</v>
      </c>
      <c r="C523" s="11">
        <v>1</v>
      </c>
      <c r="D523" s="17">
        <v>1</v>
      </c>
      <c r="E523" s="16">
        <v>19000</v>
      </c>
    </row>
    <row r="524" spans="2:8">
      <c r="B524" s="21">
        <v>1</v>
      </c>
      <c r="C524" s="31">
        <v>1</v>
      </c>
      <c r="D524" s="20">
        <v>1</v>
      </c>
      <c r="E524" s="19">
        <v>18000</v>
      </c>
    </row>
    <row r="526" spans="2:8">
      <c r="B526" s="7" t="s">
        <v>206</v>
      </c>
      <c r="C526" s="152" t="s">
        <v>13</v>
      </c>
      <c r="D526" s="152"/>
      <c r="E526" s="152" t="s">
        <v>5</v>
      </c>
      <c r="F526" s="152"/>
      <c r="G526" s="152" t="s">
        <v>6</v>
      </c>
      <c r="H526" s="152"/>
    </row>
    <row r="527" spans="2:8">
      <c r="B527" s="33"/>
      <c r="C527" s="120">
        <v>50000</v>
      </c>
      <c r="D527" s="121">
        <v>100000</v>
      </c>
      <c r="E527" s="15">
        <v>80</v>
      </c>
      <c r="F527" s="14">
        <v>110</v>
      </c>
      <c r="G527" s="15">
        <v>3</v>
      </c>
      <c r="H527" s="14">
        <v>6</v>
      </c>
    </row>
    <row r="528" spans="2:8">
      <c r="B528" s="35"/>
      <c r="C528" s="21">
        <v>-1</v>
      </c>
      <c r="D528" s="20">
        <v>1</v>
      </c>
      <c r="E528" s="21">
        <v>-1</v>
      </c>
      <c r="F528" s="20">
        <v>1</v>
      </c>
      <c r="G528" s="18">
        <v>-1</v>
      </c>
      <c r="H528" s="17">
        <v>1</v>
      </c>
    </row>
    <row r="529" spans="2:8">
      <c r="B529" s="7" t="s">
        <v>207</v>
      </c>
      <c r="C529" s="116">
        <f>AVERAGE(E509,E511,E513,E515,E517,E519,E521,E523)</f>
        <v>17259.5</v>
      </c>
      <c r="D529" s="116">
        <f>AVERAGE(E510,E512,E514,E516,E518,E520,E522,E524)</f>
        <v>15498.75</v>
      </c>
      <c r="E529" s="117">
        <f>AVERAGE(E509:E510,E513:E514,E517:E518,E521:E522)</f>
        <v>13047</v>
      </c>
      <c r="F529" s="118">
        <f>AVERAGE(E511:E512,E515:E516,E519:E520,E523:E524)</f>
        <v>19711.25</v>
      </c>
      <c r="G529" s="119">
        <f>AVERAGE(E509:E512,E517:E520)</f>
        <v>18135</v>
      </c>
      <c r="H529" s="122">
        <f>AVERAGE(E513:E516,E521:E524)</f>
        <v>14623.25</v>
      </c>
    </row>
    <row r="530" spans="2:8">
      <c r="B530" s="7" t="s">
        <v>208</v>
      </c>
      <c r="C530" s="154">
        <f>D529-C529</f>
        <v>-1760.75</v>
      </c>
      <c r="D530" s="155"/>
      <c r="E530" s="156">
        <f>F529-E529</f>
        <v>6664.25</v>
      </c>
      <c r="F530" s="157"/>
      <c r="G530" s="156">
        <f>H529-G529</f>
        <v>-3511.75</v>
      </c>
      <c r="H530" s="157"/>
    </row>
    <row r="561" spans="2:18" ht="15">
      <c r="B561" s="140" t="s">
        <v>276</v>
      </c>
      <c r="C561" s="140"/>
      <c r="D561" s="140"/>
      <c r="E561" s="140"/>
      <c r="F561" s="140"/>
      <c r="G561" s="140"/>
      <c r="H561" s="140"/>
      <c r="I561" s="140"/>
    </row>
    <row r="567" spans="2:18" ht="15">
      <c r="B567" s="27" t="s">
        <v>245</v>
      </c>
      <c r="C567" s="28"/>
      <c r="D567" s="28"/>
      <c r="E567" s="29"/>
      <c r="G567" s="145"/>
      <c r="H567" s="145"/>
      <c r="I567" s="145"/>
    </row>
    <row r="570" spans="2:18">
      <c r="E570" s="152" t="s">
        <v>13</v>
      </c>
      <c r="F570" s="152"/>
      <c r="K570" s="152" t="s">
        <v>5</v>
      </c>
      <c r="L570" s="152"/>
      <c r="Q570" s="152" t="s">
        <v>13</v>
      </c>
      <c r="R570" s="152"/>
    </row>
    <row r="571" spans="2:18">
      <c r="E571" s="120">
        <v>50000</v>
      </c>
      <c r="F571" s="121">
        <v>100000</v>
      </c>
      <c r="K571" s="120">
        <v>80</v>
      </c>
      <c r="L571" s="121">
        <v>110</v>
      </c>
      <c r="Q571" s="120">
        <v>50000</v>
      </c>
      <c r="R571" s="121">
        <v>100000</v>
      </c>
    </row>
    <row r="572" spans="2:18">
      <c r="E572" s="21">
        <v>-1</v>
      </c>
      <c r="F572" s="20">
        <v>1</v>
      </c>
      <c r="K572" s="21">
        <v>-1</v>
      </c>
      <c r="L572" s="20">
        <v>1</v>
      </c>
      <c r="Q572" s="21">
        <v>-1</v>
      </c>
      <c r="R572" s="20">
        <v>1</v>
      </c>
    </row>
    <row r="573" spans="2:18">
      <c r="B573" s="151" t="s">
        <v>5</v>
      </c>
      <c r="C573" s="123">
        <v>80</v>
      </c>
      <c r="D573" s="123">
        <v>-1</v>
      </c>
      <c r="E573" s="124">
        <f>AVERAGE(E509,E513,E517,E521)</f>
        <v>13396.5</v>
      </c>
      <c r="F573" s="124">
        <f>AVERAGE(E510,E514,E518,E522)</f>
        <v>12697.5</v>
      </c>
      <c r="H573" s="151" t="s">
        <v>6</v>
      </c>
      <c r="I573" s="123">
        <v>3</v>
      </c>
      <c r="J573" s="123">
        <v>-1</v>
      </c>
      <c r="K573" s="124">
        <f>AVERAGE(E509,E517,E518,E510)</f>
        <v>14572.5</v>
      </c>
      <c r="L573" s="124">
        <f>AVERAGE(E511,E512,E519,E520)</f>
        <v>21697.5</v>
      </c>
      <c r="N573" s="151" t="s">
        <v>6</v>
      </c>
      <c r="O573" s="123">
        <v>3</v>
      </c>
      <c r="P573" s="123">
        <v>-1</v>
      </c>
      <c r="Q573" s="124">
        <f>AVERAGE(E509,E511,E517,E519)</f>
        <v>19472.5</v>
      </c>
      <c r="R573" s="124">
        <f>AVERAGE(E510,E512,E520,E518)</f>
        <v>16797.5</v>
      </c>
    </row>
    <row r="574" spans="2:18">
      <c r="B574" s="151"/>
      <c r="C574" s="123">
        <v>110</v>
      </c>
      <c r="D574" s="123">
        <v>1</v>
      </c>
      <c r="E574" s="125">
        <f>AVERAGE(E511,E515,E519,E523)</f>
        <v>21122.5</v>
      </c>
      <c r="F574" s="125">
        <f>AVERAGE(E512,E516,E524,E520)</f>
        <v>18300</v>
      </c>
      <c r="H574" s="151"/>
      <c r="I574" s="123">
        <v>6</v>
      </c>
      <c r="J574" s="123">
        <v>1</v>
      </c>
      <c r="K574" s="125">
        <f>AVERAGE(E513,E514,E521,E522)</f>
        <v>11521.5</v>
      </c>
      <c r="L574" s="125">
        <f>AVERAGE(E515,E516,E523,E524)</f>
        <v>17725</v>
      </c>
      <c r="N574" s="151"/>
      <c r="O574" s="123">
        <v>6</v>
      </c>
      <c r="P574" s="123">
        <v>1</v>
      </c>
      <c r="Q574" s="125">
        <f>AVERAGE(E513,E515,E521,E523)</f>
        <v>15046.5</v>
      </c>
      <c r="R574" s="125">
        <f>AVERAGE(E514,E516,E524,E522)</f>
        <v>14200</v>
      </c>
    </row>
    <row r="594" spans="3:16">
      <c r="C594" s="79" t="s">
        <v>209</v>
      </c>
      <c r="D594" s="11"/>
      <c r="E594" s="11"/>
      <c r="H594" s="79" t="s">
        <v>221</v>
      </c>
      <c r="I594" s="11"/>
      <c r="J594" s="11"/>
      <c r="N594" s="79" t="s">
        <v>233</v>
      </c>
      <c r="O594" s="11"/>
      <c r="P594" s="11"/>
    </row>
    <row r="595" spans="3:16">
      <c r="C595" t="s">
        <v>210</v>
      </c>
      <c r="H595" t="s">
        <v>222</v>
      </c>
      <c r="N595" t="s">
        <v>234</v>
      </c>
    </row>
    <row r="596" spans="3:16">
      <c r="C596" t="s">
        <v>211</v>
      </c>
      <c r="H596" t="s">
        <v>223</v>
      </c>
      <c r="N596" t="s">
        <v>235</v>
      </c>
    </row>
    <row r="597" spans="3:16">
      <c r="C597" t="s">
        <v>213</v>
      </c>
      <c r="H597" t="s">
        <v>224</v>
      </c>
      <c r="N597" t="s">
        <v>236</v>
      </c>
    </row>
    <row r="598" spans="3:16">
      <c r="C598" t="s">
        <v>212</v>
      </c>
      <c r="H598" t="s">
        <v>225</v>
      </c>
      <c r="N598" t="s">
        <v>237</v>
      </c>
    </row>
    <row r="599" spans="3:16">
      <c r="C599" t="s">
        <v>214</v>
      </c>
      <c r="H599" t="s">
        <v>226</v>
      </c>
      <c r="N599" t="s">
        <v>238</v>
      </c>
    </row>
    <row r="620" spans="3:16">
      <c r="C620" s="79" t="s">
        <v>215</v>
      </c>
      <c r="D620" s="11"/>
      <c r="E620" s="11"/>
      <c r="H620" s="79" t="s">
        <v>227</v>
      </c>
      <c r="I620" s="11"/>
      <c r="J620" s="11"/>
      <c r="N620" s="79" t="s">
        <v>239</v>
      </c>
      <c r="O620" s="11"/>
      <c r="P620" s="11"/>
    </row>
    <row r="621" spans="3:16">
      <c r="C621" t="s">
        <v>216</v>
      </c>
      <c r="H621" t="s">
        <v>228</v>
      </c>
      <c r="N621" t="s">
        <v>240</v>
      </c>
    </row>
    <row r="622" spans="3:16">
      <c r="C622" t="s">
        <v>217</v>
      </c>
      <c r="H622" t="s">
        <v>229</v>
      </c>
      <c r="N622" t="s">
        <v>241</v>
      </c>
    </row>
    <row r="623" spans="3:16">
      <c r="C623" t="s">
        <v>218</v>
      </c>
      <c r="H623" t="s">
        <v>230</v>
      </c>
      <c r="N623" t="s">
        <v>242</v>
      </c>
    </row>
    <row r="624" spans="3:16">
      <c r="C624" t="s">
        <v>219</v>
      </c>
      <c r="H624" t="s">
        <v>231</v>
      </c>
      <c r="N624" t="s">
        <v>243</v>
      </c>
    </row>
    <row r="625" spans="2:14">
      <c r="C625" t="s">
        <v>220</v>
      </c>
      <c r="H625" t="s">
        <v>232</v>
      </c>
      <c r="N625" t="s">
        <v>244</v>
      </c>
    </row>
    <row r="628" spans="2:14" ht="15">
      <c r="B628" s="27" t="s">
        <v>246</v>
      </c>
      <c r="C628" s="28"/>
      <c r="D628" s="28"/>
      <c r="E628" s="28"/>
      <c r="F628" s="28"/>
      <c r="G628" s="28"/>
      <c r="H628" s="28"/>
      <c r="I628" s="28"/>
      <c r="J628" s="28"/>
      <c r="K628" s="28"/>
      <c r="L628" s="29"/>
    </row>
    <row r="629" spans="2:14" ht="15" thickBot="1"/>
    <row r="630" spans="2:14">
      <c r="B630" s="45"/>
      <c r="C630" s="45" t="s">
        <v>68</v>
      </c>
      <c r="D630" s="45" t="s">
        <v>56</v>
      </c>
      <c r="E630" s="45" t="s">
        <v>69</v>
      </c>
      <c r="F630" s="45" t="s">
        <v>70</v>
      </c>
      <c r="G630" s="45" t="s">
        <v>71</v>
      </c>
      <c r="H630" s="45" t="s">
        <v>72</v>
      </c>
      <c r="I630" s="45" t="s">
        <v>73</v>
      </c>
      <c r="J630" s="45" t="s">
        <v>74</v>
      </c>
    </row>
    <row r="631" spans="2:14">
      <c r="B631" t="s">
        <v>62</v>
      </c>
      <c r="C631">
        <v>16379.125</v>
      </c>
      <c r="D631">
        <v>351.72363529481498</v>
      </c>
      <c r="E631">
        <v>46.568167039076023</v>
      </c>
      <c r="F631">
        <v>6.2802535025545679E-15</v>
      </c>
      <c r="G631">
        <v>15612.78503092246</v>
      </c>
      <c r="H631">
        <v>17145.46496907754</v>
      </c>
      <c r="I631">
        <v>15612.78503092246</v>
      </c>
      <c r="J631">
        <v>17145.46496907754</v>
      </c>
    </row>
    <row r="632" spans="2:14">
      <c r="B632" t="s">
        <v>18</v>
      </c>
      <c r="C632">
        <v>-880.375</v>
      </c>
      <c r="D632">
        <v>351.72363529481498</v>
      </c>
      <c r="E632">
        <v>-2.5030305377745488</v>
      </c>
      <c r="F632">
        <v>2.776061763774787E-2</v>
      </c>
      <c r="G632">
        <v>-1646.71496907754</v>
      </c>
      <c r="H632">
        <v>-114.0350309224599</v>
      </c>
      <c r="I632">
        <v>-1646.71496907754</v>
      </c>
      <c r="J632">
        <v>-114.0350309224599</v>
      </c>
    </row>
    <row r="633" spans="2:14">
      <c r="B633" t="s">
        <v>19</v>
      </c>
      <c r="C633">
        <v>3332.125</v>
      </c>
      <c r="D633">
        <v>351.72363529481498</v>
      </c>
      <c r="E633">
        <v>9.4737022640147863</v>
      </c>
      <c r="F633">
        <v>6.4025043355402372E-7</v>
      </c>
      <c r="G633">
        <v>2565.78503092246</v>
      </c>
      <c r="H633">
        <v>4098.4649690775404</v>
      </c>
      <c r="I633">
        <v>2565.78503092246</v>
      </c>
      <c r="J633">
        <v>4098.4649690775404</v>
      </c>
    </row>
    <row r="634" spans="2:14" ht="15" thickBot="1">
      <c r="B634" s="44" t="s">
        <v>20</v>
      </c>
      <c r="C634" s="44">
        <v>-1755.8749999999995</v>
      </c>
      <c r="D634" s="44">
        <v>351.72363529481498</v>
      </c>
      <c r="E634" s="44">
        <v>-4.9922007616241766</v>
      </c>
      <c r="F634" s="44">
        <v>3.1337846148396509E-4</v>
      </c>
      <c r="G634" s="44">
        <v>-2522.2149690775395</v>
      </c>
      <c r="H634" s="44">
        <v>-989.53503092245944</v>
      </c>
      <c r="I634" s="44">
        <v>-2522.2149690775395</v>
      </c>
      <c r="J634" s="44">
        <v>-989.53503092245944</v>
      </c>
    </row>
    <row r="636" spans="2:14" ht="15">
      <c r="B636" s="7"/>
      <c r="C636" s="22" t="s">
        <v>21</v>
      </c>
      <c r="D636" s="23" t="s">
        <v>22</v>
      </c>
      <c r="E636" s="24" t="s">
        <v>23</v>
      </c>
      <c r="F636" s="23" t="s">
        <v>24</v>
      </c>
    </row>
    <row r="637" spans="2:14" ht="15">
      <c r="B637" s="25" t="s">
        <v>13</v>
      </c>
      <c r="C637" s="13">
        <v>50000</v>
      </c>
      <c r="D637" s="14">
        <v>100000</v>
      </c>
      <c r="E637" s="13">
        <f>(C637+D637)/2</f>
        <v>75000</v>
      </c>
      <c r="F637" s="14">
        <f>(D637-C637)/2</f>
        <v>25000</v>
      </c>
    </row>
    <row r="638" spans="2:14" ht="15">
      <c r="B638" s="25" t="s">
        <v>5</v>
      </c>
      <c r="C638" s="16">
        <v>80</v>
      </c>
      <c r="D638" s="17">
        <v>110</v>
      </c>
      <c r="E638" s="16">
        <f>(C638+D638)/2</f>
        <v>95</v>
      </c>
      <c r="F638" s="17">
        <f>(D638-C638)/2</f>
        <v>15</v>
      </c>
    </row>
    <row r="639" spans="2:14" ht="15">
      <c r="B639" s="26" t="s">
        <v>6</v>
      </c>
      <c r="C639" s="19">
        <v>3</v>
      </c>
      <c r="D639" s="20">
        <v>6</v>
      </c>
      <c r="E639" s="19">
        <f>(C639+D639)/2</f>
        <v>4.5</v>
      </c>
      <c r="F639" s="20">
        <f>(D639-C639)/2</f>
        <v>1.5</v>
      </c>
    </row>
    <row r="641" spans="2:12">
      <c r="B641" s="75" t="s">
        <v>83</v>
      </c>
      <c r="C641" s="8">
        <v>16379.125</v>
      </c>
      <c r="D641" s="9" t="s">
        <v>89</v>
      </c>
      <c r="E641" s="8">
        <v>-880.375</v>
      </c>
      <c r="F641" s="8" t="s">
        <v>84</v>
      </c>
      <c r="G641" s="8" t="s">
        <v>89</v>
      </c>
      <c r="H641" s="8">
        <v>3332.125</v>
      </c>
      <c r="I641" s="8" t="s">
        <v>85</v>
      </c>
      <c r="J641" s="8" t="s">
        <v>89</v>
      </c>
      <c r="K641" s="8">
        <v>-1755.8749999999995</v>
      </c>
      <c r="L641" s="9" t="s">
        <v>86</v>
      </c>
    </row>
    <row r="643" spans="2:12" ht="15">
      <c r="B643" s="126" t="s">
        <v>247</v>
      </c>
      <c r="E643" s="126" t="s">
        <v>251</v>
      </c>
      <c r="H643" s="127" t="s">
        <v>252</v>
      </c>
    </row>
    <row r="644" spans="2:12" ht="15">
      <c r="B644" s="128" t="s">
        <v>248</v>
      </c>
      <c r="C644" s="129">
        <v>70000</v>
      </c>
      <c r="E644" s="128" t="s">
        <v>203</v>
      </c>
      <c r="F644">
        <f>(C644-E637)/F637</f>
        <v>-0.2</v>
      </c>
      <c r="H644" s="130">
        <f>C631+C632*F644+C633*F645+C634*F646</f>
        <v>19302.033333333333</v>
      </c>
    </row>
    <row r="645" spans="2:12" ht="15">
      <c r="B645" s="128" t="s">
        <v>249</v>
      </c>
      <c r="C645">
        <v>110</v>
      </c>
      <c r="E645" s="128" t="s">
        <v>204</v>
      </c>
      <c r="F645">
        <f>(C645-E638)/F638</f>
        <v>1</v>
      </c>
    </row>
    <row r="646" spans="2:12" ht="15">
      <c r="B646" s="128" t="s">
        <v>250</v>
      </c>
      <c r="C646">
        <v>5</v>
      </c>
      <c r="E646" s="128" t="s">
        <v>205</v>
      </c>
      <c r="F646">
        <f>(C646-E639)/F639</f>
        <v>0.33333333333333331</v>
      </c>
    </row>
    <row r="649" spans="2:12">
      <c r="B649" s="75" t="s">
        <v>88</v>
      </c>
      <c r="C649" s="8">
        <v>3184.4166666666661</v>
      </c>
      <c r="D649" s="8" t="s">
        <v>89</v>
      </c>
      <c r="E649" s="8">
        <v>-3.5215000000000003E-2</v>
      </c>
      <c r="F649" s="8" t="s">
        <v>93</v>
      </c>
      <c r="G649" s="8" t="s">
        <v>89</v>
      </c>
      <c r="H649" s="8">
        <v>222.14166666666668</v>
      </c>
      <c r="I649" s="8" t="s">
        <v>94</v>
      </c>
      <c r="J649" s="8" t="s">
        <v>89</v>
      </c>
      <c r="K649" s="8">
        <v>-1170.583333333333</v>
      </c>
      <c r="L649" s="9" t="s">
        <v>95</v>
      </c>
    </row>
    <row r="651" spans="2:12" ht="15">
      <c r="B651" s="126" t="s">
        <v>247</v>
      </c>
      <c r="E651" s="127" t="s">
        <v>252</v>
      </c>
    </row>
    <row r="652" spans="2:12" ht="15">
      <c r="B652" s="128" t="s">
        <v>248</v>
      </c>
      <c r="C652" s="129">
        <v>70000</v>
      </c>
      <c r="E652" s="130">
        <f>C649+E649*C652+H649*C653+K649*C654</f>
        <v>19302.033333333336</v>
      </c>
    </row>
    <row r="653" spans="2:12" ht="15">
      <c r="B653" s="128" t="s">
        <v>249</v>
      </c>
      <c r="C653">
        <v>110</v>
      </c>
    </row>
    <row r="654" spans="2:12" ht="15">
      <c r="B654" s="128" t="s">
        <v>250</v>
      </c>
      <c r="C654">
        <v>5</v>
      </c>
    </row>
    <row r="657" spans="2:7">
      <c r="B657" s="65" t="s">
        <v>253</v>
      </c>
      <c r="C657" s="3"/>
      <c r="D657" s="3"/>
      <c r="E657" s="3"/>
      <c r="F657" s="3"/>
      <c r="G657" s="3"/>
    </row>
    <row r="658" spans="2:7">
      <c r="B658" s="3" t="s">
        <v>255</v>
      </c>
      <c r="C658" s="3"/>
      <c r="D658" s="3"/>
      <c r="E658" s="3"/>
      <c r="F658" s="3"/>
      <c r="G658" s="3"/>
    </row>
    <row r="660" spans="2:7" ht="15">
      <c r="B660" s="27" t="s">
        <v>254</v>
      </c>
      <c r="C660" s="28"/>
      <c r="D660" s="28"/>
      <c r="E660" s="29"/>
    </row>
    <row r="662" spans="2:7" ht="15">
      <c r="B662" s="128" t="s">
        <v>248</v>
      </c>
      <c r="C662" s="129">
        <v>70000</v>
      </c>
    </row>
    <row r="663" spans="2:7" ht="15">
      <c r="B663" s="128" t="s">
        <v>249</v>
      </c>
      <c r="C663">
        <v>110</v>
      </c>
    </row>
    <row r="664" spans="2:7" ht="15">
      <c r="B664" s="128" t="s">
        <v>250</v>
      </c>
      <c r="C664">
        <v>5</v>
      </c>
    </row>
    <row r="667" spans="2:7" ht="15">
      <c r="B667" s="127" t="s">
        <v>256</v>
      </c>
      <c r="D667" s="131">
        <v>19415</v>
      </c>
    </row>
    <row r="669" spans="2:7">
      <c r="B669" s="79" t="s">
        <v>257</v>
      </c>
    </row>
    <row r="670" spans="2:7">
      <c r="B670" s="79"/>
    </row>
    <row r="672" spans="2:7" ht="15">
      <c r="B672" s="27" t="s">
        <v>258</v>
      </c>
      <c r="C672" s="28"/>
      <c r="D672" s="28"/>
      <c r="E672" s="29"/>
    </row>
    <row r="674" spans="2:20" ht="15">
      <c r="B674" t="s">
        <v>259</v>
      </c>
      <c r="C674" s="132">
        <v>17000</v>
      </c>
      <c r="T674" t="s">
        <v>260</v>
      </c>
    </row>
    <row r="675" spans="2:20" ht="15">
      <c r="G675" s="146" t="s">
        <v>277</v>
      </c>
      <c r="H675" s="147"/>
    </row>
    <row r="676" spans="2:20">
      <c r="B676" t="s">
        <v>267</v>
      </c>
    </row>
    <row r="678" spans="2:20" ht="15">
      <c r="B678" s="133" t="s">
        <v>248</v>
      </c>
      <c r="C678" s="134">
        <v>67500</v>
      </c>
      <c r="D678" t="s">
        <v>262</v>
      </c>
    </row>
    <row r="679" spans="2:20" ht="15">
      <c r="B679" s="135" t="s">
        <v>249</v>
      </c>
      <c r="C679" s="40">
        <v>94</v>
      </c>
      <c r="D679" t="s">
        <v>263</v>
      </c>
    </row>
    <row r="680" spans="2:20" ht="15">
      <c r="B680" s="136" t="s">
        <v>250</v>
      </c>
      <c r="C680" s="42">
        <v>4</v>
      </c>
      <c r="D680" t="s">
        <v>265</v>
      </c>
    </row>
    <row r="682" spans="2:20" ht="15">
      <c r="B682" s="137" t="s">
        <v>261</v>
      </c>
    </row>
    <row r="683" spans="2:20" ht="15">
      <c r="B683" s="138">
        <f>C649+E649*C678+H649*C679+K649*C680</f>
        <v>17006.387500000004</v>
      </c>
    </row>
    <row r="685" spans="2:20">
      <c r="B685" t="s">
        <v>266</v>
      </c>
    </row>
    <row r="687" spans="2:20" ht="15">
      <c r="B687" s="133" t="s">
        <v>248</v>
      </c>
      <c r="C687" s="134">
        <v>72200</v>
      </c>
      <c r="D687" t="s">
        <v>262</v>
      </c>
    </row>
    <row r="688" spans="2:20" ht="15">
      <c r="B688" s="135" t="s">
        <v>249</v>
      </c>
      <c r="C688" s="40">
        <v>100</v>
      </c>
      <c r="D688" t="s">
        <v>263</v>
      </c>
    </row>
    <row r="689" spans="2:4" ht="15">
      <c r="B689" s="136" t="s">
        <v>250</v>
      </c>
      <c r="C689" s="42">
        <v>5</v>
      </c>
      <c r="D689" t="s">
        <v>264</v>
      </c>
    </row>
    <row r="691" spans="2:4" ht="15">
      <c r="B691" s="137" t="s">
        <v>261</v>
      </c>
    </row>
    <row r="692" spans="2:4" ht="15">
      <c r="B692" s="138">
        <f>C649+E649*C687+H649*C688+K649*C689</f>
        <v>17003.14366666667</v>
      </c>
    </row>
    <row r="694" spans="2:4">
      <c r="B694" t="s">
        <v>268</v>
      </c>
    </row>
    <row r="696" spans="2:4" ht="15">
      <c r="B696" s="133" t="s">
        <v>248</v>
      </c>
      <c r="C696" s="134">
        <v>100000</v>
      </c>
      <c r="D696" t="s">
        <v>262</v>
      </c>
    </row>
    <row r="697" spans="2:4" ht="15">
      <c r="B697" s="135" t="s">
        <v>249</v>
      </c>
      <c r="C697" s="40">
        <v>105</v>
      </c>
      <c r="D697" t="s">
        <v>263</v>
      </c>
    </row>
    <row r="698" spans="2:4" ht="15">
      <c r="B698" s="136" t="s">
        <v>250</v>
      </c>
      <c r="C698" s="42">
        <v>5</v>
      </c>
      <c r="D698" t="s">
        <v>264</v>
      </c>
    </row>
    <row r="700" spans="2:4" ht="15">
      <c r="B700" s="137" t="s">
        <v>261</v>
      </c>
    </row>
    <row r="701" spans="2:4" ht="15">
      <c r="B701" s="138">
        <f>C649+E649*C696+H649*C697+K649*C698</f>
        <v>17134.875</v>
      </c>
    </row>
    <row r="714" spans="2:16" ht="15">
      <c r="B714" s="110" t="s">
        <v>278</v>
      </c>
      <c r="C714" s="111"/>
      <c r="D714" s="112"/>
    </row>
    <row r="716" spans="2:16">
      <c r="B716" s="3" t="s">
        <v>279</v>
      </c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</row>
    <row r="717" spans="2:16">
      <c r="B717" t="s">
        <v>280</v>
      </c>
    </row>
  </sheetData>
  <sortState ref="G336:G351">
    <sortCondition ref="G336"/>
  </sortState>
  <mergeCells count="16">
    <mergeCell ref="H472:Q472"/>
    <mergeCell ref="C526:D526"/>
    <mergeCell ref="E526:F526"/>
    <mergeCell ref="G526:H526"/>
    <mergeCell ref="N573:N574"/>
    <mergeCell ref="Q570:R570"/>
    <mergeCell ref="C530:D530"/>
    <mergeCell ref="E530:F530"/>
    <mergeCell ref="G530:H530"/>
    <mergeCell ref="E570:F570"/>
    <mergeCell ref="B573:B574"/>
    <mergeCell ref="K570:L570"/>
    <mergeCell ref="H573:H574"/>
    <mergeCell ref="B476:K476"/>
    <mergeCell ref="B477:K477"/>
    <mergeCell ref="B478:K478"/>
  </mergeCells>
  <hyperlinks>
    <hyperlink ref="B5" r:id="rId1"/>
  </hyperlinks>
  <pageMargins left="0.7" right="0.7" top="0.75" bottom="0.75" header="0.3" footer="0.3"/>
  <pageSetup paperSize="9" orientation="portrait" r:id="rId2"/>
  <ignoredErrors>
    <ignoredError sqref="I19" formula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Hárok1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Tamara Zigmundová</dc:creator>
  <cp:lastModifiedBy>Janette Kotianová</cp:lastModifiedBy>
  <dcterms:created xsi:type="dcterms:W3CDTF">2025-12-07T15:23:49Z</dcterms:created>
  <dcterms:modified xsi:type="dcterms:W3CDTF">2026-02-02T14:19:39Z</dcterms:modified>
</cp:coreProperties>
</file>