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ZADANIE_UVOD" sheetId="1" r:id="rId1"/>
    <sheet name="11-14" sheetId="2" r:id="rId2"/>
    <sheet name="15-20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9" i="1" l="1"/>
  <c r="C157" i="3"/>
  <c r="C165" i="3"/>
  <c r="C161" i="3"/>
  <c r="C156" i="3"/>
  <c r="C154" i="3"/>
  <c r="C155" i="3"/>
  <c r="G157" i="3"/>
  <c r="F157" i="3"/>
  <c r="G156" i="3"/>
  <c r="F156" i="3"/>
  <c r="G155" i="3"/>
  <c r="F155" i="3"/>
  <c r="AP8" i="3"/>
  <c r="AO8" i="3"/>
  <c r="AO7" i="3"/>
  <c r="AO5" i="3"/>
  <c r="AO6" i="3"/>
  <c r="AG8" i="3"/>
  <c r="AF8" i="3"/>
  <c r="W7" i="3"/>
  <c r="AF7" i="3"/>
  <c r="AF5" i="3"/>
  <c r="AF6" i="3"/>
  <c r="X8" i="3"/>
  <c r="W8" i="3"/>
  <c r="W5" i="3"/>
  <c r="W6" i="3"/>
  <c r="O8" i="3"/>
  <c r="N8" i="3"/>
  <c r="N7" i="3"/>
  <c r="N6" i="3"/>
  <c r="N5" i="3"/>
  <c r="C128" i="2"/>
  <c r="C127" i="2"/>
  <c r="C245" i="1"/>
  <c r="C247" i="1"/>
  <c r="C126" i="2"/>
  <c r="D116" i="2" l="1"/>
  <c r="C116" i="2"/>
  <c r="C115" i="2"/>
  <c r="C114" i="2"/>
  <c r="C113" i="2"/>
  <c r="C100" i="2"/>
  <c r="D103" i="2"/>
  <c r="C103" i="2"/>
  <c r="C102" i="2"/>
  <c r="C101" i="2"/>
  <c r="C89" i="2"/>
  <c r="D91" i="2"/>
  <c r="C91" i="2"/>
  <c r="C90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C88" i="2"/>
  <c r="D291" i="1"/>
  <c r="H284" i="1"/>
  <c r="F289" i="1" s="1"/>
  <c r="G279" i="1"/>
  <c r="E284" i="1"/>
  <c r="F284" i="1" s="1"/>
  <c r="E285" i="1"/>
  <c r="F285" i="1" s="1"/>
  <c r="G258" i="1"/>
  <c r="I284" i="1"/>
  <c r="D284" i="1"/>
  <c r="G274" i="1"/>
  <c r="G271" i="1"/>
  <c r="G268" i="1"/>
  <c r="G269" i="1"/>
  <c r="G259" i="1"/>
  <c r="G262" i="1"/>
  <c r="G261" i="1"/>
  <c r="G260" i="1"/>
  <c r="G284" i="1" l="1"/>
  <c r="D289" i="1" s="1"/>
  <c r="H279" i="1"/>
  <c r="E273" i="1" l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S22" i="1" l="1"/>
  <c r="S21" i="1"/>
  <c r="I18" i="3"/>
  <c r="G83" i="3"/>
  <c r="G138" i="3"/>
  <c r="G137" i="3"/>
  <c r="F138" i="3"/>
  <c r="E138" i="3"/>
  <c r="F137" i="3"/>
  <c r="E137" i="3"/>
  <c r="G108" i="3"/>
  <c r="G81" i="3"/>
  <c r="G109" i="3"/>
  <c r="F109" i="3"/>
  <c r="F108" i="3"/>
  <c r="E109" i="3"/>
  <c r="E82" i="3"/>
  <c r="G82" i="3" s="1"/>
  <c r="E108" i="3"/>
  <c r="F82" i="3"/>
  <c r="F81" i="3"/>
  <c r="E81" i="3"/>
  <c r="G110" i="3" l="1"/>
  <c r="G139" i="3"/>
  <c r="J61" i="3" l="1"/>
  <c r="I61" i="3"/>
  <c r="J60" i="3"/>
  <c r="I60" i="3"/>
  <c r="J59" i="3"/>
  <c r="I59" i="3"/>
  <c r="I31" i="3" l="1"/>
  <c r="I30" i="3"/>
  <c r="I25" i="3"/>
  <c r="I24" i="3"/>
  <c r="I19" i="3"/>
  <c r="M6" i="2"/>
  <c r="D8" i="2"/>
  <c r="D9" i="2"/>
  <c r="F22" i="2"/>
  <c r="B14" i="2" s="1"/>
  <c r="B11" i="2"/>
  <c r="D10" i="2" s="1"/>
  <c r="I32" i="3" l="1"/>
  <c r="I26" i="3"/>
  <c r="I20" i="3"/>
  <c r="B15" i="2"/>
  <c r="D6" i="2"/>
  <c r="D11" i="2" s="1"/>
  <c r="K6" i="2" s="1"/>
  <c r="K7" i="2" s="1"/>
  <c r="D7" i="2"/>
  <c r="F99" i="1" l="1"/>
  <c r="C246" i="1" l="1"/>
  <c r="C244" i="1"/>
  <c r="C243" i="1"/>
  <c r="E194" i="1"/>
  <c r="E188" i="1"/>
  <c r="E189" i="1" s="1"/>
  <c r="C188" i="1"/>
  <c r="K187" i="1"/>
  <c r="K188" i="1" s="1"/>
  <c r="K189" i="1" s="1"/>
  <c r="G187" i="1"/>
  <c r="G188" i="1" s="1"/>
  <c r="G189" i="1" s="1"/>
  <c r="I187" i="1"/>
  <c r="I188" i="1" s="1"/>
  <c r="I189" i="1" s="1"/>
  <c r="E187" i="1"/>
  <c r="C187" i="1"/>
  <c r="J149" i="1"/>
  <c r="I149" i="1"/>
  <c r="J148" i="1"/>
  <c r="I148" i="1"/>
  <c r="J147" i="1"/>
  <c r="I147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H100" i="1" l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F114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H99" i="1"/>
  <c r="G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99" i="1"/>
  <c r="O59" i="1" l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58" i="1"/>
  <c r="L68" i="1"/>
  <c r="L59" i="1"/>
  <c r="L60" i="1"/>
  <c r="L61" i="1"/>
  <c r="L62" i="1"/>
  <c r="L63" i="1"/>
  <c r="L64" i="1"/>
  <c r="L65" i="1"/>
  <c r="L66" i="1"/>
  <c r="L67" i="1"/>
  <c r="L69" i="1"/>
  <c r="L70" i="1"/>
  <c r="L71" i="1"/>
  <c r="L72" i="1"/>
  <c r="L73" i="1"/>
  <c r="L58" i="1"/>
  <c r="C76" i="1" s="1" a="1"/>
  <c r="D76" i="1" l="1"/>
  <c r="K81" i="1"/>
  <c r="K82" i="1"/>
  <c r="K83" i="1"/>
  <c r="C82" i="1"/>
  <c r="C83" i="1"/>
  <c r="G81" i="1"/>
  <c r="G82" i="1"/>
  <c r="G83" i="1"/>
  <c r="O81" i="1"/>
  <c r="O82" i="1"/>
  <c r="O83" i="1"/>
  <c r="Q83" i="1"/>
  <c r="Q82" i="1"/>
  <c r="Q81" i="1"/>
  <c r="Q80" i="1"/>
  <c r="Q79" i="1"/>
  <c r="Q78" i="1"/>
  <c r="Q77" i="1"/>
  <c r="Q76" i="1"/>
  <c r="C81" i="1"/>
  <c r="C80" i="1"/>
  <c r="C79" i="1"/>
  <c r="C78" i="1"/>
  <c r="C77" i="1"/>
  <c r="C76" i="1"/>
  <c r="F83" i="1"/>
  <c r="F82" i="1"/>
  <c r="F81" i="1"/>
  <c r="F80" i="1"/>
  <c r="F79" i="1"/>
  <c r="F78" i="1"/>
  <c r="F77" i="1"/>
  <c r="F76" i="1"/>
  <c r="D83" i="1"/>
  <c r="D82" i="1"/>
  <c r="D81" i="1"/>
  <c r="D80" i="1"/>
  <c r="D79" i="1"/>
  <c r="D78" i="1"/>
  <c r="D77" i="1"/>
  <c r="I82" i="1"/>
  <c r="I80" i="1"/>
  <c r="I78" i="1"/>
  <c r="I76" i="1"/>
  <c r="K79" i="1"/>
  <c r="K77" i="1"/>
  <c r="N83" i="1"/>
  <c r="N81" i="1"/>
  <c r="N79" i="1"/>
  <c r="N77" i="1"/>
  <c r="L83" i="1"/>
  <c r="L81" i="1"/>
  <c r="L79" i="1"/>
  <c r="L77" i="1"/>
  <c r="E83" i="1"/>
  <c r="E81" i="1"/>
  <c r="E79" i="1"/>
  <c r="E77" i="1"/>
  <c r="G80" i="1"/>
  <c r="G78" i="1"/>
  <c r="G76" i="1"/>
  <c r="J82" i="1"/>
  <c r="J80" i="1"/>
  <c r="J78" i="1"/>
  <c r="J76" i="1"/>
  <c r="H82" i="1"/>
  <c r="H80" i="1"/>
  <c r="H78" i="1"/>
  <c r="H76" i="1"/>
  <c r="M83" i="1"/>
  <c r="M82" i="1"/>
  <c r="M81" i="1"/>
  <c r="M80" i="1"/>
  <c r="M79" i="1"/>
  <c r="M78" i="1"/>
  <c r="M77" i="1"/>
  <c r="M76" i="1"/>
  <c r="O80" i="1"/>
  <c r="O79" i="1"/>
  <c r="O78" i="1"/>
  <c r="O77" i="1"/>
  <c r="O76" i="1"/>
  <c r="R83" i="1"/>
  <c r="R82" i="1"/>
  <c r="R81" i="1"/>
  <c r="R80" i="1"/>
  <c r="R79" i="1"/>
  <c r="R78" i="1"/>
  <c r="R77" i="1"/>
  <c r="R76" i="1"/>
  <c r="P83" i="1"/>
  <c r="P82" i="1"/>
  <c r="P81" i="1"/>
  <c r="P80" i="1"/>
  <c r="P79" i="1"/>
  <c r="P78" i="1"/>
  <c r="P77" i="1"/>
  <c r="P76" i="1"/>
  <c r="I83" i="1"/>
  <c r="I81" i="1"/>
  <c r="I79" i="1"/>
  <c r="I77" i="1"/>
  <c r="K80" i="1"/>
  <c r="K78" i="1"/>
  <c r="K76" i="1"/>
  <c r="N82" i="1"/>
  <c r="N80" i="1"/>
  <c r="N78" i="1"/>
  <c r="N76" i="1"/>
  <c r="L82" i="1"/>
  <c r="L80" i="1"/>
  <c r="L78" i="1"/>
  <c r="L76" i="1"/>
  <c r="E82" i="1"/>
  <c r="E80" i="1"/>
  <c r="E78" i="1"/>
  <c r="E76" i="1"/>
  <c r="G79" i="1"/>
  <c r="G77" i="1"/>
  <c r="J83" i="1"/>
  <c r="J81" i="1"/>
  <c r="J79" i="1"/>
  <c r="J77" i="1"/>
  <c r="H83" i="1"/>
  <c r="H81" i="1"/>
  <c r="H79" i="1"/>
  <c r="H77" i="1"/>
  <c r="C86" i="1" l="1" a="1"/>
  <c r="Q36" i="1"/>
  <c r="T22" i="1"/>
  <c r="T21" i="1"/>
  <c r="O27" i="1" s="1"/>
  <c r="T20" i="1"/>
  <c r="S20" i="1"/>
  <c r="P24" i="1"/>
  <c r="P35" i="1" l="1"/>
  <c r="N34" i="1"/>
  <c r="P31" i="1"/>
  <c r="O24" i="1"/>
  <c r="P33" i="1"/>
  <c r="P27" i="1"/>
  <c r="P23" i="1"/>
  <c r="N35" i="1"/>
  <c r="O23" i="1"/>
  <c r="N30" i="1"/>
  <c r="N25" i="1"/>
  <c r="N21" i="1"/>
  <c r="O34" i="1"/>
  <c r="O30" i="1"/>
  <c r="O26" i="1"/>
  <c r="O22" i="1"/>
  <c r="P34" i="1"/>
  <c r="P30" i="1"/>
  <c r="P26" i="1"/>
  <c r="P22" i="1"/>
  <c r="N33" i="1"/>
  <c r="N28" i="1"/>
  <c r="N24" i="1"/>
  <c r="N29" i="1"/>
  <c r="O33" i="1"/>
  <c r="O29" i="1"/>
  <c r="O25" i="1"/>
  <c r="O21" i="1"/>
  <c r="P29" i="1"/>
  <c r="P25" i="1"/>
  <c r="P21" i="1"/>
  <c r="N20" i="1"/>
  <c r="N32" i="1"/>
  <c r="N27" i="1"/>
  <c r="N23" i="1"/>
  <c r="O20" i="1"/>
  <c r="O32" i="1"/>
  <c r="O28" i="1"/>
  <c r="P20" i="1"/>
  <c r="P32" i="1"/>
  <c r="P28" i="1"/>
  <c r="N31" i="1"/>
  <c r="N26" i="1"/>
  <c r="N22" i="1"/>
  <c r="O35" i="1"/>
  <c r="O31" i="1"/>
  <c r="C86" i="1"/>
  <c r="F86" i="1" s="1"/>
  <c r="F89" i="1"/>
  <c r="F93" i="1"/>
  <c r="F87" i="1"/>
  <c r="F92" i="1"/>
  <c r="F90" i="1"/>
  <c r="F88" i="1"/>
  <c r="F91" i="1"/>
  <c r="C93" i="1"/>
  <c r="C92" i="1"/>
  <c r="C91" i="1"/>
  <c r="C90" i="1"/>
  <c r="C89" i="1"/>
  <c r="C88" i="1"/>
  <c r="C87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<sst xmlns="http://schemas.openxmlformats.org/spreadsheetml/2006/main" count="520" uniqueCount="241">
  <si>
    <t>PREDMET SKÚMANIA</t>
  </si>
  <si>
    <t>Transformacia:</t>
  </si>
  <si>
    <t>x1</t>
  </si>
  <si>
    <t>x2</t>
  </si>
  <si>
    <t>x3</t>
  </si>
  <si>
    <t>Y</t>
  </si>
  <si>
    <t>t1</t>
  </si>
  <si>
    <t>t2</t>
  </si>
  <si>
    <t>t3</t>
  </si>
  <si>
    <t>s</t>
  </si>
  <si>
    <t>lambda</t>
  </si>
  <si>
    <t>x1=</t>
  </si>
  <si>
    <t>x2=</t>
  </si>
  <si>
    <t>x3=</t>
  </si>
  <si>
    <t>(%)</t>
  </si>
  <si>
    <t>&lt;80;85&gt;</t>
  </si>
  <si>
    <t>&lt;560;570&gt;</t>
  </si>
  <si>
    <t>(m/min)</t>
  </si>
  <si>
    <t>(MPa)</t>
  </si>
  <si>
    <t>Y=</t>
  </si>
  <si>
    <t>(°C)</t>
  </si>
  <si>
    <t>1. Zobrazenie priemerných odoziev pomocou CPLOT-u</t>
  </si>
  <si>
    <t>Obsah uhlíka [C]</t>
  </si>
  <si>
    <t>Teplota olova [T]</t>
  </si>
  <si>
    <t>Rýchlosť [V]</t>
  </si>
  <si>
    <t>Pevnosť v ťahu [Rm]</t>
  </si>
  <si>
    <t>2. Metódou najmenších štvorcov odhadnite koeficienty transformovanej regresnej funkcie lineárneho typu.</t>
  </si>
  <si>
    <t>t1*t2</t>
  </si>
  <si>
    <t>t1*t2*t3</t>
  </si>
  <si>
    <t>b0</t>
  </si>
  <si>
    <t>b1</t>
  </si>
  <si>
    <t>b2</t>
  </si>
  <si>
    <t>b3</t>
  </si>
  <si>
    <t>b12</t>
  </si>
  <si>
    <t>b13</t>
  </si>
  <si>
    <t>b23</t>
  </si>
  <si>
    <t>b123</t>
  </si>
  <si>
    <t>t0</t>
  </si>
  <si>
    <t>t12</t>
  </si>
  <si>
    <t>t13</t>
  </si>
  <si>
    <t>t23</t>
  </si>
  <si>
    <t>t123</t>
  </si>
  <si>
    <t>X=</t>
  </si>
  <si>
    <t>XT=</t>
  </si>
  <si>
    <t>XT*Y=</t>
  </si>
  <si>
    <t>bi=</t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</si>
  <si>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1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</si>
  <si>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2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</si>
  <si>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3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</si>
  <si>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12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</si>
  <si>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13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</si>
  <si>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23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</si>
  <si>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123</t>
    </r>
    <r>
      <rPr>
        <b/>
        <sz val="11"/>
        <color rgb="FF00B0F0"/>
        <rFont val="Aptos Narrow"/>
        <family val="2"/>
        <scheme val="minor"/>
      </rPr>
      <t>=</t>
    </r>
  </si>
  <si>
    <r>
      <t>b</t>
    </r>
    <r>
      <rPr>
        <b/>
        <vertAlign val="subscript"/>
        <sz val="11"/>
        <color rgb="FF00B0F0"/>
        <rFont val="Aptos Narrow"/>
        <family val="2"/>
        <scheme val="minor"/>
      </rPr>
      <t>0</t>
    </r>
    <r>
      <rPr>
        <b/>
        <sz val="11"/>
        <color rgb="FF00B0F0"/>
        <rFont val="Aptos Narrow"/>
        <family val="2"/>
        <scheme val="minor"/>
      </rPr>
      <t>=</t>
    </r>
  </si>
  <si>
    <t>3. Na hladine významnosti 0,05 rozhodnite, ktoré z faktorov a interakcií nie sú štatisticky významné a možno ich vylúčiť, ak má zostať regresný model hierarchický.</t>
  </si>
  <si>
    <t>t1 * t2</t>
  </si>
  <si>
    <t>t1 * t3</t>
  </si>
  <si>
    <t>t2 * t3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</si>
  <si>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</si>
  <si>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</si>
  <si>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</si>
  <si>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</si>
  <si>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</si>
  <si>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</si>
  <si>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</si>
  <si>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</si>
  <si>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</si>
  <si>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</si>
  <si>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</si>
  <si>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</si>
  <si>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</si>
  <si>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</si>
  <si>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</si>
  <si>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</si>
  <si>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</si>
  <si>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</si>
  <si>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</si>
  <si>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</si>
  <si>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</si>
  <si>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</si>
  <si>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</si>
  <si>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</si>
  <si>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Na hladine významnosti 0,05 vylučujem t1*t2, t2*t3, t1*t2*t3.</t>
  </si>
  <si>
    <t>4. Napíšte bodový odhad transformovanej regresnej funkcie lineárneho typu, ktorý vznikne po vylúčení štatisticky nevýznamných členov. Ďalej pracujte s týmto modelom.</t>
  </si>
  <si>
    <t>+</t>
  </si>
  <si>
    <t>*t1-</t>
  </si>
  <si>
    <t>*t2+</t>
  </si>
  <si>
    <t>*(t1*t2)</t>
  </si>
  <si>
    <t>*t3-</t>
  </si>
  <si>
    <t>yLt(t1,t2,t3,t1*t2)</t>
  </si>
  <si>
    <t>fL(x1,x2,x3,x1*x2)</t>
  </si>
  <si>
    <t>*(x1-82,5)/2,5-</t>
  </si>
  <si>
    <t>*(x3-29,5)/1,5-</t>
  </si>
  <si>
    <t>*(x2-565)/5+</t>
  </si>
  <si>
    <t>*x1-</t>
  </si>
  <si>
    <t>*x2+</t>
  </si>
  <si>
    <t>*x3-</t>
  </si>
  <si>
    <t>*(x1*x2)</t>
  </si>
  <si>
    <t>*(x1-82,5)/2,5*(x2-565)/5</t>
  </si>
  <si>
    <t>5. Napíšte rovnicu pôvodnej regresnej funkcie lineárneho typu, t.j. rovnicu regresného modelu v nekódovaných hodnotách s upravenými koeficientami.</t>
  </si>
  <si>
    <t>6. Charakterizujte kvalitu získaného modelu pomocou indexu determinácie. Číselnú hodnotu interpretujte slovne.</t>
  </si>
  <si>
    <t>R^2=</t>
  </si>
  <si>
    <t>%</t>
  </si>
  <si>
    <t>7. Porovnajte upravený index determinácie pri modeli so všetkými pôvodnými premennými a pri modeli, ktorý dostanete po ich vylúčení. Výsledok interpretujte.</t>
  </si>
  <si>
    <t>upravene R^2=</t>
  </si>
  <si>
    <t>povodny model (pred vylucenim)</t>
  </si>
  <si>
    <t>hierarchicky model (po vyluceni)</t>
  </si>
  <si>
    <t xml:space="preserve"> </t>
  </si>
  <si>
    <t>9. Otestujte celkovú štatistickú významnosť regresného modelu pomocou F testu.</t>
  </si>
  <si>
    <t>α = 0,05</t>
  </si>
  <si>
    <t>H0: b1=b2=b3=b12=b13=b23=b123=0 &gt;&lt; H1:minimálne jeden koeficient je nenulový</t>
  </si>
  <si>
    <t>H0: b1=b2=b3=b12=b13=b23=b123=0 zamietame</t>
  </si>
  <si>
    <t>H1: aspoň jedno bi=0 príjmame</t>
  </si>
  <si>
    <t>MSR=</t>
  </si>
  <si>
    <t>MSE=</t>
  </si>
  <si>
    <t>p=</t>
  </si>
  <si>
    <t>F kv4,11(0,95)=</t>
  </si>
  <si>
    <t>W=</t>
  </si>
  <si>
    <r>
      <t>(3,36;</t>
    </r>
    <r>
      <rPr>
        <sz val="12"/>
        <color theme="1"/>
        <rFont val="Aptos Narrow"/>
        <family val="2"/>
        <scheme val="minor"/>
      </rPr>
      <t>∞</t>
    </r>
    <r>
      <rPr>
        <sz val="11"/>
        <color theme="1"/>
        <rFont val="Aptos Narrow"/>
        <family val="2"/>
        <charset val="238"/>
        <scheme val="minor"/>
      </rPr>
      <t>)</t>
    </r>
  </si>
  <si>
    <t>&lt;</t>
  </si>
  <si>
    <t>α (0,05)</t>
  </si>
  <si>
    <t>PE</t>
  </si>
  <si>
    <t>10. Otestujte kvalitu modelu testom Lack of Fit.</t>
  </si>
  <si>
    <t>df pre PE</t>
  </si>
  <si>
    <t>suma</t>
  </si>
  <si>
    <t>α=0,05</t>
  </si>
  <si>
    <t>Lack of fit</t>
  </si>
  <si>
    <t>Pure error</t>
  </si>
  <si>
    <t>&gt;</t>
  </si>
  <si>
    <t>11.Testom krivosti overte, či nie je potrebné do modelu zaradiť kvadratické členy.</t>
  </si>
  <si>
    <t>central point</t>
  </si>
  <si>
    <t>namerané hodnoty</t>
  </si>
  <si>
    <t>factorial point</t>
  </si>
  <si>
    <t>y priem:</t>
  </si>
  <si>
    <t>nC:</t>
  </si>
  <si>
    <t>nF:</t>
  </si>
  <si>
    <t>SSCPQ=</t>
  </si>
  <si>
    <r>
      <t>F</t>
    </r>
    <r>
      <rPr>
        <vertAlign val="subscript"/>
        <sz val="11"/>
        <color rgb="FF00B0F0"/>
        <rFont val="Aptos Narrow"/>
        <family val="2"/>
        <scheme val="minor"/>
      </rPr>
      <t>0</t>
    </r>
    <r>
      <rPr>
        <sz val="11"/>
        <color rgb="FF00B0F0"/>
        <rFont val="Aptos Narrow"/>
        <family val="2"/>
        <scheme val="minor"/>
      </rPr>
      <t>:</t>
    </r>
  </si>
  <si>
    <t>testovacie kritérium:</t>
  </si>
  <si>
    <t>T=</t>
  </si>
  <si>
    <t>&lt;- Fkv(0,95;1;4)</t>
  </si>
  <si>
    <t>H0 prijímame.</t>
  </si>
  <si>
    <t>Na základe testu krivosti možno konštatovať, že nie je potrebný kvadratický model.</t>
  </si>
  <si>
    <t>12.Analyzujte reziduá graficky a overte, či spĺňajú požadované podmienky aj pomocou testov.</t>
  </si>
  <si>
    <t>RESIDUAL OUTPUT</t>
  </si>
  <si>
    <t>Observation</t>
  </si>
  <si>
    <t>Predicted Y</t>
  </si>
  <si>
    <t>Residuals</t>
  </si>
  <si>
    <t>Standard Residuals</t>
  </si>
  <si>
    <t>13.Určte, či je samostatný vplyv faktorov na hodnotu regresnej funkcie lineárneho typu štatisticky významný. Použite t test nulovosti regresného koeficientu.</t>
  </si>
  <si>
    <t>samostatný vplyv faktora t1 na hodnotu regresnej funkcie fLT</t>
  </si>
  <si>
    <t>H0:b1=0&gt;&lt;H1:b1≠0</t>
  </si>
  <si>
    <t>p(b1)  =</t>
  </si>
  <si>
    <t xml:space="preserve">pre 0 </t>
  </si>
  <si>
    <t>tstat(b1) =</t>
  </si>
  <si>
    <t>&lt;0,05</t>
  </si>
  <si>
    <t xml:space="preserve">H0:b1=0 </t>
  </si>
  <si>
    <t>zamietame</t>
  </si>
  <si>
    <t>samostatny vplyv faktora t1 na hodnotu regresnej funkcie fLT</t>
  </si>
  <si>
    <t xml:space="preserve">H1:b1=0 </t>
  </si>
  <si>
    <t>H0: b1=0 &gt;&lt; H1:b1 nerovná sa 0</t>
  </si>
  <si>
    <t>patri do W</t>
  </si>
  <si>
    <t>15. Určte, či je interakcia faktorov na hodnotu regresnej funkcie lineárneho typu štatisticky významná. Použite t test nulovosti regresného koeficientu.</t>
  </si>
  <si>
    <t>16.Vypočítajte a zobrazte grafy hlavných efektov sledovaných faktorov (main effect plots).</t>
  </si>
  <si>
    <t>17. Zobrazte efekt interakcií sledovaných faktorov (interaction plots) a interpretujte ich.</t>
  </si>
  <si>
    <t>ef(A)=</t>
  </si>
  <si>
    <t>ef(B)=</t>
  </si>
  <si>
    <t>ef(C)=</t>
  </si>
  <si>
    <t>hlavny efekt faktora B_Teplota olova</t>
  </si>
  <si>
    <t>hlavny efekt faktora A_ % uhlíka</t>
  </si>
  <si>
    <t>hlavny efekt faktora C_rýchlosť</t>
  </si>
  <si>
    <t>18. Pomocou nájdeného regresného modelu predikujte hodnotu odozvy pre zvolené úrovne faktorov. Správnosť výsledku overte výpočtom cez model v pôvodných aj kódovaných jednotkách.</t>
  </si>
  <si>
    <t>20. Analyzujte pri akom nastavení faktorov možno dostať požadovanú odozvu.</t>
  </si>
  <si>
    <t>nezamietame</t>
  </si>
  <si>
    <r>
      <t>F</t>
    </r>
    <r>
      <rPr>
        <sz val="8"/>
        <color theme="1"/>
        <rFont val="Aptos Narrow"/>
        <family val="2"/>
        <scheme val="minor"/>
      </rPr>
      <t>0</t>
    </r>
    <r>
      <rPr>
        <sz val="11"/>
        <color theme="1"/>
        <rFont val="Aptos Narrow"/>
        <family val="2"/>
        <charset val="238"/>
        <scheme val="minor"/>
      </rPr>
      <t>=</t>
    </r>
  </si>
  <si>
    <t>A</t>
  </si>
  <si>
    <t>C</t>
  </si>
  <si>
    <t>B</t>
  </si>
  <si>
    <t>ef(AC)=</t>
  </si>
  <si>
    <t>ef(AB)=</t>
  </si>
  <si>
    <t>ef(BC)=</t>
  </si>
  <si>
    <t>&lt;28;31&gt;</t>
  </si>
  <si>
    <t>test Lack of Fit (LOF)</t>
  </si>
  <si>
    <t>Fkrit</t>
  </si>
  <si>
    <t>p hodnota</t>
  </si>
  <si>
    <t>H0: SSLF=SSPE &gt;&lt; H1: SSLF≠SSPE</t>
  </si>
  <si>
    <t>F=</t>
  </si>
  <si>
    <t>nepatrí do W, preto H0 nezamietame</t>
  </si>
  <si>
    <t>H0 zamietame</t>
  </si>
  <si>
    <t>Na hladine významnosti 0,05 môžeme konštatovať že lineárny model je nedostatočný.</t>
  </si>
  <si>
    <t>samostatný vplyv faktora t2 na hodnotu regresnej funkcie fLT</t>
  </si>
  <si>
    <t>H0:b2=0&gt;&lt;H1:b2≠0</t>
  </si>
  <si>
    <t>tstat(b2) =</t>
  </si>
  <si>
    <t xml:space="preserve">H0:b2=0 </t>
  </si>
  <si>
    <t xml:space="preserve">H1:b2=0 </t>
  </si>
  <si>
    <t>samostatný vplyv faktora t3 na hodnotu regresnej funkcie fLT</t>
  </si>
  <si>
    <t>H0:b3=0&gt;&lt;H1:b3≠0</t>
  </si>
  <si>
    <t>tstat(b3) =</t>
  </si>
  <si>
    <t xml:space="preserve">    tkv 11(0,95) = </t>
  </si>
  <si>
    <t>nepatri do W</t>
  </si>
  <si>
    <t>samostatny vplyv faktora t2 na hodnotu regresnej funkcie fLT</t>
  </si>
  <si>
    <t>H0: b2=0 &gt;&lt; H1:b2 nerovná sa 0</t>
  </si>
  <si>
    <t>p(b2)  =</t>
  </si>
  <si>
    <t>p(b3)  =</t>
  </si>
  <si>
    <t>samostatny vplyv faktora t3 na hodnotu regresnej funkcie fLT</t>
  </si>
  <si>
    <t>H0: b3=0 &gt;&lt; H1:b3 nerovná sa 0</t>
  </si>
  <si>
    <t>14.Určte, či je samostatný vplyv vybraného faktoru na hodnotu regresnej funkcie lineárneho typu štatisticky významný. Ďalej použite F-test dodatočného príspevku vybraného faktora na vysvetlenie variability závislej premennej.</t>
  </si>
  <si>
    <t xml:space="preserve">    Fkv3; 17(0,95) = </t>
  </si>
  <si>
    <t>1. spoločný vplyv faktorov t1 a t2 na hodnotu regresnej funkcie fLT</t>
  </si>
  <si>
    <t>H0: b12=0 &gt;&lt; H1:b12≠0</t>
  </si>
  <si>
    <t>t stat(b12)=</t>
  </si>
  <si>
    <t>H0:b12=0 prijimame</t>
  </si>
  <si>
    <t>H1:b12≠0  zamietame</t>
  </si>
  <si>
    <t>p(b12)=</t>
  </si>
  <si>
    <t>&gt;0,05</t>
  </si>
  <si>
    <t xml:space="preserve">0 patri </t>
  </si>
  <si>
    <t>t kv 11 (0,95)=</t>
  </si>
  <si>
    <t>2. spoločný vplyv faktorov t1 a t3 na hodnotu regresnej funkcie fLT</t>
  </si>
  <si>
    <t>t stat(b13)=</t>
  </si>
  <si>
    <t>p(b13)=</t>
  </si>
  <si>
    <t>H0: b13=0 &gt;&lt; H1:b13≠0</t>
  </si>
  <si>
    <t>3. spoločný vplyv faktorov t2 a t3 na hodnotu regresnej funkcie fLT</t>
  </si>
  <si>
    <t>H0: b23=0 &gt;&lt; H1:b23≠0</t>
  </si>
  <si>
    <t>4. spoločný vplyv faktorov t1, t2 a t3 na hodnotu regresnej funkcie fLT</t>
  </si>
  <si>
    <t>H0: b123=0 &gt;&lt; H1:b123≠0</t>
  </si>
  <si>
    <t>t stat(b123)=</t>
  </si>
  <si>
    <t>p(b123)=</t>
  </si>
  <si>
    <t>t stat(b23)=</t>
  </si>
  <si>
    <t>p(b23)=</t>
  </si>
  <si>
    <t>yLt(t1,t2,t3)=</t>
  </si>
  <si>
    <t xml:space="preserve">x3=30 →t3=  </t>
  </si>
  <si>
    <t xml:space="preserve">x2=567 →t2=  </t>
  </si>
  <si>
    <t xml:space="preserve">x1=83 →t1=  </t>
  </si>
  <si>
    <t>yLt(t1,t2,t3,t1*t2)=</t>
  </si>
  <si>
    <t>fLt(t1,t2,t3)=</t>
  </si>
  <si>
    <t>predikované</t>
  </si>
  <si>
    <t>MPa</t>
  </si>
  <si>
    <t>Ak bude percento uhlíka v oceli 83% C, teplota olova bude 567 stupňov, rýchlosť drôtu bude 30 metrov za minutu a priemer drôtu 4,35mm. Náš testovaný drôt by po procese patentovania (žihacia pec + oloveny kúpeľ) mal dosiahnuť výslednú pevnosť v ťahu celkom 1357,458 MPa.</t>
  </si>
  <si>
    <t>21. porovnanie výsledkov</t>
  </si>
  <si>
    <t xml:space="preserve">  </t>
  </si>
  <si>
    <t xml:space="preserve"> Patentovanie drôtov:  mala som možnosť odsledovať  vplyv 3 nezávislých premenných: obsah uhlíka (%C) na vstupnom materiáli; teplota olova (°C); rýchlosť drôtu (m/min.) na 1 závisle premennú, a to výslednú pevnosť v ťahu (MPa). Meranie bolo uskutočňované na drôte s rovnakým priemerom 4,35mm.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</si>
</sst>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"/>
  </numFmts>
  <fonts count="26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1"/>
      <color rgb="FF00B0F0"/>
      <name val="Aptos Narrow"/>
      <family val="2"/>
      <charset val="238"/>
      <scheme val="minor"/>
    </font>
    <font>
      <b/>
      <sz val="11"/>
      <color rgb="FF00B0F0"/>
      <name val="Aptos Narrow"/>
      <family val="2"/>
      <scheme val="minor"/>
    </font>
    <font>
      <b/>
      <vertAlign val="subscript"/>
      <sz val="11"/>
      <color rgb="FF00B0F0"/>
      <name val="Aptos Narrow"/>
      <family val="2"/>
      <scheme val="minor"/>
    </font>
    <font>
      <b/>
      <u/>
      <sz val="11"/>
      <name val="Aptos Narrow"/>
      <family val="2"/>
      <scheme val="minor"/>
    </font>
    <font>
      <b/>
      <sz val="11"/>
      <color rgb="FF00B0F0"/>
      <name val="Aptos Narrow"/>
      <family val="2"/>
      <charset val="238"/>
      <scheme val="minor"/>
    </font>
    <font>
      <i/>
      <sz val="11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scheme val="minor"/>
    </font>
    <font>
      <b/>
      <sz val="11"/>
      <color theme="7" tint="0.39997558519241921"/>
      <name val="Aptos Narrow"/>
      <family val="2"/>
      <scheme val="minor"/>
    </font>
    <font>
      <sz val="11"/>
      <name val="Times New Roman"/>
      <family val="1"/>
      <charset val="238"/>
    </font>
    <font>
      <sz val="11"/>
      <color rgb="FF00B0F0"/>
      <name val="Aptos Narrow"/>
      <family val="2"/>
      <scheme val="minor"/>
    </font>
    <font>
      <vertAlign val="subscript"/>
      <sz val="11"/>
      <color rgb="FF00B0F0"/>
      <name val="Aptos Narrow"/>
      <family val="2"/>
      <scheme val="minor"/>
    </font>
    <font>
      <b/>
      <i/>
      <sz val="11"/>
      <color rgb="FF00B0F0"/>
      <name val="Aptos Narrow"/>
      <family val="2"/>
      <scheme val="minor"/>
    </font>
    <font>
      <sz val="11"/>
      <color theme="1"/>
      <name val="Aptos Display"/>
      <family val="2"/>
      <scheme val="major"/>
    </font>
    <font>
      <sz val="11"/>
      <name val="Aptos Display"/>
      <family val="2"/>
      <scheme val="major"/>
    </font>
    <font>
      <sz val="8"/>
      <color theme="1"/>
      <name val="Aptos Narrow"/>
      <family val="2"/>
      <scheme val="minor"/>
    </font>
    <font>
      <b/>
      <sz val="11"/>
      <color theme="3"/>
      <name val="Aptos Narrow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name val="Aptos Narrow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32" applyNumberFormat="0" applyFill="0" applyAlignment="0" applyProtection="0"/>
    <xf numFmtId="0" fontId="1" fillId="5" borderId="0" applyNumberFormat="0" applyBorder="0" applyAlignment="0" applyProtection="0"/>
  </cellStyleXfs>
  <cellXfs count="116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/>
    <xf numFmtId="0" fontId="0" fillId="0" borderId="6" xfId="0" applyBorder="1"/>
    <xf numFmtId="0" fontId="3" fillId="0" borderId="9" xfId="0" applyFont="1" applyBorder="1"/>
    <xf numFmtId="0" fontId="0" fillId="0" borderId="10" xfId="0" applyBorder="1" applyAlignment="1">
      <alignment horizontal="center"/>
    </xf>
    <xf numFmtId="0" fontId="3" fillId="0" borderId="11" xfId="0" applyFont="1" applyBorder="1"/>
    <xf numFmtId="0" fontId="0" fillId="0" borderId="13" xfId="0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5" fillId="0" borderId="0" xfId="0" applyFont="1"/>
    <xf numFmtId="0" fontId="7" fillId="0" borderId="0" xfId="0" applyFont="1"/>
    <xf numFmtId="164" fontId="0" fillId="0" borderId="0" xfId="0" applyNumberForma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3" fillId="0" borderId="17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2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4" xfId="0" applyBorder="1"/>
    <xf numFmtId="0" fontId="13" fillId="0" borderId="20" xfId="0" applyFont="1" applyBorder="1" applyAlignment="1">
      <alignment horizontal="center"/>
    </xf>
    <xf numFmtId="0" fontId="13" fillId="0" borderId="20" xfId="0" applyFont="1" applyBorder="1" applyAlignment="1">
      <alignment horizontal="centerContinuous"/>
    </xf>
    <xf numFmtId="0" fontId="0" fillId="2" borderId="0" xfId="0" applyFill="1"/>
    <xf numFmtId="0" fontId="0" fillId="2" borderId="14" xfId="0" applyFill="1" applyBorder="1"/>
    <xf numFmtId="0" fontId="8" fillId="0" borderId="0" xfId="0" applyFont="1"/>
    <xf numFmtId="0" fontId="9" fillId="0" borderId="0" xfId="0" applyFont="1"/>
    <xf numFmtId="0" fontId="3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2" fontId="9" fillId="0" borderId="0" xfId="0" applyNumberFormat="1" applyFont="1"/>
    <xf numFmtId="165" fontId="8" fillId="0" borderId="0" xfId="1" applyNumberFormat="1" applyFont="1"/>
    <xf numFmtId="0" fontId="14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7" xfId="0" applyBorder="1" applyAlignment="1">
      <alignment horizontal="center"/>
    </xf>
    <xf numFmtId="0" fontId="17" fillId="0" borderId="0" xfId="0" applyFont="1" applyAlignment="1">
      <alignment horizontal="right"/>
    </xf>
    <xf numFmtId="0" fontId="0" fillId="4" borderId="0" xfId="0" applyFill="1"/>
    <xf numFmtId="0" fontId="2" fillId="0" borderId="0" xfId="0" applyFont="1"/>
    <xf numFmtId="0" fontId="13" fillId="0" borderId="0" xfId="0" applyFont="1" applyAlignment="1">
      <alignment horizontal="center"/>
    </xf>
    <xf numFmtId="0" fontId="19" fillId="0" borderId="0" xfId="0" applyFont="1"/>
    <xf numFmtId="0" fontId="11" fillId="0" borderId="0" xfId="0" applyFont="1"/>
    <xf numFmtId="0" fontId="2" fillId="0" borderId="0" xfId="0" applyFont="1" applyAlignment="1">
      <alignment horizontal="center"/>
    </xf>
    <xf numFmtId="0" fontId="0" fillId="0" borderId="26" xfId="0" applyBorder="1"/>
    <xf numFmtId="0" fontId="3" fillId="0" borderId="28" xfId="0" applyFont="1" applyBorder="1" applyAlignment="1">
      <alignment horizontal="center"/>
    </xf>
    <xf numFmtId="0" fontId="0" fillId="0" borderId="29" xfId="0" applyBorder="1"/>
    <xf numFmtId="0" fontId="2" fillId="0" borderId="7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1" fontId="15" fillId="0" borderId="0" xfId="0" applyNumberFormat="1" applyFont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Continuous"/>
    </xf>
    <xf numFmtId="0" fontId="20" fillId="0" borderId="0" xfId="0" applyFont="1"/>
    <xf numFmtId="0" fontId="21" fillId="3" borderId="0" xfId="0" applyFont="1" applyFill="1"/>
    <xf numFmtId="0" fontId="0" fillId="0" borderId="29" xfId="0" applyBorder="1" applyAlignment="1">
      <alignment horizontal="center"/>
    </xf>
    <xf numFmtId="0" fontId="0" fillId="0" borderId="33" xfId="0" applyBorder="1" applyAlignment="1">
      <alignment horizontal="right"/>
    </xf>
    <xf numFmtId="0" fontId="0" fillId="0" borderId="34" xfId="0" applyBorder="1"/>
    <xf numFmtId="0" fontId="3" fillId="0" borderId="3" xfId="0" applyFont="1" applyBorder="1" applyAlignment="1">
      <alignment horizontal="center"/>
    </xf>
    <xf numFmtId="0" fontId="13" fillId="0" borderId="1" xfId="0" applyFont="1" applyBorder="1" applyAlignment="1">
      <alignment horizontal="centerContinuous"/>
    </xf>
    <xf numFmtId="0" fontId="13" fillId="0" borderId="1" xfId="0" applyFont="1" applyBorder="1" applyAlignment="1">
      <alignment horizontal="center"/>
    </xf>
    <xf numFmtId="0" fontId="16" fillId="0" borderId="1" xfId="0" applyFont="1" applyBorder="1"/>
    <xf numFmtId="0" fontId="0" fillId="0" borderId="12" xfId="0" applyBorder="1" applyAlignment="1">
      <alignment horizontal="right"/>
    </xf>
    <xf numFmtId="0" fontId="16" fillId="0" borderId="12" xfId="0" applyFont="1" applyBorder="1"/>
    <xf numFmtId="0" fontId="0" fillId="0" borderId="0" xfId="0" applyAlignment="1">
      <alignment horizontal="left"/>
    </xf>
    <xf numFmtId="0" fontId="24" fillId="0" borderId="0" xfId="0" applyFont="1"/>
    <xf numFmtId="0" fontId="0" fillId="3" borderId="0" xfId="0" applyFill="1"/>
    <xf numFmtId="0" fontId="0" fillId="3" borderId="14" xfId="0" applyFill="1" applyBorder="1"/>
    <xf numFmtId="0" fontId="1" fillId="0" borderId="8" xfId="3" applyFill="1" applyBorder="1"/>
    <xf numFmtId="0" fontId="1" fillId="0" borderId="10" xfId="3" applyFill="1" applyBorder="1"/>
    <xf numFmtId="164" fontId="1" fillId="0" borderId="10" xfId="3" applyNumberFormat="1" applyFill="1" applyBorder="1"/>
    <xf numFmtId="0" fontId="25" fillId="0" borderId="6" xfId="2" applyFont="1" applyFill="1" applyBorder="1" applyAlignment="1">
      <alignment horizontal="right"/>
    </xf>
    <xf numFmtId="0" fontId="25" fillId="0" borderId="9" xfId="2" applyFont="1" applyFill="1" applyBorder="1" applyAlignment="1">
      <alignment horizontal="right"/>
    </xf>
    <xf numFmtId="0" fontId="25" fillId="0" borderId="11" xfId="2" applyFont="1" applyFill="1" applyBorder="1" applyAlignment="1">
      <alignment horizontal="right"/>
    </xf>
    <xf numFmtId="0" fontId="5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4">
    <cellStyle name="20 % - zvýraznenie1 2" xfId="3"/>
    <cellStyle name="Nadpis 3 2" xfId="2"/>
    <cellStyle name="Normálna" xfId="0" builtinId="0"/>
    <cellStyle name="Percentá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17/10/relationships/person" Target="persons/perso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ZADANIE_UVOD!$B$258:$B$278</c:f>
              <c:numCache>
                <c:formatCode>General</c:formatCode>
                <c:ptCount val="2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1</c:v>
                </c:pt>
                <c:pt idx="4">
                  <c:v>1</c:v>
                </c:pt>
                <c:pt idx="5">
                  <c:v>-1</c:v>
                </c:pt>
                <c:pt idx="6">
                  <c:v>1</c:v>
                </c:pt>
                <c:pt idx="7">
                  <c:v>-1</c:v>
                </c:pt>
                <c:pt idx="8">
                  <c:v>1</c:v>
                </c:pt>
                <c:pt idx="9">
                  <c:v>-1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-1</c:v>
                </c:pt>
                <c:pt idx="14">
                  <c:v>-1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xVal>
          <c:yVal>
            <c:numRef>
              <c:f>'11-14'!$D$53:$D$73</c:f>
              <c:numCache>
                <c:formatCode>General</c:formatCode>
                <c:ptCount val="21"/>
                <c:pt idx="0">
                  <c:v>-13.670833333333348</c:v>
                </c:pt>
                <c:pt idx="1">
                  <c:v>2.1291666666668334</c:v>
                </c:pt>
                <c:pt idx="2">
                  <c:v>9.4791666666669698</c:v>
                </c:pt>
                <c:pt idx="3">
                  <c:v>2.1041666666667425</c:v>
                </c:pt>
                <c:pt idx="4">
                  <c:v>15.054166666666561</c:v>
                </c:pt>
                <c:pt idx="5">
                  <c:v>10.879166666666833</c:v>
                </c:pt>
                <c:pt idx="6">
                  <c:v>9.154166666666697</c:v>
                </c:pt>
                <c:pt idx="7">
                  <c:v>0.12916666666683341</c:v>
                </c:pt>
                <c:pt idx="8">
                  <c:v>-1.2958333333331211</c:v>
                </c:pt>
                <c:pt idx="9">
                  <c:v>-15.670833333333348</c:v>
                </c:pt>
                <c:pt idx="10">
                  <c:v>5.654166666666697</c:v>
                </c:pt>
                <c:pt idx="11">
                  <c:v>-13.195833333333212</c:v>
                </c:pt>
                <c:pt idx="12">
                  <c:v>-3.9458333333334394</c:v>
                </c:pt>
                <c:pt idx="13">
                  <c:v>2.5791666666668789</c:v>
                </c:pt>
                <c:pt idx="14">
                  <c:v>2.9791666666669698</c:v>
                </c:pt>
                <c:pt idx="15">
                  <c:v>-14.695833333333212</c:v>
                </c:pt>
                <c:pt idx="16">
                  <c:v>22.966666666666697</c:v>
                </c:pt>
                <c:pt idx="17">
                  <c:v>47.566666666666833</c:v>
                </c:pt>
                <c:pt idx="18">
                  <c:v>-35.533333333333303</c:v>
                </c:pt>
                <c:pt idx="19">
                  <c:v>-41.133333333333212</c:v>
                </c:pt>
                <c:pt idx="20">
                  <c:v>8.466666666666697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FF-4CB7-8955-6BE78D379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20320"/>
        <c:axId val="697116480"/>
      </c:scatterChart>
      <c:valAx>
        <c:axId val="69712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7116480"/>
        <c:crosses val="autoZero"/>
        <c:crossBetween val="midCat"/>
      </c:valAx>
      <c:valAx>
        <c:axId val="697116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7120320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faktorov obsahu uhlíka a teploty olova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'15-20'!$D$108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'15-20'!$E$107:$F$107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'15-20'!$E$108:$F$108</c:f>
              <c:numCache>
                <c:formatCode>General</c:formatCode>
                <c:ptCount val="2"/>
                <c:pt idx="0">
                  <c:v>1324</c:v>
                </c:pt>
                <c:pt idx="1">
                  <c:v>1404.0250000000001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45-4E25-8F87-CEE604090C34}"/>
            </c:ext>
          </c:extLst>
        </c:ser>
        <c:ser>
          <c:idx val="1"/>
          <c:order val="1"/>
          <c:tx>
            <c:strRef>
              <c:f>'15-20'!$F$106:$F$107</c:f>
              <c:strCache>
                <c:ptCount val="1"/>
                <c:pt idx="0">
                  <c:v>85 1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'15-20'!$D$108:$D$109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'15-20'!$F$108:$F$109</c:f>
              <c:numCache>
                <c:formatCode>General</c:formatCode>
                <c:ptCount val="2"/>
                <c:pt idx="0">
                  <c:v>1404.0250000000001</c:v>
                </c:pt>
                <c:pt idx="1">
                  <c:v>1369.7250000000001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45-4E25-8F87-CEE604090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416895"/>
        <c:axId val="161436383"/>
      </c:scatterChart>
      <c:valAx>
        <c:axId val="31241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Obsah</a:t>
                </a:r>
                <a:r>
                  <a:rPr lang="sk-SK" baseline="0"/>
                  <a:t> uhlíka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36383"/>
        <c:crosses val="autoZero"/>
        <c:crossBetween val="midCat"/>
      </c:valAx>
      <c:valAx>
        <c:axId val="16143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2416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Interakcia faktorov obsahu uhlíka a teploty olova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'15-20'!$E$107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'15-20'!$D$108:$D$109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'15-20'!$E$108:$E$109</c:f>
              <c:numCache>
                <c:formatCode>General</c:formatCode>
                <c:ptCount val="2"/>
                <c:pt idx="0">
                  <c:v>1324</c:v>
                </c:pt>
                <c:pt idx="1">
                  <c:v>1316.2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1-47A5-84E8-27467587B83D}"/>
            </c:ext>
          </c:extLst>
        </c:ser>
        <c:ser>
          <c:idx val="1"/>
          <c:order val="1"/>
          <c:tx>
            <c:strRef>
              <c:f>'15-20'!$F$107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'15-20'!$D$108:$D$109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'15-20'!$F$108:$F$109</c:f>
              <c:numCache>
                <c:formatCode>General</c:formatCode>
                <c:ptCount val="2"/>
                <c:pt idx="0">
                  <c:v>1404.0250000000001</c:v>
                </c:pt>
                <c:pt idx="1">
                  <c:v>1369.7250000000001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51-47A5-84E8-27467587B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416895"/>
        <c:axId val="161436383"/>
      </c:scatterChart>
      <c:valAx>
        <c:axId val="31241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Teplota</a:t>
                </a:r>
                <a:r>
                  <a:rPr lang="sk-SK" baseline="0"/>
                  <a:t> olova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436383"/>
        <c:crosses val="autoZero"/>
        <c:crossBetween val="midCat"/>
      </c:valAx>
      <c:valAx>
        <c:axId val="16143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2416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faktorov teploty olova a rýchlosti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'15-20'!$D$137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'15-20'!$E$136:$F$136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'15-20'!$E$137:$F$137</c:f>
              <c:numCache>
                <c:formatCode>General</c:formatCode>
                <c:ptCount val="2"/>
                <c:pt idx="0">
                  <c:v>1357.25</c:v>
                </c:pt>
                <c:pt idx="1">
                  <c:v>1337.5250000000001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CD-4EBD-8E4C-784FD6D159FD}"/>
            </c:ext>
          </c:extLst>
        </c:ser>
        <c:ser>
          <c:idx val="1"/>
          <c:order val="1"/>
          <c:tx>
            <c:strRef>
              <c:f>'15-20'!$F$135:$F$136</c:f>
              <c:strCache>
                <c:ptCount val="1"/>
                <c:pt idx="0">
                  <c:v>570 1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'15-20'!$D$137:$D$138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'15-20'!$F$137:$F$138</c:f>
              <c:numCache>
                <c:formatCode>General</c:formatCode>
                <c:ptCount val="2"/>
                <c:pt idx="0">
                  <c:v>1337.5250000000001</c:v>
                </c:pt>
                <c:pt idx="1">
                  <c:v>1348.4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CD-4EBD-8E4C-784FD6D1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77439"/>
        <c:axId val="316868799"/>
      </c:scatterChart>
      <c:valAx>
        <c:axId val="316877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Teplota olova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6868799"/>
        <c:crosses val="autoZero"/>
        <c:crossBetween val="midCat"/>
      </c:valAx>
      <c:valAx>
        <c:axId val="31686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68774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Interakcia faktorov teploty olova a rýchlosti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'15-20'!$E$136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'15-20'!$D$137:$D$138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'15-20'!$E$137:$E$138</c:f>
              <c:numCache>
                <c:formatCode>General</c:formatCode>
                <c:ptCount val="2"/>
                <c:pt idx="0">
                  <c:v>1357.25</c:v>
                </c:pt>
                <c:pt idx="1">
                  <c:v>1370.7750000000001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95-451D-B1FB-CF7B5876657C}"/>
            </c:ext>
          </c:extLst>
        </c:ser>
        <c:ser>
          <c:idx val="1"/>
          <c:order val="1"/>
          <c:tx>
            <c:strRef>
              <c:f>'15-20'!$F$136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'15-20'!$D$137:$D$138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'15-20'!$F$137:$F$138</c:f>
              <c:numCache>
                <c:formatCode>General</c:formatCode>
                <c:ptCount val="2"/>
                <c:pt idx="0">
                  <c:v>1337.5250000000001</c:v>
                </c:pt>
                <c:pt idx="1">
                  <c:v>1348.4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95-451D-B1FB-CF7B58766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77439"/>
        <c:axId val="316868799"/>
      </c:scatterChart>
      <c:valAx>
        <c:axId val="316877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6868799"/>
        <c:crosses val="autoZero"/>
        <c:crossBetween val="midCat"/>
      </c:valAx>
      <c:valAx>
        <c:axId val="31686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teplota olova</a:t>
                </a:r>
              </a:p>
            </c:rich>
          </c:tx>
          <c:layout>
            <c:manualLayout>
              <c:xMode val="edge"/>
              <c:yMode val="edge"/>
              <c:x val="3.3860045146726865E-2"/>
              <c:y val="0.35219062291126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68774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'11-14'!$I$52</c:f>
              <c:strCache>
                <c:ptCount val="1"/>
                <c:pt idx="0">
                  <c:v>t3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'11-14'!$D$53:$D$73</c:f>
              <c:numCache>
                <c:formatCode>General</c:formatCode>
                <c:ptCount val="21"/>
                <c:pt idx="0">
                  <c:v>-13.670833333333348</c:v>
                </c:pt>
                <c:pt idx="1">
                  <c:v>2.1291666666668334</c:v>
                </c:pt>
                <c:pt idx="2">
                  <c:v>9.4791666666669698</c:v>
                </c:pt>
                <c:pt idx="3">
                  <c:v>2.1041666666667425</c:v>
                </c:pt>
                <c:pt idx="4">
                  <c:v>15.054166666666561</c:v>
                </c:pt>
                <c:pt idx="5">
                  <c:v>10.879166666666833</c:v>
                </c:pt>
                <c:pt idx="6">
                  <c:v>9.154166666666697</c:v>
                </c:pt>
                <c:pt idx="7">
                  <c:v>0.12916666666683341</c:v>
                </c:pt>
                <c:pt idx="8">
                  <c:v>-1.2958333333331211</c:v>
                </c:pt>
                <c:pt idx="9">
                  <c:v>-15.670833333333348</c:v>
                </c:pt>
                <c:pt idx="10">
                  <c:v>5.654166666666697</c:v>
                </c:pt>
                <c:pt idx="11">
                  <c:v>-13.195833333333212</c:v>
                </c:pt>
                <c:pt idx="12">
                  <c:v>-3.9458333333334394</c:v>
                </c:pt>
                <c:pt idx="13">
                  <c:v>2.5791666666668789</c:v>
                </c:pt>
                <c:pt idx="14">
                  <c:v>2.9791666666669698</c:v>
                </c:pt>
                <c:pt idx="15">
                  <c:v>-14.695833333333212</c:v>
                </c:pt>
                <c:pt idx="16">
                  <c:v>22.966666666666697</c:v>
                </c:pt>
                <c:pt idx="17">
                  <c:v>47.566666666666833</c:v>
                </c:pt>
                <c:pt idx="18">
                  <c:v>-35.533333333333303</c:v>
                </c:pt>
                <c:pt idx="19">
                  <c:v>-41.133333333333212</c:v>
                </c:pt>
                <c:pt idx="20">
                  <c:v>8.466666666666697</c:v>
                </c:pt>
              </c:numCache>
            </c:numRef>
          </c:xVal>
          <c:yVal>
            <c:numRef>
              <c:f>'11-14'!$I$53:$I$73</c:f>
              <c:numCache>
                <c:formatCode>General</c:formatCode>
                <c:ptCount val="21"/>
                <c:pt idx="0">
                  <c:v>-1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D8-4FB9-AB7E-1A1A7153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879936"/>
        <c:axId val="771879456"/>
      </c:scatterChart>
      <c:valAx>
        <c:axId val="77187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t3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71879456"/>
        <c:crosses val="autoZero"/>
        <c:crossBetween val="midCat"/>
      </c:valAx>
      <c:valAx>
        <c:axId val="77187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Residuals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71879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'11-14'!$H$52</c:f>
              <c:strCache>
                <c:ptCount val="1"/>
                <c:pt idx="0">
                  <c:v>t2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'11-14'!$D$53:$D$73</c:f>
              <c:numCache>
                <c:formatCode>General</c:formatCode>
                <c:ptCount val="21"/>
                <c:pt idx="0">
                  <c:v>-13.670833333333348</c:v>
                </c:pt>
                <c:pt idx="1">
                  <c:v>2.1291666666668334</c:v>
                </c:pt>
                <c:pt idx="2">
                  <c:v>9.4791666666669698</c:v>
                </c:pt>
                <c:pt idx="3">
                  <c:v>2.1041666666667425</c:v>
                </c:pt>
                <c:pt idx="4">
                  <c:v>15.054166666666561</c:v>
                </c:pt>
                <c:pt idx="5">
                  <c:v>10.879166666666833</c:v>
                </c:pt>
                <c:pt idx="6">
                  <c:v>9.154166666666697</c:v>
                </c:pt>
                <c:pt idx="7">
                  <c:v>0.12916666666683341</c:v>
                </c:pt>
                <c:pt idx="8">
                  <c:v>-1.2958333333331211</c:v>
                </c:pt>
                <c:pt idx="9">
                  <c:v>-15.670833333333348</c:v>
                </c:pt>
                <c:pt idx="10">
                  <c:v>5.654166666666697</c:v>
                </c:pt>
                <c:pt idx="11">
                  <c:v>-13.195833333333212</c:v>
                </c:pt>
                <c:pt idx="12">
                  <c:v>-3.9458333333334394</c:v>
                </c:pt>
                <c:pt idx="13">
                  <c:v>2.5791666666668789</c:v>
                </c:pt>
                <c:pt idx="14">
                  <c:v>2.9791666666669698</c:v>
                </c:pt>
                <c:pt idx="15">
                  <c:v>-14.695833333333212</c:v>
                </c:pt>
                <c:pt idx="16">
                  <c:v>22.966666666666697</c:v>
                </c:pt>
                <c:pt idx="17">
                  <c:v>47.566666666666833</c:v>
                </c:pt>
                <c:pt idx="18">
                  <c:v>-35.533333333333303</c:v>
                </c:pt>
                <c:pt idx="19">
                  <c:v>-41.133333333333212</c:v>
                </c:pt>
                <c:pt idx="20">
                  <c:v>8.466666666666697</c:v>
                </c:pt>
              </c:numCache>
            </c:numRef>
          </c:xVal>
          <c:yVal>
            <c:numRef>
              <c:f>'11-14'!$H$53:$H$73</c:f>
              <c:numCache>
                <c:formatCode>General</c:formatCode>
                <c:ptCount val="21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1</c:v>
                </c:pt>
                <c:pt idx="6">
                  <c:v>-1</c:v>
                </c:pt>
                <c:pt idx="7">
                  <c:v>-1</c:v>
                </c:pt>
                <c:pt idx="8">
                  <c:v>1</c:v>
                </c:pt>
                <c:pt idx="9">
                  <c:v>-1</c:v>
                </c:pt>
                <c:pt idx="10">
                  <c:v>-1</c:v>
                </c:pt>
                <c:pt idx="11">
                  <c:v>1</c:v>
                </c:pt>
                <c:pt idx="12">
                  <c:v>-1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6F-4BDC-913D-B3E16230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918288"/>
        <c:axId val="718920208"/>
      </c:scatterChart>
      <c:valAx>
        <c:axId val="71891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18920208"/>
        <c:crosses val="autoZero"/>
        <c:crossBetween val="midCat"/>
      </c:valAx>
      <c:valAx>
        <c:axId val="71892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Residuals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18918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'11-14'!$J$52</c:f>
              <c:strCache>
                <c:ptCount val="1"/>
                <c:pt idx="0">
                  <c:v>t1*t2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'11-14'!$D$53:$D$73</c:f>
              <c:numCache>
                <c:formatCode>General</c:formatCode>
                <c:ptCount val="21"/>
                <c:pt idx="0">
                  <c:v>-13.670833333333348</c:v>
                </c:pt>
                <c:pt idx="1">
                  <c:v>2.1291666666668334</c:v>
                </c:pt>
                <c:pt idx="2">
                  <c:v>9.4791666666669698</c:v>
                </c:pt>
                <c:pt idx="3">
                  <c:v>2.1041666666667425</c:v>
                </c:pt>
                <c:pt idx="4">
                  <c:v>15.054166666666561</c:v>
                </c:pt>
                <c:pt idx="5">
                  <c:v>10.879166666666833</c:v>
                </c:pt>
                <c:pt idx="6">
                  <c:v>9.154166666666697</c:v>
                </c:pt>
                <c:pt idx="7">
                  <c:v>0.12916666666683341</c:v>
                </c:pt>
                <c:pt idx="8">
                  <c:v>-1.2958333333331211</c:v>
                </c:pt>
                <c:pt idx="9">
                  <c:v>-15.670833333333348</c:v>
                </c:pt>
                <c:pt idx="10">
                  <c:v>5.654166666666697</c:v>
                </c:pt>
                <c:pt idx="11">
                  <c:v>-13.195833333333212</c:v>
                </c:pt>
                <c:pt idx="12">
                  <c:v>-3.9458333333334394</c:v>
                </c:pt>
                <c:pt idx="13">
                  <c:v>2.5791666666668789</c:v>
                </c:pt>
                <c:pt idx="14">
                  <c:v>2.9791666666669698</c:v>
                </c:pt>
                <c:pt idx="15">
                  <c:v>-14.695833333333212</c:v>
                </c:pt>
                <c:pt idx="16">
                  <c:v>22.966666666666697</c:v>
                </c:pt>
                <c:pt idx="17">
                  <c:v>47.566666666666833</c:v>
                </c:pt>
                <c:pt idx="18">
                  <c:v>-35.533333333333303</c:v>
                </c:pt>
                <c:pt idx="19">
                  <c:v>-41.133333333333212</c:v>
                </c:pt>
                <c:pt idx="20">
                  <c:v>8.466666666666697</c:v>
                </c:pt>
              </c:numCache>
            </c:numRef>
          </c:xVal>
          <c:yVal>
            <c:numRef>
              <c:f>'11-14'!$J$53:$J$73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-1</c:v>
                </c:pt>
                <c:pt idx="11">
                  <c:v>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C1-44AE-B953-AE5A459B9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184288"/>
        <c:axId val="722184768"/>
      </c:scatterChart>
      <c:valAx>
        <c:axId val="72218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t1*t2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22184768"/>
        <c:crosses val="autoZero"/>
        <c:crossBetween val="midCat"/>
      </c:valAx>
      <c:valAx>
        <c:axId val="7221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Residuals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22184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</a:t>
            </a:r>
            <a:r>
              <a:rPr lang="sk-SK" baseline="0"/>
              <a:t> A_% uhlíka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'15-20'!$H$18:$H$19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'15-20'!$I$18:$I$19</c:f>
              <c:numCache>
                <c:formatCode>General</c:formatCode>
                <c:ptCount val="2"/>
                <c:pt idx="0">
                  <c:v>1320.1</c:v>
                </c:pt>
                <c:pt idx="1">
                  <c:v>1386.8749999999998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7B-4E4A-BFE4-713D3180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55199"/>
        <c:axId val="452739839"/>
      </c:scatterChart>
      <c:valAx>
        <c:axId val="45275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% uhlíka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2739839"/>
        <c:crosses val="autoZero"/>
        <c:crossBetween val="midCat"/>
      </c:valAx>
      <c:valAx>
        <c:axId val="45273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2755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B_Teplota olova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'15-20'!$H$24:$H$25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'15-20'!$I$24:$I$25</c:f>
              <c:numCache>
                <c:formatCode>General</c:formatCode>
                <c:ptCount val="2"/>
                <c:pt idx="0">
                  <c:v>1364.0125000000003</c:v>
                </c:pt>
                <c:pt idx="1">
                  <c:v>1342.9625000000001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01-470C-9BA3-3C39C318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29711"/>
        <c:axId val="463022031"/>
      </c:scatterChart>
      <c:valAx>
        <c:axId val="463029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Teplota olova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3022031"/>
        <c:crosses val="autoZero"/>
        <c:crossBetween val="midCat"/>
      </c:valAx>
      <c:valAx>
        <c:axId val="46302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30297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C_rýchlosť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'15-20'!$H$30:$H$31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'15-20'!$I$30:$I$31</c:f>
              <c:numCache>
                <c:formatCode>General</c:formatCode>
                <c:ptCount val="2"/>
                <c:pt idx="0">
                  <c:v>1347.3874999999998</c:v>
                </c:pt>
                <c:pt idx="1">
                  <c:v>1359.5875000000001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A5-4A7F-9FB3-530C9A20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29231"/>
        <c:axId val="463037871"/>
      </c:scatterChart>
      <c:valAx>
        <c:axId val="46302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C_rýchlosť</a:t>
                </a:r>
              </a:p>
            </c:rich>
          </c:tx>
          <c:layout>
            <c:manualLayout>
              <c:xMode val="edge"/>
              <c:yMode val="edge"/>
              <c:x val="0.45747200349956252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3037871"/>
        <c:crosses val="autoZero"/>
        <c:crossBetween val="midCat"/>
      </c:valAx>
      <c:valAx>
        <c:axId val="46303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302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Interakcia faktorov obsahu uhlíka a rýchlosti</a:t>
            </a:r>
          </a:p>
        </c:rich>
      </c:tx>
      <c:layout>
        <c:manualLayout>
          <c:xMode val="edge"/>
          <c:yMode val="edge"/>
          <c:x val="0.23323351203439996"/>
          <c:y val="3.57873210633946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'15-20'!$D$81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'15-20'!$E$80:$F$80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'15-20'!$E$81:$F$81</c:f>
              <c:numCache>
                <c:formatCode>General</c:formatCode>
                <c:ptCount val="2"/>
                <c:pt idx="0">
                  <c:v>1314.3</c:v>
                </c:pt>
                <c:pt idx="1">
                  <c:v>1380.4750000000001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B8-46D1-9424-D80A544F7060}"/>
            </c:ext>
          </c:extLst>
        </c:ser>
        <c:ser>
          <c:idx val="1"/>
          <c:order val="1"/>
          <c:tx>
            <c:strRef>
              <c:f>'15-20'!$F$79:$F$80</c:f>
              <c:strCache>
                <c:ptCount val="1"/>
                <c:pt idx="0">
                  <c:v>85 1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'15-20'!$D$81:$D$82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'15-20'!$F$81:$F$82</c:f>
              <c:numCache>
                <c:formatCode>General</c:formatCode>
                <c:ptCount val="2"/>
                <c:pt idx="0">
                  <c:v>1380.4750000000001</c:v>
                </c:pt>
                <c:pt idx="1">
                  <c:v>1393.2749999999999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B8-46D1-9424-D80A544F7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01343"/>
        <c:axId val="311102783"/>
      </c:scatterChart>
      <c:valAx>
        <c:axId val="311101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Obsah uhlíka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1102783"/>
        <c:crosses val="autoZero"/>
        <c:crossBetween val="midCat"/>
      </c:valAx>
      <c:valAx>
        <c:axId val="3111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rýchlosti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1101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faktorov obsahu uhlíka a rýchlosti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'15-20'!$E$80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'15-20'!$D$81:$D$82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'15-20'!$E$81:$E$82</c:f>
              <c:numCache>
                <c:formatCode>General</c:formatCode>
                <c:ptCount val="2"/>
                <c:pt idx="0">
                  <c:v>1314.3</c:v>
                </c:pt>
                <c:pt idx="1">
                  <c:v>1325.9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4-4C20-A5DA-8E734D29B71F}"/>
            </c:ext>
          </c:extLst>
        </c:ser>
        <c:ser>
          <c:idx val="1"/>
          <c:order val="1"/>
          <c:tx>
            <c:strRef>
              <c:f>'15-20'!$F$80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'15-20'!$D$81:$D$82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'15-20'!$F$81:$F$82</c:f>
              <c:numCache>
                <c:formatCode>General</c:formatCode>
                <c:ptCount val="2"/>
                <c:pt idx="0">
                  <c:v>1380.4750000000001</c:v>
                </c:pt>
                <c:pt idx="1">
                  <c:v>1393.2749999999999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4-4C20-A5DA-8E734D29B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01343"/>
        <c:axId val="311102783"/>
      </c:scatterChart>
      <c:valAx>
        <c:axId val="311101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</a:t>
                </a:r>
              </a:p>
            </c:rich>
          </c:tx>
          <c:layout>
            <c:manualLayout>
              <c:xMode val="edge"/>
              <c:yMode val="edge"/>
              <c:x val="0.4664828759269169"/>
              <c:y val="0.764416372800025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1102783"/>
        <c:crosses val="autoZero"/>
        <c:crossBetween val="midCat"/>
      </c:valAx>
      <c:valAx>
        <c:axId val="3111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obsahu uhlíka</a:t>
                </a:r>
              </a:p>
            </c:rich>
          </c:tx>
          <c:layout>
            <c:manualLayout>
              <c:xMode val="edge"/>
              <c:yMode val="edge"/>
              <c:x val="2.8317152103559871E-2"/>
              <c:y val="0.24120654396728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1101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4</xdr:col>
      <xdr:colOff>282797</xdr:colOff>
      <xdr:row>25</xdr:row>
      <xdr:rowOff>62753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97502FC1-164F-3D41-7EB4-C5B256AD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"/>
          <a:ext cx="4003150" cy="4573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173421</xdr:rowOff>
    </xdr:from>
    <xdr:to>
      <xdr:col>4</xdr:col>
      <xdr:colOff>200703</xdr:colOff>
      <xdr:row>33</xdr:row>
      <xdr:rowOff>80683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FA12325C-E11C-083A-0C03-5F860BF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12339"/>
          <a:ext cx="3921056" cy="1520909"/>
        </a:xfrm>
        <a:prstGeom prst="rect">
          <a:avLst/>
        </a:prstGeom>
      </xdr:spPr>
    </xdr:pic>
    <xdr:clientData/>
  </xdr:twoCellAnchor>
  <xdr:twoCellAnchor editAs="oneCell">
    <xdr:from>
      <xdr:col>8</xdr:col>
      <xdr:colOff>17689</xdr:colOff>
      <xdr:row>38</xdr:row>
      <xdr:rowOff>117356</xdr:rowOff>
    </xdr:from>
    <xdr:to>
      <xdr:col>9</xdr:col>
      <xdr:colOff>421092</xdr:colOff>
      <xdr:row>46</xdr:row>
      <xdr:rowOff>12494</xdr:rowOff>
    </xdr:to>
    <xdr:sp macro="" textlink="">
      <xdr:nvSpPr>
        <xdr:cNvPr id="35" name="Obdĺžnik 34">
          <a:extLst>
            <a:ext uri="{FF2B5EF4-FFF2-40B4-BE49-F238E27FC236}">
              <a16:creationId xmlns:a16="http://schemas.microsoft.com/office/drawing/2014/main" id="{348A2ACD-65E2-447D-B6EB-1E3784BDA4EF}"/>
            </a:ext>
          </a:extLst>
        </xdr:cNvPr>
        <xdr:cNvSpPr/>
      </xdr:nvSpPr>
      <xdr:spPr>
        <a:xfrm>
          <a:off x="4894489" y="6948462"/>
          <a:ext cx="1290909" cy="1329491"/>
        </a:xfrm>
        <a:prstGeom prst="rect">
          <a:avLst/>
        </a:prstGeom>
        <a:noFill/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8</xdr:col>
      <xdr:colOff>444954</xdr:colOff>
      <xdr:row>37</xdr:row>
      <xdr:rowOff>9525</xdr:rowOff>
    </xdr:from>
    <xdr:to>
      <xdr:col>9</xdr:col>
      <xdr:colOff>848357</xdr:colOff>
      <xdr:row>44</xdr:row>
      <xdr:rowOff>119335</xdr:rowOff>
    </xdr:to>
    <xdr:sp macro="" textlink="">
      <xdr:nvSpPr>
        <xdr:cNvPr id="36" name="Obdĺžnik 35">
          <a:extLst>
            <a:ext uri="{FF2B5EF4-FFF2-40B4-BE49-F238E27FC236}">
              <a16:creationId xmlns:a16="http://schemas.microsoft.com/office/drawing/2014/main" id="{B7452117-D419-4B0D-B3B7-E79EE75DF3A5}"/>
            </a:ext>
          </a:extLst>
        </xdr:cNvPr>
        <xdr:cNvSpPr/>
      </xdr:nvSpPr>
      <xdr:spPr>
        <a:xfrm>
          <a:off x="5321754" y="6661337"/>
          <a:ext cx="1290909" cy="1364869"/>
        </a:xfrm>
        <a:prstGeom prst="rect">
          <a:avLst/>
        </a:prstGeom>
        <a:noFill/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8</xdr:col>
      <xdr:colOff>0</xdr:colOff>
      <xdr:row>37</xdr:row>
      <xdr:rowOff>2721</xdr:rowOff>
    </xdr:from>
    <xdr:to>
      <xdr:col>8</xdr:col>
      <xdr:colOff>460296</xdr:colOff>
      <xdr:row>38</xdr:row>
      <xdr:rowOff>132290</xdr:rowOff>
    </xdr:to>
    <xdr:cxnSp macro="">
      <xdr:nvCxnSpPr>
        <xdr:cNvPr id="37" name="Rovná spojnica 36">
          <a:extLst>
            <a:ext uri="{FF2B5EF4-FFF2-40B4-BE49-F238E27FC236}">
              <a16:creationId xmlns:a16="http://schemas.microsoft.com/office/drawing/2014/main" id="{E0DBA078-0BE8-475F-AFAD-3E80E99BED3F}"/>
            </a:ext>
          </a:extLst>
        </xdr:cNvPr>
        <xdr:cNvCxnSpPr/>
      </xdr:nvCxnSpPr>
      <xdr:spPr>
        <a:xfrm flipV="1">
          <a:off x="4876800" y="6654533"/>
          <a:ext cx="460296" cy="308863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395089</xdr:colOff>
      <xdr:row>37</xdr:row>
      <xdr:rowOff>0</xdr:rowOff>
    </xdr:from>
    <xdr:to>
      <xdr:col>9</xdr:col>
      <xdr:colOff>853480</xdr:colOff>
      <xdr:row>38</xdr:row>
      <xdr:rowOff>127664</xdr:rowOff>
    </xdr:to>
    <xdr:cxnSp macro="">
      <xdr:nvCxnSpPr>
        <xdr:cNvPr id="38" name="Rovná spojnica 37">
          <a:extLst>
            <a:ext uri="{FF2B5EF4-FFF2-40B4-BE49-F238E27FC236}">
              <a16:creationId xmlns:a16="http://schemas.microsoft.com/office/drawing/2014/main" id="{A2A16097-44AA-481C-8AC9-E327B2A29A0B}"/>
            </a:ext>
          </a:extLst>
        </xdr:cNvPr>
        <xdr:cNvCxnSpPr/>
      </xdr:nvCxnSpPr>
      <xdr:spPr>
        <a:xfrm flipV="1">
          <a:off x="6159395" y="6678706"/>
          <a:ext cx="458391" cy="306958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408680</xdr:colOff>
      <xdr:row>44</xdr:row>
      <xdr:rowOff>118569</xdr:rowOff>
    </xdr:from>
    <xdr:to>
      <xdr:col>9</xdr:col>
      <xdr:colOff>867071</xdr:colOff>
      <xdr:row>46</xdr:row>
      <xdr:rowOff>22036</xdr:rowOff>
    </xdr:to>
    <xdr:cxnSp macro="">
      <xdr:nvCxnSpPr>
        <xdr:cNvPr id="39" name="Rovná spojnica 38">
          <a:extLst>
            <a:ext uri="{FF2B5EF4-FFF2-40B4-BE49-F238E27FC236}">
              <a16:creationId xmlns:a16="http://schemas.microsoft.com/office/drawing/2014/main" id="{F591F831-2B27-4171-8B11-7582A6621EC8}"/>
            </a:ext>
          </a:extLst>
        </xdr:cNvPr>
        <xdr:cNvCxnSpPr/>
      </xdr:nvCxnSpPr>
      <xdr:spPr>
        <a:xfrm flipV="1">
          <a:off x="6172986" y="8052334"/>
          <a:ext cx="458391" cy="262055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17689</xdr:colOff>
      <xdr:row>38</xdr:row>
      <xdr:rowOff>117356</xdr:rowOff>
    </xdr:from>
    <xdr:to>
      <xdr:col>15</xdr:col>
      <xdr:colOff>89398</xdr:colOff>
      <xdr:row>46</xdr:row>
      <xdr:rowOff>12494</xdr:rowOff>
    </xdr:to>
    <xdr:sp macro="" textlink="">
      <xdr:nvSpPr>
        <xdr:cNvPr id="40" name="Obdĺžnik 39">
          <a:extLst>
            <a:ext uri="{FF2B5EF4-FFF2-40B4-BE49-F238E27FC236}">
              <a16:creationId xmlns:a16="http://schemas.microsoft.com/office/drawing/2014/main" id="{E5BF9668-EB38-4CBE-ACEC-DB166E71C6E8}"/>
            </a:ext>
          </a:extLst>
        </xdr:cNvPr>
        <xdr:cNvSpPr/>
      </xdr:nvSpPr>
      <xdr:spPr>
        <a:xfrm>
          <a:off x="8211430" y="6948462"/>
          <a:ext cx="1290909" cy="1329491"/>
        </a:xfrm>
        <a:prstGeom prst="rect">
          <a:avLst/>
        </a:prstGeom>
        <a:noFill/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13</xdr:col>
      <xdr:colOff>444954</xdr:colOff>
      <xdr:row>37</xdr:row>
      <xdr:rowOff>9525</xdr:rowOff>
    </xdr:from>
    <xdr:to>
      <xdr:col>15</xdr:col>
      <xdr:colOff>516663</xdr:colOff>
      <xdr:row>44</xdr:row>
      <xdr:rowOff>119335</xdr:rowOff>
    </xdr:to>
    <xdr:sp macro="" textlink="">
      <xdr:nvSpPr>
        <xdr:cNvPr id="41" name="Obdĺžnik 40">
          <a:extLst>
            <a:ext uri="{FF2B5EF4-FFF2-40B4-BE49-F238E27FC236}">
              <a16:creationId xmlns:a16="http://schemas.microsoft.com/office/drawing/2014/main" id="{24D7C8D7-EAC2-49B1-9EB8-7CF571299D32}"/>
            </a:ext>
          </a:extLst>
        </xdr:cNvPr>
        <xdr:cNvSpPr/>
      </xdr:nvSpPr>
      <xdr:spPr>
        <a:xfrm>
          <a:off x="8638695" y="6661337"/>
          <a:ext cx="1290909" cy="1364869"/>
        </a:xfrm>
        <a:prstGeom prst="rect">
          <a:avLst/>
        </a:prstGeom>
        <a:noFill/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13</xdr:col>
      <xdr:colOff>0</xdr:colOff>
      <xdr:row>37</xdr:row>
      <xdr:rowOff>2721</xdr:rowOff>
    </xdr:from>
    <xdr:to>
      <xdr:col>13</xdr:col>
      <xdr:colOff>460296</xdr:colOff>
      <xdr:row>38</xdr:row>
      <xdr:rowOff>132290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3F468C5A-E0E1-4A65-B488-73E82096C74D}"/>
            </a:ext>
          </a:extLst>
        </xdr:cNvPr>
        <xdr:cNvCxnSpPr/>
      </xdr:nvCxnSpPr>
      <xdr:spPr>
        <a:xfrm flipV="1">
          <a:off x="8193741" y="6654533"/>
          <a:ext cx="460296" cy="308863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54429</xdr:colOff>
      <xdr:row>37</xdr:row>
      <xdr:rowOff>0</xdr:rowOff>
    </xdr:from>
    <xdr:to>
      <xdr:col>15</xdr:col>
      <xdr:colOff>512820</xdr:colOff>
      <xdr:row>38</xdr:row>
      <xdr:rowOff>127664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DD1075EB-5A47-4EA0-89BB-9F55BB9F8AD0}"/>
            </a:ext>
          </a:extLst>
        </xdr:cNvPr>
        <xdr:cNvCxnSpPr/>
      </xdr:nvCxnSpPr>
      <xdr:spPr>
        <a:xfrm flipV="1">
          <a:off x="9467370" y="6651812"/>
          <a:ext cx="458391" cy="306958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59057</xdr:colOff>
      <xdr:row>44</xdr:row>
      <xdr:rowOff>127534</xdr:rowOff>
    </xdr:from>
    <xdr:to>
      <xdr:col>15</xdr:col>
      <xdr:colOff>517448</xdr:colOff>
      <xdr:row>46</xdr:row>
      <xdr:rowOff>31001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3573AA5F-A762-462B-BC99-A550BC4475A3}"/>
            </a:ext>
          </a:extLst>
        </xdr:cNvPr>
        <xdr:cNvCxnSpPr/>
      </xdr:nvCxnSpPr>
      <xdr:spPr>
        <a:xfrm flipV="1">
          <a:off x="9471998" y="8034405"/>
          <a:ext cx="458391" cy="262055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8965</xdr:colOff>
      <xdr:row>44</xdr:row>
      <xdr:rowOff>107575</xdr:rowOff>
    </xdr:from>
    <xdr:to>
      <xdr:col>13</xdr:col>
      <xdr:colOff>467356</xdr:colOff>
      <xdr:row>46</xdr:row>
      <xdr:rowOff>20567</xdr:rowOff>
    </xdr:to>
    <xdr:cxnSp macro="">
      <xdr:nvCxnSpPr>
        <xdr:cNvPr id="45" name="Rovná spojnica 44">
          <a:extLst>
            <a:ext uri="{FF2B5EF4-FFF2-40B4-BE49-F238E27FC236}">
              <a16:creationId xmlns:a16="http://schemas.microsoft.com/office/drawing/2014/main" id="{89B1462E-718C-469F-86BE-EB4638082A85}"/>
            </a:ext>
          </a:extLst>
        </xdr:cNvPr>
        <xdr:cNvCxnSpPr/>
      </xdr:nvCxnSpPr>
      <xdr:spPr>
        <a:xfrm flipV="1">
          <a:off x="8202706" y="8014446"/>
          <a:ext cx="458391" cy="271580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17929</xdr:colOff>
      <xdr:row>44</xdr:row>
      <xdr:rowOff>89647</xdr:rowOff>
    </xdr:from>
    <xdr:to>
      <xdr:col>8</xdr:col>
      <xdr:colOff>476320</xdr:colOff>
      <xdr:row>46</xdr:row>
      <xdr:rowOff>2639</xdr:rowOff>
    </xdr:to>
    <xdr:cxnSp macro="">
      <xdr:nvCxnSpPr>
        <xdr:cNvPr id="46" name="Rovná spojnica 45">
          <a:extLst>
            <a:ext uri="{FF2B5EF4-FFF2-40B4-BE49-F238E27FC236}">
              <a16:creationId xmlns:a16="http://schemas.microsoft.com/office/drawing/2014/main" id="{9F4AC6EA-9047-4CCF-9C3B-4C4081531118}"/>
            </a:ext>
          </a:extLst>
        </xdr:cNvPr>
        <xdr:cNvCxnSpPr/>
      </xdr:nvCxnSpPr>
      <xdr:spPr>
        <a:xfrm flipV="1">
          <a:off x="4894729" y="7996518"/>
          <a:ext cx="458391" cy="271580"/>
        </a:xfrm>
        <a:prstGeom prst="line">
          <a:avLst/>
        </a:prstGeom>
        <a:ln w="28575">
          <a:solidFill>
            <a:schemeClr val="accent4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1030941</xdr:colOff>
      <xdr:row>37</xdr:row>
      <xdr:rowOff>134470</xdr:rowOff>
    </xdr:from>
    <xdr:to>
      <xdr:col>9</xdr:col>
      <xdr:colOff>1039905</xdr:colOff>
      <xdr:row>43</xdr:row>
      <xdr:rowOff>161365</xdr:rowOff>
    </xdr:to>
    <xdr:cxnSp macro="">
      <xdr:nvCxnSpPr>
        <xdr:cNvPr id="48" name="Rovná spojovacia šípka 47">
          <a:extLst>
            <a:ext uri="{FF2B5EF4-FFF2-40B4-BE49-F238E27FC236}">
              <a16:creationId xmlns:a16="http://schemas.microsoft.com/office/drawing/2014/main" id="{A35F1CD2-D503-A9CD-748C-A4BC97B29D18}"/>
            </a:ext>
          </a:extLst>
        </xdr:cNvPr>
        <xdr:cNvCxnSpPr/>
      </xdr:nvCxnSpPr>
      <xdr:spPr>
        <a:xfrm flipH="1" flipV="1">
          <a:off x="6795247" y="6813176"/>
          <a:ext cx="8964" cy="110266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197223</xdr:colOff>
      <xdr:row>37</xdr:row>
      <xdr:rowOff>170329</xdr:rowOff>
    </xdr:from>
    <xdr:to>
      <xdr:col>16</xdr:col>
      <xdr:colOff>206188</xdr:colOff>
      <xdr:row>43</xdr:row>
      <xdr:rowOff>161365</xdr:rowOff>
    </xdr:to>
    <xdr:cxnSp macro="">
      <xdr:nvCxnSpPr>
        <xdr:cNvPr id="49" name="Rovná spojovacia šípka 48">
          <a:extLst>
            <a:ext uri="{FF2B5EF4-FFF2-40B4-BE49-F238E27FC236}">
              <a16:creationId xmlns:a16="http://schemas.microsoft.com/office/drawing/2014/main" id="{46E044B4-38EA-4BB8-9B07-08172BE30A47}"/>
            </a:ext>
          </a:extLst>
        </xdr:cNvPr>
        <xdr:cNvCxnSpPr/>
      </xdr:nvCxnSpPr>
      <xdr:spPr>
        <a:xfrm flipH="1" flipV="1">
          <a:off x="10219764" y="6822141"/>
          <a:ext cx="8965" cy="1066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699247</xdr:colOff>
      <xdr:row>45</xdr:row>
      <xdr:rowOff>89647</xdr:rowOff>
    </xdr:from>
    <xdr:to>
      <xdr:col>9</xdr:col>
      <xdr:colOff>950259</xdr:colOff>
      <xdr:row>46</xdr:row>
      <xdr:rowOff>89646</xdr:rowOff>
    </xdr:to>
    <xdr:cxnSp macro="">
      <xdr:nvCxnSpPr>
        <xdr:cNvPr id="50" name="Rovná spojovacia šípka 49">
          <a:extLst>
            <a:ext uri="{FF2B5EF4-FFF2-40B4-BE49-F238E27FC236}">
              <a16:creationId xmlns:a16="http://schemas.microsoft.com/office/drawing/2014/main" id="{D094E719-D943-4B22-914A-3953282ACD46}"/>
            </a:ext>
          </a:extLst>
        </xdr:cNvPr>
        <xdr:cNvCxnSpPr/>
      </xdr:nvCxnSpPr>
      <xdr:spPr>
        <a:xfrm flipV="1">
          <a:off x="6463553" y="8202706"/>
          <a:ext cx="251012" cy="17929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466165</xdr:colOff>
      <xdr:row>45</xdr:row>
      <xdr:rowOff>62753</xdr:rowOff>
    </xdr:from>
    <xdr:to>
      <xdr:col>16</xdr:col>
      <xdr:colOff>179294</xdr:colOff>
      <xdr:row>46</xdr:row>
      <xdr:rowOff>107575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8E825B6C-6B44-41D1-BEF3-52D57AEBEA04}"/>
            </a:ext>
          </a:extLst>
        </xdr:cNvPr>
        <xdr:cNvCxnSpPr/>
      </xdr:nvCxnSpPr>
      <xdr:spPr>
        <a:xfrm flipV="1">
          <a:off x="9879106" y="8148918"/>
          <a:ext cx="322729" cy="224116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80681</xdr:colOff>
      <xdr:row>47</xdr:row>
      <xdr:rowOff>80682</xdr:rowOff>
    </xdr:from>
    <xdr:to>
      <xdr:col>9</xdr:col>
      <xdr:colOff>349623</xdr:colOff>
      <xdr:row>47</xdr:row>
      <xdr:rowOff>89646</xdr:rowOff>
    </xdr:to>
    <xdr:cxnSp macro="">
      <xdr:nvCxnSpPr>
        <xdr:cNvPr id="54" name="Rovná spojovacia šípka 53">
          <a:extLst>
            <a:ext uri="{FF2B5EF4-FFF2-40B4-BE49-F238E27FC236}">
              <a16:creationId xmlns:a16="http://schemas.microsoft.com/office/drawing/2014/main" id="{D33F129A-2F67-4654-9A74-0D966BE17732}"/>
            </a:ext>
          </a:extLst>
        </xdr:cNvPr>
        <xdr:cNvCxnSpPr/>
      </xdr:nvCxnSpPr>
      <xdr:spPr>
        <a:xfrm flipV="1">
          <a:off x="4957481" y="8552329"/>
          <a:ext cx="1156448" cy="896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116540</xdr:colOff>
      <xdr:row>47</xdr:row>
      <xdr:rowOff>71718</xdr:rowOff>
    </xdr:from>
    <xdr:to>
      <xdr:col>14</xdr:col>
      <xdr:colOff>591670</xdr:colOff>
      <xdr:row>47</xdr:row>
      <xdr:rowOff>80682</xdr:rowOff>
    </xdr:to>
    <xdr:cxnSp macro="">
      <xdr:nvCxnSpPr>
        <xdr:cNvPr id="58" name="Rovná spojovacia šípka 57">
          <a:extLst>
            <a:ext uri="{FF2B5EF4-FFF2-40B4-BE49-F238E27FC236}">
              <a16:creationId xmlns:a16="http://schemas.microsoft.com/office/drawing/2014/main" id="{07013C46-2A62-4F8E-8357-C48A03842ADB}"/>
            </a:ext>
          </a:extLst>
        </xdr:cNvPr>
        <xdr:cNvCxnSpPr/>
      </xdr:nvCxnSpPr>
      <xdr:spPr>
        <a:xfrm flipV="1">
          <a:off x="8310281" y="8516471"/>
          <a:ext cx="1084730" cy="896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17930</xdr:colOff>
      <xdr:row>46</xdr:row>
      <xdr:rowOff>107576</xdr:rowOff>
    </xdr:from>
    <xdr:to>
      <xdr:col>15</xdr:col>
      <xdr:colOff>286870</xdr:colOff>
      <xdr:row>48</xdr:row>
      <xdr:rowOff>44279</xdr:rowOff>
    </xdr:to>
    <xdr:sp macro="" textlink="">
      <xdr:nvSpPr>
        <xdr:cNvPr id="59" name="BlokTextu 58">
          <a:extLst>
            <a:ext uri="{FF2B5EF4-FFF2-40B4-BE49-F238E27FC236}">
              <a16:creationId xmlns:a16="http://schemas.microsoft.com/office/drawing/2014/main" id="{9531F5E3-68BC-4641-803E-97096A0FE2A7}"/>
            </a:ext>
          </a:extLst>
        </xdr:cNvPr>
        <xdr:cNvSpPr txBox="1"/>
      </xdr:nvSpPr>
      <xdr:spPr>
        <a:xfrm flipH="1">
          <a:off x="9430871" y="8373035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9</xdr:col>
      <xdr:colOff>295836</xdr:colOff>
      <xdr:row>46</xdr:row>
      <xdr:rowOff>98611</xdr:rowOff>
    </xdr:from>
    <xdr:to>
      <xdr:col>9</xdr:col>
      <xdr:colOff>564776</xdr:colOff>
      <xdr:row>48</xdr:row>
      <xdr:rowOff>35314</xdr:rowOff>
    </xdr:to>
    <xdr:sp macro="" textlink="">
      <xdr:nvSpPr>
        <xdr:cNvPr id="60" name="BlokTextu 59">
          <a:extLst>
            <a:ext uri="{FF2B5EF4-FFF2-40B4-BE49-F238E27FC236}">
              <a16:creationId xmlns:a16="http://schemas.microsoft.com/office/drawing/2014/main" id="{EA8989E9-1AC5-4496-9A9F-32515CE0D628}"/>
            </a:ext>
          </a:extLst>
        </xdr:cNvPr>
        <xdr:cNvSpPr txBox="1"/>
      </xdr:nvSpPr>
      <xdr:spPr>
        <a:xfrm flipH="1">
          <a:off x="6060142" y="8390964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9</xdr:col>
      <xdr:colOff>896471</xdr:colOff>
      <xdr:row>36</xdr:row>
      <xdr:rowOff>53789</xdr:rowOff>
    </xdr:from>
    <xdr:to>
      <xdr:col>10</xdr:col>
      <xdr:colOff>107575</xdr:colOff>
      <xdr:row>37</xdr:row>
      <xdr:rowOff>169786</xdr:rowOff>
    </xdr:to>
    <xdr:sp macro="" textlink="">
      <xdr:nvSpPr>
        <xdr:cNvPr id="61" name="BlokTextu 60">
          <a:extLst>
            <a:ext uri="{FF2B5EF4-FFF2-40B4-BE49-F238E27FC236}">
              <a16:creationId xmlns:a16="http://schemas.microsoft.com/office/drawing/2014/main" id="{D9BFBE4E-C721-4D84-9553-745EF33294AA}"/>
            </a:ext>
          </a:extLst>
        </xdr:cNvPr>
        <xdr:cNvSpPr txBox="1"/>
      </xdr:nvSpPr>
      <xdr:spPr>
        <a:xfrm flipH="1">
          <a:off x="6660777" y="6553201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16</xdr:col>
      <xdr:colOff>62754</xdr:colOff>
      <xdr:row>36</xdr:row>
      <xdr:rowOff>116541</xdr:rowOff>
    </xdr:from>
    <xdr:to>
      <xdr:col>16</xdr:col>
      <xdr:colOff>331694</xdr:colOff>
      <xdr:row>38</xdr:row>
      <xdr:rowOff>53244</xdr:rowOff>
    </xdr:to>
    <xdr:sp macro="" textlink="">
      <xdr:nvSpPr>
        <xdr:cNvPr id="62" name="BlokTextu 61">
          <a:extLst>
            <a:ext uri="{FF2B5EF4-FFF2-40B4-BE49-F238E27FC236}">
              <a16:creationId xmlns:a16="http://schemas.microsoft.com/office/drawing/2014/main" id="{EDF4B1C2-75D7-4A01-BCA8-7AFEA78DFAEE}"/>
            </a:ext>
          </a:extLst>
        </xdr:cNvPr>
        <xdr:cNvSpPr txBox="1"/>
      </xdr:nvSpPr>
      <xdr:spPr>
        <a:xfrm flipH="1">
          <a:off x="11125201" y="6615953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242048</xdr:colOff>
      <xdr:row>45</xdr:row>
      <xdr:rowOff>161364</xdr:rowOff>
    </xdr:from>
    <xdr:to>
      <xdr:col>15</xdr:col>
      <xdr:colOff>510988</xdr:colOff>
      <xdr:row>47</xdr:row>
      <xdr:rowOff>98067</xdr:rowOff>
    </xdr:to>
    <xdr:sp macro="" textlink="">
      <xdr:nvSpPr>
        <xdr:cNvPr id="63" name="BlokTextu 62">
          <a:extLst>
            <a:ext uri="{FF2B5EF4-FFF2-40B4-BE49-F238E27FC236}">
              <a16:creationId xmlns:a16="http://schemas.microsoft.com/office/drawing/2014/main" id="{818F419E-A788-4F64-ABBD-3220DC73F6A1}"/>
            </a:ext>
          </a:extLst>
        </xdr:cNvPr>
        <xdr:cNvSpPr txBox="1"/>
      </xdr:nvSpPr>
      <xdr:spPr>
        <a:xfrm flipH="1">
          <a:off x="9654989" y="8247529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-</a:t>
          </a:r>
        </a:p>
      </xdr:txBody>
    </xdr:sp>
    <xdr:clientData/>
  </xdr:twoCellAnchor>
  <xdr:twoCellAnchor editAs="oneCell">
    <xdr:from>
      <xdr:col>12</xdr:col>
      <xdr:colOff>502024</xdr:colOff>
      <xdr:row>46</xdr:row>
      <xdr:rowOff>98611</xdr:rowOff>
    </xdr:from>
    <xdr:to>
      <xdr:col>13</xdr:col>
      <xdr:colOff>161364</xdr:colOff>
      <xdr:row>48</xdr:row>
      <xdr:rowOff>35314</xdr:rowOff>
    </xdr:to>
    <xdr:sp macro="" textlink="">
      <xdr:nvSpPr>
        <xdr:cNvPr id="64" name="BlokTextu 63">
          <a:extLst>
            <a:ext uri="{FF2B5EF4-FFF2-40B4-BE49-F238E27FC236}">
              <a16:creationId xmlns:a16="http://schemas.microsoft.com/office/drawing/2014/main" id="{7F9B6135-B867-4C85-BD00-9395AA8F8693}"/>
            </a:ext>
          </a:extLst>
        </xdr:cNvPr>
        <xdr:cNvSpPr txBox="1"/>
      </xdr:nvSpPr>
      <xdr:spPr>
        <a:xfrm flipH="1">
          <a:off x="8086165" y="8364070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-</a:t>
          </a:r>
        </a:p>
      </xdr:txBody>
    </xdr:sp>
    <xdr:clientData/>
  </xdr:twoCellAnchor>
  <xdr:twoCellAnchor editAs="oneCell">
    <xdr:from>
      <xdr:col>7</xdr:col>
      <xdr:colOff>887507</xdr:colOff>
      <xdr:row>46</xdr:row>
      <xdr:rowOff>107575</xdr:rowOff>
    </xdr:from>
    <xdr:to>
      <xdr:col>8</xdr:col>
      <xdr:colOff>107577</xdr:colOff>
      <xdr:row>48</xdr:row>
      <xdr:rowOff>44278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02C46CAA-E723-4A71-BFBE-F504593854E5}"/>
            </a:ext>
          </a:extLst>
        </xdr:cNvPr>
        <xdr:cNvSpPr txBox="1"/>
      </xdr:nvSpPr>
      <xdr:spPr>
        <a:xfrm flipH="1">
          <a:off x="7297272" y="8399928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-</a:t>
          </a:r>
        </a:p>
      </xdr:txBody>
    </xdr:sp>
    <xdr:clientData/>
  </xdr:twoCellAnchor>
  <xdr:twoCellAnchor editAs="oneCell">
    <xdr:from>
      <xdr:col>9</xdr:col>
      <xdr:colOff>914400</xdr:colOff>
      <xdr:row>43</xdr:row>
      <xdr:rowOff>80682</xdr:rowOff>
    </xdr:from>
    <xdr:to>
      <xdr:col>10</xdr:col>
      <xdr:colOff>125504</xdr:colOff>
      <xdr:row>45</xdr:row>
      <xdr:rowOff>17385</xdr:rowOff>
    </xdr:to>
    <xdr:sp macro="" textlink="">
      <xdr:nvSpPr>
        <xdr:cNvPr id="66" name="BlokTextu 65">
          <a:extLst>
            <a:ext uri="{FF2B5EF4-FFF2-40B4-BE49-F238E27FC236}">
              <a16:creationId xmlns:a16="http://schemas.microsoft.com/office/drawing/2014/main" id="{BA716999-846B-484F-B9A9-C5646C7AB710}"/>
            </a:ext>
          </a:extLst>
        </xdr:cNvPr>
        <xdr:cNvSpPr txBox="1"/>
      </xdr:nvSpPr>
      <xdr:spPr>
        <a:xfrm flipH="1">
          <a:off x="6678706" y="7835153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-</a:t>
          </a:r>
        </a:p>
      </xdr:txBody>
    </xdr:sp>
    <xdr:clientData/>
  </xdr:twoCellAnchor>
  <xdr:twoCellAnchor editAs="oneCell">
    <xdr:from>
      <xdr:col>16</xdr:col>
      <xdr:colOff>80683</xdr:colOff>
      <xdr:row>43</xdr:row>
      <xdr:rowOff>71717</xdr:rowOff>
    </xdr:from>
    <xdr:to>
      <xdr:col>16</xdr:col>
      <xdr:colOff>349623</xdr:colOff>
      <xdr:row>45</xdr:row>
      <xdr:rowOff>8420</xdr:rowOff>
    </xdr:to>
    <xdr:sp macro="" textlink="">
      <xdr:nvSpPr>
        <xdr:cNvPr id="67" name="BlokTextu 66">
          <a:extLst>
            <a:ext uri="{FF2B5EF4-FFF2-40B4-BE49-F238E27FC236}">
              <a16:creationId xmlns:a16="http://schemas.microsoft.com/office/drawing/2014/main" id="{FA4E333A-ED88-4FBA-AF01-2E2C9C7073AF}"/>
            </a:ext>
          </a:extLst>
        </xdr:cNvPr>
        <xdr:cNvSpPr txBox="1"/>
      </xdr:nvSpPr>
      <xdr:spPr>
        <a:xfrm flipH="1">
          <a:off x="10103224" y="7799293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-</a:t>
          </a:r>
        </a:p>
      </xdr:txBody>
    </xdr:sp>
    <xdr:clientData/>
  </xdr:twoCellAnchor>
  <xdr:twoCellAnchor editAs="oneCell">
    <xdr:from>
      <xdr:col>16</xdr:col>
      <xdr:colOff>71719</xdr:colOff>
      <xdr:row>44</xdr:row>
      <xdr:rowOff>44823</xdr:rowOff>
    </xdr:from>
    <xdr:to>
      <xdr:col>16</xdr:col>
      <xdr:colOff>340659</xdr:colOff>
      <xdr:row>45</xdr:row>
      <xdr:rowOff>160820</xdr:rowOff>
    </xdr:to>
    <xdr:sp macro="" textlink="">
      <xdr:nvSpPr>
        <xdr:cNvPr id="68" name="BlokTextu 67">
          <a:extLst>
            <a:ext uri="{FF2B5EF4-FFF2-40B4-BE49-F238E27FC236}">
              <a16:creationId xmlns:a16="http://schemas.microsoft.com/office/drawing/2014/main" id="{2CB65B05-DC48-4C5B-A5EF-863E838D68AA}"/>
            </a:ext>
          </a:extLst>
        </xdr:cNvPr>
        <xdr:cNvSpPr txBox="1"/>
      </xdr:nvSpPr>
      <xdr:spPr>
        <a:xfrm flipH="1">
          <a:off x="10094260" y="7951694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9</xdr:col>
      <xdr:colOff>860612</xdr:colOff>
      <xdr:row>44</xdr:row>
      <xdr:rowOff>62753</xdr:rowOff>
    </xdr:from>
    <xdr:to>
      <xdr:col>10</xdr:col>
      <xdr:colOff>71716</xdr:colOff>
      <xdr:row>45</xdr:row>
      <xdr:rowOff>178750</xdr:rowOff>
    </xdr:to>
    <xdr:sp macro="" textlink="">
      <xdr:nvSpPr>
        <xdr:cNvPr id="69" name="BlokTextu 68">
          <a:extLst>
            <a:ext uri="{FF2B5EF4-FFF2-40B4-BE49-F238E27FC236}">
              <a16:creationId xmlns:a16="http://schemas.microsoft.com/office/drawing/2014/main" id="{8C7C039A-9B2F-4295-BD0F-3D2A03860B1E}"/>
            </a:ext>
          </a:extLst>
        </xdr:cNvPr>
        <xdr:cNvSpPr txBox="1"/>
      </xdr:nvSpPr>
      <xdr:spPr>
        <a:xfrm flipH="1">
          <a:off x="6624918" y="7996518"/>
          <a:ext cx="268940" cy="29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125503</xdr:colOff>
      <xdr:row>4</xdr:row>
      <xdr:rowOff>44821</xdr:rowOff>
    </xdr:from>
    <xdr:to>
      <xdr:col>22</xdr:col>
      <xdr:colOff>358592</xdr:colOff>
      <xdr:row>12</xdr:row>
      <xdr:rowOff>170329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4009F7DE-ECE4-B7B9-B1AE-8F95EFFD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0891" y="779927"/>
          <a:ext cx="5109889" cy="1559861"/>
        </a:xfrm>
        <a:prstGeom prst="rect">
          <a:avLst/>
        </a:prstGeom>
      </xdr:spPr>
    </xdr:pic>
    <xdr:clientData/>
  </xdr:twoCellAnchor>
  <xdr:twoCellAnchor editAs="oneCell">
    <xdr:from>
      <xdr:col>22</xdr:col>
      <xdr:colOff>421339</xdr:colOff>
      <xdr:row>4</xdr:row>
      <xdr:rowOff>62951</xdr:rowOff>
    </xdr:from>
    <xdr:to>
      <xdr:col>28</xdr:col>
      <xdr:colOff>143434</xdr:colOff>
      <xdr:row>21</xdr:row>
      <xdr:rowOff>80137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id="{45EF2488-F561-6FD0-08CF-BD3E287A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43527" y="798057"/>
          <a:ext cx="3379695" cy="3074151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4</xdr:row>
      <xdr:rowOff>62751</xdr:rowOff>
    </xdr:from>
    <xdr:to>
      <xdr:col>36</xdr:col>
      <xdr:colOff>245613</xdr:colOff>
      <xdr:row>21</xdr:row>
      <xdr:rowOff>80681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22176FB7-384C-4143-524B-4E66DF82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69650" y="805701"/>
          <a:ext cx="5579613" cy="3170705"/>
        </a:xfrm>
        <a:prstGeom prst="rect">
          <a:avLst/>
        </a:prstGeom>
      </xdr:spPr>
    </xdr:pic>
    <xdr:clientData/>
  </xdr:twoCellAnchor>
  <xdr:twoCellAnchor>
    <xdr:from>
      <xdr:col>23</xdr:col>
      <xdr:colOff>600636</xdr:colOff>
      <xdr:row>4</xdr:row>
      <xdr:rowOff>107576</xdr:rowOff>
    </xdr:from>
    <xdr:to>
      <xdr:col>27</xdr:col>
      <xdr:colOff>358588</xdr:colOff>
      <xdr:row>6</xdr:row>
      <xdr:rowOff>71718</xdr:rowOff>
    </xdr:to>
    <xdr:sp macro="" textlink="">
      <xdr:nvSpPr>
        <xdr:cNvPr id="75" name="BlokTextu 74">
          <a:extLst>
            <a:ext uri="{FF2B5EF4-FFF2-40B4-BE49-F238E27FC236}">
              <a16:creationId xmlns:a16="http://schemas.microsoft.com/office/drawing/2014/main" id="{49854E2E-0464-C88F-F508-7FB75691DBB7}"/>
            </a:ext>
          </a:extLst>
        </xdr:cNvPr>
        <xdr:cNvSpPr txBox="1"/>
      </xdr:nvSpPr>
      <xdr:spPr>
        <a:xfrm>
          <a:off x="15132424" y="842682"/>
          <a:ext cx="2196352" cy="322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200" b="1" kern="1200">
              <a:solidFill>
                <a:schemeClr val="bg1">
                  <a:lumMod val="95000"/>
                </a:schemeClr>
              </a:solidFill>
            </a:rPr>
            <a:t>Patentovanie - žíhacia</a:t>
          </a:r>
          <a:r>
            <a:rPr lang="sk-SK" sz="1200" b="1" kern="1200" baseline="0">
              <a:solidFill>
                <a:schemeClr val="bg1">
                  <a:lumMod val="95000"/>
                </a:schemeClr>
              </a:solidFill>
            </a:rPr>
            <a:t> pec</a:t>
          </a:r>
          <a:endParaRPr lang="sk-SK" sz="1200" b="1" kern="120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30</xdr:col>
      <xdr:colOff>555811</xdr:colOff>
      <xdr:row>4</xdr:row>
      <xdr:rowOff>98613</xdr:rowOff>
    </xdr:from>
    <xdr:to>
      <xdr:col>34</xdr:col>
      <xdr:colOff>286871</xdr:colOff>
      <xdr:row>6</xdr:row>
      <xdr:rowOff>35859</xdr:rowOff>
    </xdr:to>
    <xdr:sp macro="" textlink="">
      <xdr:nvSpPr>
        <xdr:cNvPr id="76" name="BlokTextu 75">
          <a:extLst>
            <a:ext uri="{FF2B5EF4-FFF2-40B4-BE49-F238E27FC236}">
              <a16:creationId xmlns:a16="http://schemas.microsoft.com/office/drawing/2014/main" id="{F67816A1-FFF3-40BC-AEF8-013C971B2F71}"/>
            </a:ext>
          </a:extLst>
        </xdr:cNvPr>
        <xdr:cNvSpPr txBox="1"/>
      </xdr:nvSpPr>
      <xdr:spPr>
        <a:xfrm>
          <a:off x="19354799" y="833719"/>
          <a:ext cx="2169460" cy="2958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200" b="1" kern="1200">
              <a:solidFill>
                <a:schemeClr val="bg1">
                  <a:lumMod val="95000"/>
                </a:schemeClr>
              </a:solidFill>
            </a:rPr>
            <a:t>Patentovanie - oloveny kúpeľ</a:t>
          </a:r>
        </a:p>
      </xdr:txBody>
    </xdr:sp>
    <xdr:clientData/>
  </xdr:twoCellAnchor>
  <xdr:twoCellAnchor>
    <xdr:from>
      <xdr:col>9</xdr:col>
      <xdr:colOff>519953</xdr:colOff>
      <xdr:row>45</xdr:row>
      <xdr:rowOff>125505</xdr:rowOff>
    </xdr:from>
    <xdr:to>
      <xdr:col>9</xdr:col>
      <xdr:colOff>797369</xdr:colOff>
      <xdr:row>47</xdr:row>
      <xdr:rowOff>45523</xdr:rowOff>
    </xdr:to>
    <xdr:sp macro="" textlink="">
      <xdr:nvSpPr>
        <xdr:cNvPr id="78" name="BlokTextu 77">
          <a:extLst>
            <a:ext uri="{FF2B5EF4-FFF2-40B4-BE49-F238E27FC236}">
              <a16:creationId xmlns:a16="http://schemas.microsoft.com/office/drawing/2014/main" id="{F027D6D2-B8CE-4444-B318-B9D894BF190B}"/>
            </a:ext>
          </a:extLst>
        </xdr:cNvPr>
        <xdr:cNvSpPr txBox="1"/>
      </xdr:nvSpPr>
      <xdr:spPr>
        <a:xfrm>
          <a:off x="6284259" y="8238564"/>
          <a:ext cx="277416" cy="278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10</xdr:col>
      <xdr:colOff>582705</xdr:colOff>
      <xdr:row>39</xdr:row>
      <xdr:rowOff>0</xdr:rowOff>
    </xdr:from>
    <xdr:to>
      <xdr:col>12</xdr:col>
      <xdr:colOff>215152</xdr:colOff>
      <xdr:row>41</xdr:row>
      <xdr:rowOff>98612</xdr:rowOff>
    </xdr:to>
    <xdr:sp macro="" textlink="">
      <xdr:nvSpPr>
        <xdr:cNvPr id="81" name="BlokTextu 80">
          <a:extLst>
            <a:ext uri="{FF2B5EF4-FFF2-40B4-BE49-F238E27FC236}">
              <a16:creationId xmlns:a16="http://schemas.microsoft.com/office/drawing/2014/main" id="{CE068D65-D909-4825-9B60-962B0C482891}"/>
            </a:ext>
          </a:extLst>
        </xdr:cNvPr>
        <xdr:cNvSpPr txBox="1"/>
      </xdr:nvSpPr>
      <xdr:spPr>
        <a:xfrm>
          <a:off x="7404846" y="7037294"/>
          <a:ext cx="1434353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chemeClr val="accent4">
                  <a:lumMod val="60000"/>
                  <a:lumOff val="40000"/>
                </a:schemeClr>
              </a:solidFill>
            </a:rPr>
            <a:t>C</a:t>
          </a:r>
          <a:r>
            <a:rPr lang="sk-SK" sz="900" i="1" baseline="0">
              <a:solidFill>
                <a:schemeClr val="accent4">
                  <a:lumMod val="60000"/>
                  <a:lumOff val="40000"/>
                </a:schemeClr>
              </a:solidFill>
            </a:rPr>
            <a:t> plot s priemernymi nameranymi hodnotami</a:t>
          </a:r>
          <a:endParaRPr lang="sk-SK" sz="900" i="1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10</xdr:col>
      <xdr:colOff>609600</xdr:colOff>
      <xdr:row>41</xdr:row>
      <xdr:rowOff>143436</xdr:rowOff>
    </xdr:from>
    <xdr:to>
      <xdr:col>12</xdr:col>
      <xdr:colOff>26894</xdr:colOff>
      <xdr:row>41</xdr:row>
      <xdr:rowOff>143436</xdr:rowOff>
    </xdr:to>
    <xdr:cxnSp macro="">
      <xdr:nvCxnSpPr>
        <xdr:cNvPr id="82" name="Rovná spojovacia šípka 81">
          <a:extLst>
            <a:ext uri="{FF2B5EF4-FFF2-40B4-BE49-F238E27FC236}">
              <a16:creationId xmlns:a16="http://schemas.microsoft.com/office/drawing/2014/main" id="{DCD4729B-8A0A-4A95-91ED-058853EC3BDF}"/>
            </a:ext>
          </a:extLst>
        </xdr:cNvPr>
        <xdr:cNvCxnSpPr/>
      </xdr:nvCxnSpPr>
      <xdr:spPr>
        <a:xfrm>
          <a:off x="7431741" y="7539318"/>
          <a:ext cx="1219200" cy="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573741</xdr:colOff>
      <xdr:row>44</xdr:row>
      <xdr:rowOff>44824</xdr:rowOff>
    </xdr:from>
    <xdr:to>
      <xdr:col>8</xdr:col>
      <xdr:colOff>541595</xdr:colOff>
      <xdr:row>46</xdr:row>
      <xdr:rowOff>114861</xdr:rowOff>
    </xdr:to>
    <xdr:sp macro="" textlink="">
      <xdr:nvSpPr>
        <xdr:cNvPr id="83" name="BlokTextu 82">
          <a:extLst>
            <a:ext uri="{FF2B5EF4-FFF2-40B4-BE49-F238E27FC236}">
              <a16:creationId xmlns:a16="http://schemas.microsoft.com/office/drawing/2014/main" id="{8136F6CE-F000-40D9-9821-CF65756EDC85}"/>
            </a:ext>
          </a:extLst>
        </xdr:cNvPr>
        <xdr:cNvSpPr txBox="1"/>
      </xdr:nvSpPr>
      <xdr:spPr>
        <a:xfrm>
          <a:off x="6983506" y="7978589"/>
          <a:ext cx="101672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1317,1</a:t>
          </a:r>
        </a:p>
        <a:p>
          <a:r>
            <a:rPr lang="sk-SK" sz="1000"/>
            <a:t>1315,1</a:t>
          </a:r>
        </a:p>
        <a:p>
          <a:endParaRPr lang="sk-SK" sz="1000"/>
        </a:p>
      </xdr:txBody>
    </xdr:sp>
    <xdr:clientData/>
  </xdr:twoCellAnchor>
  <xdr:twoCellAnchor>
    <xdr:from>
      <xdr:col>12</xdr:col>
      <xdr:colOff>98610</xdr:colOff>
      <xdr:row>45</xdr:row>
      <xdr:rowOff>107576</xdr:rowOff>
    </xdr:from>
    <xdr:to>
      <xdr:col>13</xdr:col>
      <xdr:colOff>44823</xdr:colOff>
      <xdr:row>46</xdr:row>
      <xdr:rowOff>179293</xdr:rowOff>
    </xdr:to>
    <xdr:sp macro="" textlink="">
      <xdr:nvSpPr>
        <xdr:cNvPr id="84" name="BlokTextu 83">
          <a:extLst>
            <a:ext uri="{FF2B5EF4-FFF2-40B4-BE49-F238E27FC236}">
              <a16:creationId xmlns:a16="http://schemas.microsoft.com/office/drawing/2014/main" id="{D13D8FE0-88E4-42F8-9CD5-CBFE8121CDE5}"/>
            </a:ext>
          </a:extLst>
        </xdr:cNvPr>
        <xdr:cNvSpPr txBox="1"/>
      </xdr:nvSpPr>
      <xdr:spPr>
        <a:xfrm>
          <a:off x="8722657" y="8220635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1316,1</a:t>
          </a:r>
        </a:p>
        <a:p>
          <a:endParaRPr lang="sk-SK" sz="1000"/>
        </a:p>
      </xdr:txBody>
    </xdr:sp>
    <xdr:clientData/>
  </xdr:twoCellAnchor>
  <xdr:twoCellAnchor>
    <xdr:from>
      <xdr:col>7</xdr:col>
      <xdr:colOff>600635</xdr:colOff>
      <xdr:row>38</xdr:row>
      <xdr:rowOff>35859</xdr:rowOff>
    </xdr:from>
    <xdr:to>
      <xdr:col>8</xdr:col>
      <xdr:colOff>568489</xdr:colOff>
      <xdr:row>40</xdr:row>
      <xdr:rowOff>105896</xdr:rowOff>
    </xdr:to>
    <xdr:sp macro="" textlink="">
      <xdr:nvSpPr>
        <xdr:cNvPr id="85" name="BlokTextu 84">
          <a:extLst>
            <a:ext uri="{FF2B5EF4-FFF2-40B4-BE49-F238E27FC236}">
              <a16:creationId xmlns:a16="http://schemas.microsoft.com/office/drawing/2014/main" id="{C9E74EF6-B482-4523-9FD3-17F48B434F4D}"/>
            </a:ext>
          </a:extLst>
        </xdr:cNvPr>
        <xdr:cNvSpPr txBox="1"/>
      </xdr:nvSpPr>
      <xdr:spPr>
        <a:xfrm>
          <a:off x="7010400" y="6893859"/>
          <a:ext cx="101672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1332,9</a:t>
          </a:r>
        </a:p>
        <a:p>
          <a:r>
            <a:rPr lang="sk-SK" sz="1000"/>
            <a:t>1330,9</a:t>
          </a:r>
        </a:p>
        <a:p>
          <a:endParaRPr lang="sk-SK" sz="1000"/>
        </a:p>
      </xdr:txBody>
    </xdr:sp>
    <xdr:clientData/>
  </xdr:twoCellAnchor>
  <xdr:twoCellAnchor>
    <xdr:from>
      <xdr:col>7</xdr:col>
      <xdr:colOff>1030942</xdr:colOff>
      <xdr:row>42</xdr:row>
      <xdr:rowOff>170330</xdr:rowOff>
    </xdr:from>
    <xdr:to>
      <xdr:col>9</xdr:col>
      <xdr:colOff>111290</xdr:colOff>
      <xdr:row>45</xdr:row>
      <xdr:rowOff>61072</xdr:rowOff>
    </xdr:to>
    <xdr:sp macro="" textlink="">
      <xdr:nvSpPr>
        <xdr:cNvPr id="86" name="BlokTextu 85">
          <a:extLst>
            <a:ext uri="{FF2B5EF4-FFF2-40B4-BE49-F238E27FC236}">
              <a16:creationId xmlns:a16="http://schemas.microsoft.com/office/drawing/2014/main" id="{B83DAD08-B99C-4E90-9D6A-8FCFE71A2554}"/>
            </a:ext>
          </a:extLst>
        </xdr:cNvPr>
        <xdr:cNvSpPr txBox="1"/>
      </xdr:nvSpPr>
      <xdr:spPr>
        <a:xfrm>
          <a:off x="7440707" y="7745506"/>
          <a:ext cx="101672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1312,3</a:t>
          </a:r>
        </a:p>
        <a:p>
          <a:r>
            <a:rPr lang="sk-SK" sz="1000"/>
            <a:t>1312,7</a:t>
          </a:r>
        </a:p>
        <a:p>
          <a:endParaRPr lang="sk-SK" sz="1000"/>
        </a:p>
      </xdr:txBody>
    </xdr:sp>
    <xdr:clientData/>
  </xdr:twoCellAnchor>
  <xdr:twoCellAnchor>
    <xdr:from>
      <xdr:col>9</xdr:col>
      <xdr:colOff>385482</xdr:colOff>
      <xdr:row>42</xdr:row>
      <xdr:rowOff>89647</xdr:rowOff>
    </xdr:from>
    <xdr:to>
      <xdr:col>9</xdr:col>
      <xdr:colOff>962936</xdr:colOff>
      <xdr:row>44</xdr:row>
      <xdr:rowOff>159683</xdr:rowOff>
    </xdr:to>
    <xdr:sp macro="" textlink="">
      <xdr:nvSpPr>
        <xdr:cNvPr id="87" name="BlokTextu 86">
          <a:extLst>
            <a:ext uri="{FF2B5EF4-FFF2-40B4-BE49-F238E27FC236}">
              <a16:creationId xmlns:a16="http://schemas.microsoft.com/office/drawing/2014/main" id="{6E48FF9A-FE88-4FE8-90F2-47BE0BDEFC86}"/>
            </a:ext>
          </a:extLst>
        </xdr:cNvPr>
        <xdr:cNvSpPr txBox="1"/>
      </xdr:nvSpPr>
      <xdr:spPr>
        <a:xfrm>
          <a:off x="6149788" y="7664823"/>
          <a:ext cx="57745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1363,3</a:t>
          </a:r>
        </a:p>
        <a:p>
          <a:r>
            <a:rPr lang="sk-SK" sz="1000"/>
            <a:t>1361,8</a:t>
          </a:r>
        </a:p>
        <a:p>
          <a:endParaRPr lang="sk-SK" sz="1000"/>
        </a:p>
      </xdr:txBody>
    </xdr:sp>
    <xdr:clientData/>
  </xdr:twoCellAnchor>
  <xdr:twoCellAnchor>
    <xdr:from>
      <xdr:col>8</xdr:col>
      <xdr:colOff>815787</xdr:colOff>
      <xdr:row>44</xdr:row>
      <xdr:rowOff>62753</xdr:rowOff>
    </xdr:from>
    <xdr:to>
      <xdr:col>9</xdr:col>
      <xdr:colOff>505735</xdr:colOff>
      <xdr:row>46</xdr:row>
      <xdr:rowOff>132790</xdr:rowOff>
    </xdr:to>
    <xdr:sp macro="" textlink="">
      <xdr:nvSpPr>
        <xdr:cNvPr id="88" name="BlokTextu 87">
          <a:extLst>
            <a:ext uri="{FF2B5EF4-FFF2-40B4-BE49-F238E27FC236}">
              <a16:creationId xmlns:a16="http://schemas.microsoft.com/office/drawing/2014/main" id="{E912D1AB-C669-449E-B452-1562A1596D77}"/>
            </a:ext>
          </a:extLst>
        </xdr:cNvPr>
        <xdr:cNvSpPr txBox="1"/>
      </xdr:nvSpPr>
      <xdr:spPr>
        <a:xfrm>
          <a:off x="5692587" y="7996518"/>
          <a:ext cx="57745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50"/>
            <a:t>1403,2</a:t>
          </a:r>
        </a:p>
        <a:p>
          <a:r>
            <a:rPr lang="sk-SK" sz="950"/>
            <a:t>1393,6</a:t>
          </a:r>
        </a:p>
        <a:p>
          <a:endParaRPr lang="sk-SK" sz="1000"/>
        </a:p>
      </xdr:txBody>
    </xdr:sp>
    <xdr:clientData/>
  </xdr:twoCellAnchor>
  <xdr:twoCellAnchor>
    <xdr:from>
      <xdr:col>8</xdr:col>
      <xdr:colOff>806823</xdr:colOff>
      <xdr:row>38</xdr:row>
      <xdr:rowOff>125506</xdr:rowOff>
    </xdr:from>
    <xdr:to>
      <xdr:col>9</xdr:col>
      <xdr:colOff>496771</xdr:colOff>
      <xdr:row>41</xdr:row>
      <xdr:rowOff>16249</xdr:rowOff>
    </xdr:to>
    <xdr:sp macro="" textlink="">
      <xdr:nvSpPr>
        <xdr:cNvPr id="89" name="BlokTextu 88">
          <a:extLst>
            <a:ext uri="{FF2B5EF4-FFF2-40B4-BE49-F238E27FC236}">
              <a16:creationId xmlns:a16="http://schemas.microsoft.com/office/drawing/2014/main" id="{6A7FEA14-E8E1-44D5-8010-9CEDC44A86A6}"/>
            </a:ext>
          </a:extLst>
        </xdr:cNvPr>
        <xdr:cNvSpPr txBox="1"/>
      </xdr:nvSpPr>
      <xdr:spPr>
        <a:xfrm>
          <a:off x="5683623" y="6983506"/>
          <a:ext cx="57745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50"/>
            <a:t>1412,6</a:t>
          </a:r>
        </a:p>
        <a:p>
          <a:r>
            <a:rPr lang="sk-SK" sz="950"/>
            <a:t>1406,7</a:t>
          </a:r>
        </a:p>
        <a:p>
          <a:endParaRPr lang="sk-SK" sz="1000"/>
        </a:p>
      </xdr:txBody>
    </xdr:sp>
    <xdr:clientData/>
  </xdr:twoCellAnchor>
  <xdr:twoCellAnchor>
    <xdr:from>
      <xdr:col>7</xdr:col>
      <xdr:colOff>1004048</xdr:colOff>
      <xdr:row>35</xdr:row>
      <xdr:rowOff>44823</xdr:rowOff>
    </xdr:from>
    <xdr:to>
      <xdr:col>9</xdr:col>
      <xdr:colOff>84396</xdr:colOff>
      <xdr:row>37</xdr:row>
      <xdr:rowOff>114860</xdr:rowOff>
    </xdr:to>
    <xdr:sp macro="" textlink="">
      <xdr:nvSpPr>
        <xdr:cNvPr id="90" name="BlokTextu 89">
          <a:extLst>
            <a:ext uri="{FF2B5EF4-FFF2-40B4-BE49-F238E27FC236}">
              <a16:creationId xmlns:a16="http://schemas.microsoft.com/office/drawing/2014/main" id="{35A94BE4-7FF1-42B9-94FF-90AD32B97649}"/>
            </a:ext>
          </a:extLst>
        </xdr:cNvPr>
        <xdr:cNvSpPr txBox="1"/>
      </xdr:nvSpPr>
      <xdr:spPr>
        <a:xfrm>
          <a:off x="7413813" y="6364941"/>
          <a:ext cx="101672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1319,2</a:t>
          </a:r>
        </a:p>
        <a:p>
          <a:r>
            <a:rPr lang="sk-SK" sz="1000"/>
            <a:t>1320,6</a:t>
          </a:r>
        </a:p>
        <a:p>
          <a:endParaRPr lang="sk-SK" sz="1000"/>
        </a:p>
      </xdr:txBody>
    </xdr:sp>
    <xdr:clientData/>
  </xdr:twoCellAnchor>
  <xdr:twoCellAnchor>
    <xdr:from>
      <xdr:col>9</xdr:col>
      <xdr:colOff>573741</xdr:colOff>
      <xdr:row>34</xdr:row>
      <xdr:rowOff>179294</xdr:rowOff>
    </xdr:from>
    <xdr:to>
      <xdr:col>10</xdr:col>
      <xdr:colOff>93360</xdr:colOff>
      <xdr:row>37</xdr:row>
      <xdr:rowOff>61072</xdr:rowOff>
    </xdr:to>
    <xdr:sp macro="" textlink="">
      <xdr:nvSpPr>
        <xdr:cNvPr id="91" name="BlokTextu 90">
          <a:extLst>
            <a:ext uri="{FF2B5EF4-FFF2-40B4-BE49-F238E27FC236}">
              <a16:creationId xmlns:a16="http://schemas.microsoft.com/office/drawing/2014/main" id="{E3A09BA8-D694-45EE-9914-7516A63F50A0}"/>
            </a:ext>
          </a:extLst>
        </xdr:cNvPr>
        <xdr:cNvSpPr txBox="1"/>
      </xdr:nvSpPr>
      <xdr:spPr>
        <a:xfrm>
          <a:off x="6338047" y="6311153"/>
          <a:ext cx="577454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1378,6</a:t>
          </a:r>
        </a:p>
        <a:p>
          <a:r>
            <a:rPr lang="sk-SK" sz="1000"/>
            <a:t>1375,2</a:t>
          </a:r>
        </a:p>
        <a:p>
          <a:endParaRPr lang="sk-SK" sz="1000"/>
        </a:p>
      </xdr:txBody>
    </xdr:sp>
    <xdr:clientData/>
  </xdr:twoCellAnchor>
  <xdr:twoCellAnchor>
    <xdr:from>
      <xdr:col>14</xdr:col>
      <xdr:colOff>197224</xdr:colOff>
      <xdr:row>44</xdr:row>
      <xdr:rowOff>152399</xdr:rowOff>
    </xdr:from>
    <xdr:to>
      <xdr:col>15</xdr:col>
      <xdr:colOff>143437</xdr:colOff>
      <xdr:row>46</xdr:row>
      <xdr:rowOff>44822</xdr:rowOff>
    </xdr:to>
    <xdr:sp macro="" textlink="">
      <xdr:nvSpPr>
        <xdr:cNvPr id="92" name="BlokTextu 91">
          <a:extLst>
            <a:ext uri="{FF2B5EF4-FFF2-40B4-BE49-F238E27FC236}">
              <a16:creationId xmlns:a16="http://schemas.microsoft.com/office/drawing/2014/main" id="{29D1A5BD-DFF4-4EFD-BE14-5E07C96D1761}"/>
            </a:ext>
          </a:extLst>
        </xdr:cNvPr>
        <xdr:cNvSpPr txBox="1"/>
      </xdr:nvSpPr>
      <xdr:spPr>
        <a:xfrm>
          <a:off x="10040471" y="8086164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1398,4</a:t>
          </a:r>
        </a:p>
        <a:p>
          <a:endParaRPr lang="sk-SK" sz="1000"/>
        </a:p>
      </xdr:txBody>
    </xdr:sp>
    <xdr:clientData/>
  </xdr:twoCellAnchor>
  <xdr:twoCellAnchor>
    <xdr:from>
      <xdr:col>15</xdr:col>
      <xdr:colOff>17929</xdr:colOff>
      <xdr:row>43</xdr:row>
      <xdr:rowOff>17929</xdr:rowOff>
    </xdr:from>
    <xdr:to>
      <xdr:col>15</xdr:col>
      <xdr:colOff>573742</xdr:colOff>
      <xdr:row>44</xdr:row>
      <xdr:rowOff>89646</xdr:rowOff>
    </xdr:to>
    <xdr:sp macro="" textlink="">
      <xdr:nvSpPr>
        <xdr:cNvPr id="93" name="BlokTextu 92">
          <a:extLst>
            <a:ext uri="{FF2B5EF4-FFF2-40B4-BE49-F238E27FC236}">
              <a16:creationId xmlns:a16="http://schemas.microsoft.com/office/drawing/2014/main" id="{5FD32A39-8F3D-4BCC-9039-9437A5153A3D}"/>
            </a:ext>
          </a:extLst>
        </xdr:cNvPr>
        <xdr:cNvSpPr txBox="1"/>
      </xdr:nvSpPr>
      <xdr:spPr>
        <a:xfrm>
          <a:off x="10470776" y="7772400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1362,5</a:t>
          </a:r>
        </a:p>
        <a:p>
          <a:endParaRPr lang="sk-SK" sz="1000"/>
        </a:p>
      </xdr:txBody>
    </xdr:sp>
    <xdr:clientData/>
  </xdr:twoCellAnchor>
  <xdr:twoCellAnchor>
    <xdr:from>
      <xdr:col>12</xdr:col>
      <xdr:colOff>573742</xdr:colOff>
      <xdr:row>43</xdr:row>
      <xdr:rowOff>53788</xdr:rowOff>
    </xdr:from>
    <xdr:to>
      <xdr:col>13</xdr:col>
      <xdr:colOff>519955</xdr:colOff>
      <xdr:row>44</xdr:row>
      <xdr:rowOff>125505</xdr:rowOff>
    </xdr:to>
    <xdr:sp macro="" textlink="">
      <xdr:nvSpPr>
        <xdr:cNvPr id="94" name="BlokTextu 93">
          <a:extLst>
            <a:ext uri="{FF2B5EF4-FFF2-40B4-BE49-F238E27FC236}">
              <a16:creationId xmlns:a16="http://schemas.microsoft.com/office/drawing/2014/main" id="{8839AF1A-5F5A-47CD-800E-F1E701BAD6A6}"/>
            </a:ext>
          </a:extLst>
        </xdr:cNvPr>
        <xdr:cNvSpPr txBox="1"/>
      </xdr:nvSpPr>
      <xdr:spPr>
        <a:xfrm>
          <a:off x="9197789" y="7808259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1312,5</a:t>
          </a:r>
        </a:p>
        <a:p>
          <a:endParaRPr lang="sk-SK" sz="1000"/>
        </a:p>
      </xdr:txBody>
    </xdr:sp>
    <xdr:clientData/>
  </xdr:twoCellAnchor>
  <xdr:twoCellAnchor>
    <xdr:from>
      <xdr:col>12</xdr:col>
      <xdr:colOff>125506</xdr:colOff>
      <xdr:row>38</xdr:row>
      <xdr:rowOff>143434</xdr:rowOff>
    </xdr:from>
    <xdr:to>
      <xdr:col>13</xdr:col>
      <xdr:colOff>71719</xdr:colOff>
      <xdr:row>40</xdr:row>
      <xdr:rowOff>35857</xdr:rowOff>
    </xdr:to>
    <xdr:sp macro="" textlink="">
      <xdr:nvSpPr>
        <xdr:cNvPr id="95" name="BlokTextu 94">
          <a:extLst>
            <a:ext uri="{FF2B5EF4-FFF2-40B4-BE49-F238E27FC236}">
              <a16:creationId xmlns:a16="http://schemas.microsoft.com/office/drawing/2014/main" id="{011EA64E-BF29-432B-9CE9-5F4D26CF08CC}"/>
            </a:ext>
          </a:extLst>
        </xdr:cNvPr>
        <xdr:cNvSpPr txBox="1"/>
      </xdr:nvSpPr>
      <xdr:spPr>
        <a:xfrm>
          <a:off x="8749553" y="7001434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1331,9</a:t>
          </a:r>
        </a:p>
        <a:p>
          <a:endParaRPr lang="sk-SK" sz="1000"/>
        </a:p>
      </xdr:txBody>
    </xdr:sp>
    <xdr:clientData/>
  </xdr:twoCellAnchor>
  <xdr:twoCellAnchor>
    <xdr:from>
      <xdr:col>14</xdr:col>
      <xdr:colOff>197224</xdr:colOff>
      <xdr:row>38</xdr:row>
      <xdr:rowOff>134471</xdr:rowOff>
    </xdr:from>
    <xdr:to>
      <xdr:col>15</xdr:col>
      <xdr:colOff>143437</xdr:colOff>
      <xdr:row>40</xdr:row>
      <xdr:rowOff>26894</xdr:rowOff>
    </xdr:to>
    <xdr:sp macro="" textlink="">
      <xdr:nvSpPr>
        <xdr:cNvPr id="96" name="BlokTextu 95">
          <a:extLst>
            <a:ext uri="{FF2B5EF4-FFF2-40B4-BE49-F238E27FC236}">
              <a16:creationId xmlns:a16="http://schemas.microsoft.com/office/drawing/2014/main" id="{21740999-FE4B-4DB1-906C-9E9115C1B9DD}"/>
            </a:ext>
          </a:extLst>
        </xdr:cNvPr>
        <xdr:cNvSpPr txBox="1"/>
      </xdr:nvSpPr>
      <xdr:spPr>
        <a:xfrm>
          <a:off x="10040471" y="6992471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1409,6</a:t>
          </a:r>
        </a:p>
        <a:p>
          <a:endParaRPr lang="sk-SK" sz="1000"/>
        </a:p>
      </xdr:txBody>
    </xdr:sp>
    <xdr:clientData/>
  </xdr:twoCellAnchor>
  <xdr:twoCellAnchor>
    <xdr:from>
      <xdr:col>12</xdr:col>
      <xdr:colOff>484094</xdr:colOff>
      <xdr:row>36</xdr:row>
      <xdr:rowOff>44823</xdr:rowOff>
    </xdr:from>
    <xdr:to>
      <xdr:col>13</xdr:col>
      <xdr:colOff>430307</xdr:colOff>
      <xdr:row>37</xdr:row>
      <xdr:rowOff>116540</xdr:rowOff>
    </xdr:to>
    <xdr:sp macro="" textlink="">
      <xdr:nvSpPr>
        <xdr:cNvPr id="97" name="BlokTextu 96">
          <a:extLst>
            <a:ext uri="{FF2B5EF4-FFF2-40B4-BE49-F238E27FC236}">
              <a16:creationId xmlns:a16="http://schemas.microsoft.com/office/drawing/2014/main" id="{BB9F9CB9-63C5-4143-A41E-B89147442FF2}"/>
            </a:ext>
          </a:extLst>
        </xdr:cNvPr>
        <xdr:cNvSpPr txBox="1"/>
      </xdr:nvSpPr>
      <xdr:spPr>
        <a:xfrm>
          <a:off x="9108141" y="6544235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1319,3</a:t>
          </a:r>
        </a:p>
        <a:p>
          <a:endParaRPr lang="sk-SK" sz="1000"/>
        </a:p>
      </xdr:txBody>
    </xdr:sp>
    <xdr:clientData/>
  </xdr:twoCellAnchor>
  <xdr:twoCellAnchor>
    <xdr:from>
      <xdr:col>15</xdr:col>
      <xdr:colOff>215153</xdr:colOff>
      <xdr:row>35</xdr:row>
      <xdr:rowOff>125505</xdr:rowOff>
    </xdr:from>
    <xdr:to>
      <xdr:col>16</xdr:col>
      <xdr:colOff>161366</xdr:colOff>
      <xdr:row>37</xdr:row>
      <xdr:rowOff>17928</xdr:rowOff>
    </xdr:to>
    <xdr:sp macro="" textlink="">
      <xdr:nvSpPr>
        <xdr:cNvPr id="98" name="BlokTextu 97">
          <a:extLst>
            <a:ext uri="{FF2B5EF4-FFF2-40B4-BE49-F238E27FC236}">
              <a16:creationId xmlns:a16="http://schemas.microsoft.com/office/drawing/2014/main" id="{DCA8DFAB-0E70-4D5E-ABDD-0391DE23E866}"/>
            </a:ext>
          </a:extLst>
        </xdr:cNvPr>
        <xdr:cNvSpPr txBox="1"/>
      </xdr:nvSpPr>
      <xdr:spPr>
        <a:xfrm>
          <a:off x="10668000" y="6445623"/>
          <a:ext cx="555813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1376,9</a:t>
          </a:r>
        </a:p>
        <a:p>
          <a:endParaRPr lang="sk-SK" sz="1000"/>
        </a:p>
      </xdr:txBody>
    </xdr:sp>
    <xdr:clientData/>
  </xdr:twoCellAnchor>
  <xdr:twoCellAnchor>
    <xdr:from>
      <xdr:col>2</xdr:col>
      <xdr:colOff>600635</xdr:colOff>
      <xdr:row>194</xdr:row>
      <xdr:rowOff>71718</xdr:rowOff>
    </xdr:from>
    <xdr:to>
      <xdr:col>7</xdr:col>
      <xdr:colOff>681317</xdr:colOff>
      <xdr:row>198</xdr:row>
      <xdr:rowOff>71718</xdr:rowOff>
    </xdr:to>
    <xdr:sp macro="" textlink="">
      <xdr:nvSpPr>
        <xdr:cNvPr id="100" name="BlokTextu 99">
          <a:extLst>
            <a:ext uri="{FF2B5EF4-FFF2-40B4-BE49-F238E27FC236}">
              <a16:creationId xmlns:a16="http://schemas.microsoft.com/office/drawing/2014/main" id="{BC770CA8-786A-FAFD-0E8B-F0869B50CD7F}"/>
            </a:ext>
          </a:extLst>
        </xdr:cNvPr>
        <xdr:cNvSpPr txBox="1"/>
      </xdr:nvSpPr>
      <xdr:spPr>
        <a:xfrm>
          <a:off x="2384611" y="35258189"/>
          <a:ext cx="4706471" cy="717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99,44 % variability nameranych hodnot pri procese</a:t>
          </a:r>
          <a:r>
            <a:rPr lang="sk-SK" sz="1100" b="1" kern="1200" baseline="0"/>
            <a:t> patentovania drôtu </a:t>
          </a:r>
          <a:r>
            <a:rPr lang="sk-SK" sz="1100" b="1" kern="1200"/>
            <a:t>vieme vysvetlit regresnym modelom (regresnou funkciou linearneho typu)                        iba 0,56 % variability nameranych hodnot zostalo modelom nevysvetlenej</a:t>
          </a:r>
        </a:p>
      </xdr:txBody>
    </xdr:sp>
    <xdr:clientData/>
  </xdr:twoCellAnchor>
  <xdr:twoCellAnchor editAs="oneCell">
    <xdr:from>
      <xdr:col>8</xdr:col>
      <xdr:colOff>0</xdr:colOff>
      <xdr:row>193</xdr:row>
      <xdr:rowOff>0</xdr:rowOff>
    </xdr:from>
    <xdr:to>
      <xdr:col>9</xdr:col>
      <xdr:colOff>789039</xdr:colOff>
      <xdr:row>198</xdr:row>
      <xdr:rowOff>101836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1BEEA3AD-4D49-D3BD-C6A0-D81B6A3A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8635" y="35007176"/>
          <a:ext cx="1676545" cy="998307"/>
        </a:xfrm>
        <a:prstGeom prst="rect">
          <a:avLst/>
        </a:prstGeom>
      </xdr:spPr>
    </xdr:pic>
    <xdr:clientData/>
  </xdr:twoCellAnchor>
  <xdr:twoCellAnchor editAs="oneCell">
    <xdr:from>
      <xdr:col>5</xdr:col>
      <xdr:colOff>35859</xdr:colOff>
      <xdr:row>206</xdr:row>
      <xdr:rowOff>17928</xdr:rowOff>
    </xdr:from>
    <xdr:to>
      <xdr:col>6</xdr:col>
      <xdr:colOff>896470</xdr:colOff>
      <xdr:row>212</xdr:row>
      <xdr:rowOff>109684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32452D09-036B-92A6-4AAF-C4AE610A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9953" y="37355928"/>
          <a:ext cx="1936376" cy="1167521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205</xdr:row>
      <xdr:rowOff>170329</xdr:rowOff>
    </xdr:from>
    <xdr:to>
      <xdr:col>2</xdr:col>
      <xdr:colOff>677761</xdr:colOff>
      <xdr:row>212</xdr:row>
      <xdr:rowOff>53788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275AD5BD-9240-5377-F629-006E687B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6494" y="37329035"/>
          <a:ext cx="1825243" cy="1138518"/>
        </a:xfrm>
        <a:prstGeom prst="rect">
          <a:avLst/>
        </a:prstGeom>
      </xdr:spPr>
    </xdr:pic>
    <xdr:clientData/>
  </xdr:twoCellAnchor>
  <xdr:twoCellAnchor>
    <xdr:from>
      <xdr:col>3</xdr:col>
      <xdr:colOff>457201</xdr:colOff>
      <xdr:row>208</xdr:row>
      <xdr:rowOff>17931</xdr:rowOff>
    </xdr:from>
    <xdr:to>
      <xdr:col>4</xdr:col>
      <xdr:colOff>555812</xdr:colOff>
      <xdr:row>209</xdr:row>
      <xdr:rowOff>44825</xdr:rowOff>
    </xdr:to>
    <xdr:sp macro="" textlink="">
      <xdr:nvSpPr>
        <xdr:cNvPr id="105" name="Šípka: doprava 104">
          <a:extLst>
            <a:ext uri="{FF2B5EF4-FFF2-40B4-BE49-F238E27FC236}">
              <a16:creationId xmlns:a16="http://schemas.microsoft.com/office/drawing/2014/main" id="{07447DCE-6DDB-F1E5-1561-4D7FE7955E89}"/>
            </a:ext>
          </a:extLst>
        </xdr:cNvPr>
        <xdr:cNvSpPr/>
      </xdr:nvSpPr>
      <xdr:spPr>
        <a:xfrm>
          <a:off x="2850777" y="37714519"/>
          <a:ext cx="1183341" cy="206188"/>
        </a:xfrm>
        <a:prstGeom prst="rightArrow">
          <a:avLst/>
        </a:prstGeom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 kern="1200"/>
        </a:p>
      </xdr:txBody>
    </xdr:sp>
    <xdr:clientData/>
  </xdr:twoCellAnchor>
  <xdr:twoCellAnchor>
    <xdr:from>
      <xdr:col>0</xdr:col>
      <xdr:colOff>600634</xdr:colOff>
      <xdr:row>212</xdr:row>
      <xdr:rowOff>143435</xdr:rowOff>
    </xdr:from>
    <xdr:to>
      <xdr:col>7</xdr:col>
      <xdr:colOff>779928</xdr:colOff>
      <xdr:row>217</xdr:row>
      <xdr:rowOff>80683</xdr:rowOff>
    </xdr:to>
    <xdr:sp macro="" textlink="">
      <xdr:nvSpPr>
        <xdr:cNvPr id="106" name="BlokTextu 105">
          <a:extLst>
            <a:ext uri="{FF2B5EF4-FFF2-40B4-BE49-F238E27FC236}">
              <a16:creationId xmlns:a16="http://schemas.microsoft.com/office/drawing/2014/main" id="{B0C4BCD8-5868-A0A0-266B-DE952155113D}"/>
            </a:ext>
          </a:extLst>
        </xdr:cNvPr>
        <xdr:cNvSpPr txBox="1"/>
      </xdr:nvSpPr>
      <xdr:spPr>
        <a:xfrm>
          <a:off x="600634" y="38557200"/>
          <a:ext cx="6589059" cy="8337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Upraveny index</a:t>
          </a:r>
          <a:r>
            <a:rPr lang="sk-SK" sz="1100" b="1" kern="1200" baseline="0"/>
            <a:t> determinácie vyjadruje mieru zhody nameranych dat a predifikovanych hodnôt = 99,2%</a:t>
          </a:r>
          <a:endParaRPr lang="sk-SK" sz="1100" b="1" kern="1200"/>
        </a:p>
        <a:p>
          <a:r>
            <a:rPr lang="sk-SK" sz="1100" b="1" kern="1200"/>
            <a:t>Upravený index determinácie po vylúčení štatisticky nevýznamných faktorov a interakcií klesol, čo znamená že z modelu boli vylúčené také namerané hodnoty, ktoré by sme vedeli vysvetliť pomocou regresného modelu.</a:t>
          </a:r>
        </a:p>
      </xdr:txBody>
    </xdr:sp>
    <xdr:clientData/>
  </xdr:twoCellAnchor>
  <xdr:twoCellAnchor>
    <xdr:from>
      <xdr:col>8</xdr:col>
      <xdr:colOff>44823</xdr:colOff>
      <xdr:row>241</xdr:row>
      <xdr:rowOff>44823</xdr:rowOff>
    </xdr:from>
    <xdr:to>
      <xdr:col>8</xdr:col>
      <xdr:colOff>98163</xdr:colOff>
      <xdr:row>241</xdr:row>
      <xdr:rowOff>121023</xdr:rowOff>
    </xdr:to>
    <xdr:cxnSp macro="">
      <xdr:nvCxnSpPr>
        <xdr:cNvPr id="109" name="Rovná spojnica 108">
          <a:extLst>
            <a:ext uri="{FF2B5EF4-FFF2-40B4-BE49-F238E27FC236}">
              <a16:creationId xmlns:a16="http://schemas.microsoft.com/office/drawing/2014/main" id="{7B0309DF-91B8-430F-A0BC-733697785A3B}"/>
            </a:ext>
          </a:extLst>
        </xdr:cNvPr>
        <xdr:cNvCxnSpPr/>
      </xdr:nvCxnSpPr>
      <xdr:spPr>
        <a:xfrm flipV="1">
          <a:off x="7503458" y="43676047"/>
          <a:ext cx="53340" cy="76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35859</xdr:colOff>
      <xdr:row>248</xdr:row>
      <xdr:rowOff>44823</xdr:rowOff>
    </xdr:from>
    <xdr:to>
      <xdr:col>3</xdr:col>
      <xdr:colOff>797858</xdr:colOff>
      <xdr:row>251</xdr:row>
      <xdr:rowOff>161365</xdr:rowOff>
    </xdr:to>
    <xdr:sp macro="" textlink="">
      <xdr:nvSpPr>
        <xdr:cNvPr id="110" name="BlokTextu 109">
          <a:extLst>
            <a:ext uri="{FF2B5EF4-FFF2-40B4-BE49-F238E27FC236}">
              <a16:creationId xmlns:a16="http://schemas.microsoft.com/office/drawing/2014/main" id="{47E44FD9-2CB5-DF4F-3845-589EDEB7B05A}"/>
            </a:ext>
          </a:extLst>
        </xdr:cNvPr>
        <xdr:cNvSpPr txBox="1"/>
      </xdr:nvSpPr>
      <xdr:spPr>
        <a:xfrm>
          <a:off x="645459" y="44949035"/>
          <a:ext cx="2788023" cy="6544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F = 491,48 -&gt; patrí do intervalu</a:t>
          </a:r>
          <a:r>
            <a:rPr lang="sk-SK" sz="1100" b="1" kern="1200" baseline="0"/>
            <a:t> W (3,36;∞)    Na hladine významnosti 0,05 môžeme tvrdiť, že regresný model je štatisticky významný.</a:t>
          </a:r>
          <a:endParaRPr lang="sk-SK" sz="1100" b="1" kern="1200"/>
        </a:p>
      </xdr:txBody>
    </xdr:sp>
    <xdr:clientData/>
  </xdr:twoCellAnchor>
  <xdr:twoCellAnchor editAs="oneCell">
    <xdr:from>
      <xdr:col>9</xdr:col>
      <xdr:colOff>1051715</xdr:colOff>
      <xdr:row>238</xdr:row>
      <xdr:rowOff>41979</xdr:rowOff>
    </xdr:from>
    <xdr:to>
      <xdr:col>16</xdr:col>
      <xdr:colOff>545318</xdr:colOff>
      <xdr:row>245</xdr:row>
      <xdr:rowOff>177764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743919F-DC15-A7EC-8289-0B0AF4644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11340353" y="41434870"/>
          <a:ext cx="1390844" cy="4791744"/>
        </a:xfrm>
        <a:prstGeom prst="rect">
          <a:avLst/>
        </a:prstGeom>
      </xdr:spPr>
    </xdr:pic>
    <xdr:clientData/>
  </xdr:twoCellAnchor>
  <xdr:twoCellAnchor editAs="oneCell">
    <xdr:from>
      <xdr:col>9</xdr:col>
      <xdr:colOff>233085</xdr:colOff>
      <xdr:row>280</xdr:row>
      <xdr:rowOff>17930</xdr:rowOff>
    </xdr:from>
    <xdr:to>
      <xdr:col>17</xdr:col>
      <xdr:colOff>224119</xdr:colOff>
      <xdr:row>289</xdr:row>
      <xdr:rowOff>178831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EE6D0C30-7AF2-FD1E-02AB-FBDA276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273" y="50740236"/>
          <a:ext cx="5898775" cy="17745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</xdr:colOff>
      <xdr:row>26</xdr:row>
      <xdr:rowOff>45720</xdr:rowOff>
    </xdr:from>
    <xdr:to>
      <xdr:col>16</xdr:col>
      <xdr:colOff>22860</xdr:colOff>
      <xdr:row>36</xdr:row>
      <xdr:rowOff>53340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1047EE8-1FC8-0891-6DBD-8961B90555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89453</xdr:colOff>
      <xdr:row>86</xdr:row>
      <xdr:rowOff>22861</xdr:rowOff>
    </xdr:from>
    <xdr:to>
      <xdr:col>9</xdr:col>
      <xdr:colOff>419100</xdr:colOff>
      <xdr:row>91</xdr:row>
      <xdr:rowOff>76200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331A42AD-1963-F724-5A32-A810D7A8A1EC}"/>
            </a:ext>
          </a:extLst>
        </xdr:cNvPr>
        <xdr:cNvSpPr txBox="1"/>
      </xdr:nvSpPr>
      <xdr:spPr>
        <a:xfrm>
          <a:off x="3084113" y="15857221"/>
          <a:ext cx="3377647" cy="9829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b1 je statisticky vyznamny, t.j. samostatný vplyv faktora t1 na hodnotu transformovanej regresnej funkcie fLT(t1, t2, t3) je štatisticky významný, to znamená, že ho nemožno zanedbať.</a:t>
          </a:r>
        </a:p>
      </xdr:txBody>
    </xdr:sp>
    <xdr:clientData/>
  </xdr:twoCellAnchor>
  <xdr:twoCellAnchor>
    <xdr:from>
      <xdr:col>4</xdr:col>
      <xdr:colOff>89453</xdr:colOff>
      <xdr:row>98</xdr:row>
      <xdr:rowOff>22861</xdr:rowOff>
    </xdr:from>
    <xdr:to>
      <xdr:col>9</xdr:col>
      <xdr:colOff>419100</xdr:colOff>
      <xdr:row>103</xdr:row>
      <xdr:rowOff>76200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2CC52F5B-E216-433F-B0B0-D2BCE2349FF9}"/>
            </a:ext>
          </a:extLst>
        </xdr:cNvPr>
        <xdr:cNvSpPr txBox="1"/>
      </xdr:nvSpPr>
      <xdr:spPr>
        <a:xfrm>
          <a:off x="3686093" y="15857221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hladine významnosti alfa=0,05 možno konštatovať, že koeficient b2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nie</a:t>
          </a:r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statisticky vyznamny, t.j. samostatný vplyv faktora t2 na hodnotu transformovanej regresnej funkcie fLT(t1, t2, t3) nie je štatisticky významný, to znamená, že ho možno zanedbať.</a:t>
          </a:r>
          <a:endParaRPr lang="sk-SK">
            <a:effectLst/>
          </a:endParaRPr>
        </a:p>
        <a:p>
          <a:endParaRPr lang="sk-SK" sz="1100" b="1" kern="1200"/>
        </a:p>
      </xdr:txBody>
    </xdr:sp>
    <xdr:clientData/>
  </xdr:twoCellAnchor>
  <xdr:twoCellAnchor>
    <xdr:from>
      <xdr:col>10</xdr:col>
      <xdr:colOff>45720</xdr:colOff>
      <xdr:row>37</xdr:row>
      <xdr:rowOff>45720</xdr:rowOff>
    </xdr:from>
    <xdr:to>
      <xdr:col>15</xdr:col>
      <xdr:colOff>152400</xdr:colOff>
      <xdr:row>48</xdr:row>
      <xdr:rowOff>83820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E275691-FBDA-2214-3AA2-F6FE22D882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213360</xdr:colOff>
      <xdr:row>37</xdr:row>
      <xdr:rowOff>45720</xdr:rowOff>
    </xdr:from>
    <xdr:to>
      <xdr:col>20</xdr:col>
      <xdr:colOff>182880</xdr:colOff>
      <xdr:row>48</xdr:row>
      <xdr:rowOff>83820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66D83E3-15F7-E521-88ED-A7D0BB4AE9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510540</xdr:colOff>
      <xdr:row>49</xdr:row>
      <xdr:rowOff>99060</xdr:rowOff>
    </xdr:from>
    <xdr:to>
      <xdr:col>18</xdr:col>
      <xdr:colOff>152400</xdr:colOff>
      <xdr:row>60</xdr:row>
      <xdr:rowOff>68580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369E51F-EA3C-2FA2-9465-47DA611B6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89453</xdr:colOff>
      <xdr:row>111</xdr:row>
      <xdr:rowOff>22861</xdr:rowOff>
    </xdr:from>
    <xdr:to>
      <xdr:col>9</xdr:col>
      <xdr:colOff>419100</xdr:colOff>
      <xdr:row>116</xdr:row>
      <xdr:rowOff>76200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57E94D27-7BCB-4D7A-8C42-0279E2F7AA7D}"/>
            </a:ext>
          </a:extLst>
        </xdr:cNvPr>
        <xdr:cNvSpPr txBox="1"/>
      </xdr:nvSpPr>
      <xdr:spPr>
        <a:xfrm>
          <a:off x="3686093" y="18051781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hladine významnosti alfa=0,05 možno konštatovať, že koeficient b3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statisticky vyznamny, t.j. samostatný vplyv faktora t3 na hodnotu transformovanej regresnej funkcie fLT(t1, t2, t3)  je štatisticky významný, to znamená, že ho nemožno zanedbať.</a:t>
          </a:r>
          <a:endParaRPr lang="sk-SK">
            <a:effectLst/>
          </a:endParaRPr>
        </a:p>
        <a:p>
          <a:endParaRPr lang="sk-SK" sz="1100" b="1" kern="1200"/>
        </a:p>
      </xdr:txBody>
    </xdr:sp>
    <xdr:clientData/>
  </xdr:twoCellAnchor>
  <xdr:twoCellAnchor>
    <xdr:from>
      <xdr:col>5</xdr:col>
      <xdr:colOff>114300</xdr:colOff>
      <xdr:row>122</xdr:row>
      <xdr:rowOff>106680</xdr:rowOff>
    </xdr:from>
    <xdr:to>
      <xdr:col>10</xdr:col>
      <xdr:colOff>238207</xdr:colOff>
      <xdr:row>127</xdr:row>
      <xdr:rowOff>160019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5A128C35-BEC3-4754-B092-A5E504112232}"/>
            </a:ext>
          </a:extLst>
        </xdr:cNvPr>
        <xdr:cNvSpPr txBox="1"/>
      </xdr:nvSpPr>
      <xdr:spPr>
        <a:xfrm>
          <a:off x="4320540" y="22524720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b1 je statisticky vyznamny, t.j. samostatný vplyv faktora t1 na hodnotu transformovanej regresnej funkcie fLT(t1, t2, t3) je štatisticky významný, to znamená, že ho nemožno zanedbať.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358140</xdr:colOff>
      <xdr:row>34</xdr:row>
      <xdr:rowOff>72390</xdr:rowOff>
    </xdr:from>
    <xdr:to>
      <xdr:col>5</xdr:col>
      <xdr:colOff>236220</xdr:colOff>
      <xdr:row>43</xdr:row>
      <xdr:rowOff>99060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F4CF298-F30A-268D-107A-C340A155B5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441960</xdr:colOff>
      <xdr:row>34</xdr:row>
      <xdr:rowOff>72390</xdr:rowOff>
    </xdr:from>
    <xdr:to>
      <xdr:col>10</xdr:col>
      <xdr:colOff>236220</xdr:colOff>
      <xdr:row>43</xdr:row>
      <xdr:rowOff>114300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EECB9A3-F94B-1A39-39F4-55A144E9D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495300</xdr:colOff>
      <xdr:row>34</xdr:row>
      <xdr:rowOff>83820</xdr:rowOff>
    </xdr:from>
    <xdr:to>
      <xdr:col>16</xdr:col>
      <xdr:colOff>60960</xdr:colOff>
      <xdr:row>43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4AC60ECD-D936-E52D-D656-734DFF46E3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441960</xdr:colOff>
      <xdr:row>44</xdr:row>
      <xdr:rowOff>167640</xdr:rowOff>
    </xdr:from>
    <xdr:to>
      <xdr:col>5</xdr:col>
      <xdr:colOff>213360</xdr:colOff>
      <xdr:row>52</xdr:row>
      <xdr:rowOff>83820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D3F8D5D1-6A10-157E-B3FA-2CAD1A0C50CA}"/>
            </a:ext>
          </a:extLst>
        </xdr:cNvPr>
        <xdr:cNvSpPr txBox="1"/>
      </xdr:nvSpPr>
      <xdr:spPr>
        <a:xfrm>
          <a:off x="441960" y="8229600"/>
          <a:ext cx="2819400" cy="1379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Keď nastavíme efekt faktora</a:t>
          </a:r>
          <a:r>
            <a:rPr lang="sk-SK" sz="1100" kern="1200" baseline="0"/>
            <a:t> A - % uhlíka na hornú úroveň, odozva sa zvyšuje. </a:t>
          </a:r>
        </a:p>
        <a:p>
          <a:r>
            <a:rPr lang="sk-SK" sz="1100" kern="1200" baseline="0"/>
            <a:t>Z praxe: väčšie % uhlíka (C) v oceli - predpoklad vyššej pevnosti v ťahu.</a:t>
          </a:r>
          <a:endParaRPr lang="sk-SK" sz="1100" kern="1200"/>
        </a:p>
      </xdr:txBody>
    </xdr:sp>
    <xdr:clientData/>
  </xdr:twoCellAnchor>
  <xdr:twoCellAnchor>
    <xdr:from>
      <xdr:col>5</xdr:col>
      <xdr:colOff>541020</xdr:colOff>
      <xdr:row>45</xdr:row>
      <xdr:rowOff>0</xdr:rowOff>
    </xdr:from>
    <xdr:to>
      <xdr:col>10</xdr:col>
      <xdr:colOff>312420</xdr:colOff>
      <xdr:row>52</xdr:row>
      <xdr:rowOff>99060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4E105A8E-663F-457B-BB73-5ACC7133F3DB}"/>
            </a:ext>
          </a:extLst>
        </xdr:cNvPr>
        <xdr:cNvSpPr txBox="1"/>
      </xdr:nvSpPr>
      <xdr:spPr>
        <a:xfrm>
          <a:off x="3589020" y="8244840"/>
          <a:ext cx="2819400" cy="1379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Keď nastavíme</a:t>
          </a:r>
          <a:r>
            <a:rPr lang="sk-SK" sz="1100" kern="1200" baseline="0"/>
            <a:t> faktor B- teplota olova na hornú úroveň, odozva sa znižuje.</a:t>
          </a:r>
        </a:p>
        <a:p>
          <a:r>
            <a:rPr lang="sk-SK" sz="1100" kern="1200" baseline="0"/>
            <a:t>Z praxe: vyššia teplota oloveného kúpeľa - predpoklad nižšej pevnosti v ťahu.</a:t>
          </a:r>
          <a:endParaRPr lang="sk-SK" sz="1100" kern="1200"/>
        </a:p>
      </xdr:txBody>
    </xdr:sp>
    <xdr:clientData/>
  </xdr:twoCellAnchor>
  <xdr:twoCellAnchor>
    <xdr:from>
      <xdr:col>11</xdr:col>
      <xdr:colOff>15240</xdr:colOff>
      <xdr:row>45</xdr:row>
      <xdr:rowOff>0</xdr:rowOff>
    </xdr:from>
    <xdr:to>
      <xdr:col>15</xdr:col>
      <xdr:colOff>396240</xdr:colOff>
      <xdr:row>52</xdr:row>
      <xdr:rowOff>99060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10E44DC4-45FC-4EB1-B1E5-867680DC70FC}"/>
            </a:ext>
          </a:extLst>
        </xdr:cNvPr>
        <xdr:cNvSpPr txBox="1"/>
      </xdr:nvSpPr>
      <xdr:spPr>
        <a:xfrm>
          <a:off x="6720840" y="8244840"/>
          <a:ext cx="2819400" cy="1379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Keď nastavíme efekt fakrora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 - rýchlosť na hornú úroveň, odozva sa zvyšuje.</a:t>
          </a:r>
          <a:endParaRPr lang="sk-SK">
            <a:effectLst/>
          </a:endParaRPr>
        </a:p>
        <a:p>
          <a:r>
            <a:rPr lang="sk-SK" sz="1100" kern="1200"/>
            <a:t>Z praxe: vyššia rýchlosť,</a:t>
          </a:r>
          <a:r>
            <a:rPr lang="sk-SK" sz="1100" kern="1200" baseline="0"/>
            <a:t> respektivé predpisana - predpoklad dobrej/vyššej pevnosti v ťahu. </a:t>
          </a:r>
          <a:endParaRPr lang="sk-SK" sz="1100" kern="1200"/>
        </a:p>
      </xdr:txBody>
    </xdr:sp>
    <xdr:clientData/>
  </xdr:twoCellAnchor>
  <xdr:twoCellAnchor>
    <xdr:from>
      <xdr:col>7</xdr:col>
      <xdr:colOff>266700</xdr:colOff>
      <xdr:row>70</xdr:row>
      <xdr:rowOff>83820</xdr:rowOff>
    </xdr:from>
    <xdr:to>
      <xdr:col>11</xdr:col>
      <xdr:colOff>175260</xdr:colOff>
      <xdr:row>84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CA3B993-E63E-3029-1602-87E7C13B04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70</xdr:row>
      <xdr:rowOff>0</xdr:rowOff>
    </xdr:from>
    <xdr:to>
      <xdr:col>17</xdr:col>
      <xdr:colOff>91440</xdr:colOff>
      <xdr:row>83</xdr:row>
      <xdr:rowOff>99060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3FCA3DF-0030-4F59-A5CC-D51E234DA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601980</xdr:colOff>
      <xdr:row>97</xdr:row>
      <xdr:rowOff>156210</xdr:rowOff>
    </xdr:from>
    <xdr:to>
      <xdr:col>12</xdr:col>
      <xdr:colOff>121920</xdr:colOff>
      <xdr:row>109</xdr:row>
      <xdr:rowOff>114300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7EA2BF1B-B044-8557-AD2B-F9916E1A53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106680</xdr:colOff>
      <xdr:row>97</xdr:row>
      <xdr:rowOff>175260</xdr:rowOff>
    </xdr:from>
    <xdr:to>
      <xdr:col>18</xdr:col>
      <xdr:colOff>167640</xdr:colOff>
      <xdr:row>109</xdr:row>
      <xdr:rowOff>152400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E9BCFE0B-1B9D-4774-81DC-3E1229851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480060</xdr:colOff>
      <xdr:row>127</xdr:row>
      <xdr:rowOff>41910</xdr:rowOff>
    </xdr:from>
    <xdr:to>
      <xdr:col>12</xdr:col>
      <xdr:colOff>403860</xdr:colOff>
      <xdr:row>140</xdr:row>
      <xdr:rowOff>53340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EB951C37-953F-EAD3-9245-890C0F2DE4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548640</xdr:colOff>
      <xdr:row>127</xdr:row>
      <xdr:rowOff>0</xdr:rowOff>
    </xdr:from>
    <xdr:to>
      <xdr:col>19</xdr:col>
      <xdr:colOff>266700</xdr:colOff>
      <xdr:row>140</xdr:row>
      <xdr:rowOff>76200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943B8D59-630C-4672-818A-804793638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342900</xdr:colOff>
      <xdr:row>85</xdr:row>
      <xdr:rowOff>76200</xdr:rowOff>
    </xdr:from>
    <xdr:to>
      <xdr:col>11</xdr:col>
      <xdr:colOff>236220</xdr:colOff>
      <xdr:row>91</xdr:row>
      <xdr:rowOff>45720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A60C9A4B-8845-4872-4BA3-62D27965461D}"/>
            </a:ext>
          </a:extLst>
        </xdr:cNvPr>
        <xdr:cNvSpPr txBox="1"/>
      </xdr:nvSpPr>
      <xdr:spPr>
        <a:xfrm>
          <a:off x="5074920" y="15674340"/>
          <a:ext cx="3429000" cy="1066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Interakcia faktorov</a:t>
          </a:r>
          <a:r>
            <a:rPr lang="sk-SK" sz="1100" kern="1200" baseline="0"/>
            <a:t> obsahu uhlíka a rýchlosti je prítomná. Interakcia medzi jednotlivými faktormi je malá.</a:t>
          </a:r>
        </a:p>
        <a:p>
          <a:r>
            <a:rPr lang="sk-SK" sz="1100" kern="1200" baseline="0"/>
            <a:t>Úsečky nie sú rovnobežné. 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Hlavný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efekt faktora A je kladný.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maximalizáciu odozvy dávame oba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faktory na hornú úroveň.</a:t>
          </a:r>
          <a:endParaRPr lang="sk-SK" sz="1100" kern="1200"/>
        </a:p>
      </xdr:txBody>
    </xdr:sp>
    <xdr:clientData/>
  </xdr:twoCellAnchor>
  <xdr:twoCellAnchor>
    <xdr:from>
      <xdr:col>12</xdr:col>
      <xdr:colOff>205740</xdr:colOff>
      <xdr:row>85</xdr:row>
      <xdr:rowOff>60960</xdr:rowOff>
    </xdr:from>
    <xdr:to>
      <xdr:col>16</xdr:col>
      <xdr:colOff>541020</xdr:colOff>
      <xdr:row>89</xdr:row>
      <xdr:rowOff>76200</xdr:rowOff>
    </xdr:to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57E11E06-975E-4AEA-8FC8-80E85ABB27A6}"/>
            </a:ext>
          </a:extLst>
        </xdr:cNvPr>
        <xdr:cNvSpPr txBox="1"/>
      </xdr:nvSpPr>
      <xdr:spPr>
        <a:xfrm>
          <a:off x="9083040" y="15659100"/>
          <a:ext cx="2987040" cy="7467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Interakcia faktorov obsah</a:t>
          </a:r>
          <a:r>
            <a:rPr lang="sk-SK" sz="1100" kern="1200" baseline="0"/>
            <a:t>u uh</a:t>
          </a:r>
          <a:r>
            <a:rPr lang="sk-SK" sz="1100" kern="1200"/>
            <a:t>líka a rýchlosti nie je. Úsečky</a:t>
          </a:r>
          <a:r>
            <a:rPr lang="sk-SK" sz="1100" kern="1200" baseline="0"/>
            <a:t> sú rovnobežné, interakcia neexistuje.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Hlavný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efekt faktora A je kladný.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maximalizáciu odozvy dávame oba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faktory na hornú úroveň.</a:t>
          </a:r>
          <a:endParaRPr lang="sk-SK" sz="1100" kern="1200"/>
        </a:p>
      </xdr:txBody>
    </xdr:sp>
    <xdr:clientData/>
  </xdr:twoCellAnchor>
  <xdr:twoCellAnchor>
    <xdr:from>
      <xdr:col>8</xdr:col>
      <xdr:colOff>167640</xdr:colOff>
      <xdr:row>111</xdr:row>
      <xdr:rowOff>129540</xdr:rowOff>
    </xdr:from>
    <xdr:to>
      <xdr:col>11</xdr:col>
      <xdr:colOff>449580</xdr:colOff>
      <xdr:row>115</xdr:row>
      <xdr:rowOff>68580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0869CF98-31BD-49F5-9BE5-B47F59655B3A}"/>
            </a:ext>
          </a:extLst>
        </xdr:cNvPr>
        <xdr:cNvSpPr txBox="1"/>
      </xdr:nvSpPr>
      <xdr:spPr>
        <a:xfrm>
          <a:off x="5509260" y="20482560"/>
          <a:ext cx="3208020" cy="670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Interakcia medzi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obsahom uhlíka a teplotou olova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 prítomná.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Interakcia medzi faktormi je malá. Úsečky nie sú rovnobežné. Hlavný efekt faktora A je nulový.</a:t>
          </a:r>
          <a:endParaRPr lang="sk-SK" sz="1100" kern="1200"/>
        </a:p>
      </xdr:txBody>
    </xdr:sp>
    <xdr:clientData/>
  </xdr:twoCellAnchor>
  <xdr:twoCellAnchor>
    <xdr:from>
      <xdr:col>13</xdr:col>
      <xdr:colOff>274320</xdr:colOff>
      <xdr:row>111</xdr:row>
      <xdr:rowOff>7620</xdr:rowOff>
    </xdr:from>
    <xdr:to>
      <xdr:col>17</xdr:col>
      <xdr:colOff>563880</xdr:colOff>
      <xdr:row>116</xdr:row>
      <xdr:rowOff>83820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CA5D0FAE-58EA-4BAA-9BEF-D54B34851CCE}"/>
            </a:ext>
          </a:extLst>
        </xdr:cNvPr>
        <xdr:cNvSpPr txBox="1"/>
      </xdr:nvSpPr>
      <xdr:spPr>
        <a:xfrm>
          <a:off x="9761220" y="20360640"/>
          <a:ext cx="294132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Interakcia obsahom uhlíka a teplotou olova</a:t>
          </a:r>
          <a:r>
            <a:rPr lang="sk-SK" sz="1100" kern="1200" baseline="0"/>
            <a:t> </a:t>
          </a:r>
          <a:r>
            <a:rPr lang="sk-SK" sz="1100" kern="1200"/>
            <a:t>je prítomná.</a:t>
          </a:r>
          <a:r>
            <a:rPr lang="sk-SK" sz="1100" kern="1200" baseline="0"/>
            <a:t> Úsečky nie sú rovnobežné. Interakcia medzi faktormi je malá.  Hlavný efekt faktora B je záporný.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maximalizáciu odozvy volíme oba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faktory na dolnú úroveň.</a:t>
          </a:r>
          <a:endParaRPr lang="sk-SK" sz="1100" kern="1200"/>
        </a:p>
      </xdr:txBody>
    </xdr:sp>
    <xdr:clientData/>
  </xdr:twoCellAnchor>
  <xdr:twoCellAnchor>
    <xdr:from>
      <xdr:col>8</xdr:col>
      <xdr:colOff>137160</xdr:colOff>
      <xdr:row>141</xdr:row>
      <xdr:rowOff>38100</xdr:rowOff>
    </xdr:from>
    <xdr:to>
      <xdr:col>12</xdr:col>
      <xdr:colOff>106680</xdr:colOff>
      <xdr:row>144</xdr:row>
      <xdr:rowOff>91440</xdr:rowOff>
    </xdr:to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0251F0BD-DB2D-489A-A2CF-30A4AC672CE9}"/>
            </a:ext>
          </a:extLst>
        </xdr:cNvPr>
        <xdr:cNvSpPr txBox="1"/>
      </xdr:nvSpPr>
      <xdr:spPr>
        <a:xfrm>
          <a:off x="5478780" y="25877520"/>
          <a:ext cx="3505200" cy="601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Interakcia faktorov teploty olova a rýchlosti je malá. Úsečky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nie sú rovnobežné. Hlavný efekt faktora A je nulový.</a:t>
          </a:r>
          <a:endParaRPr lang="sk-SK">
            <a:effectLst/>
          </a:endParaRPr>
        </a:p>
        <a:p>
          <a:endParaRPr lang="sk-SK" sz="1100" kern="1200"/>
        </a:p>
      </xdr:txBody>
    </xdr:sp>
    <xdr:clientData/>
  </xdr:twoCellAnchor>
  <xdr:twoCellAnchor>
    <xdr:from>
      <xdr:col>13</xdr:col>
      <xdr:colOff>739140</xdr:colOff>
      <xdr:row>141</xdr:row>
      <xdr:rowOff>22860</xdr:rowOff>
    </xdr:from>
    <xdr:to>
      <xdr:col>18</xdr:col>
      <xdr:colOff>495300</xdr:colOff>
      <xdr:row>145</xdr:row>
      <xdr:rowOff>175260</xdr:rowOff>
    </xdr:to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AB153123-409C-44BF-BE04-6790A17F12F0}"/>
            </a:ext>
          </a:extLst>
        </xdr:cNvPr>
        <xdr:cNvSpPr txBox="1"/>
      </xdr:nvSpPr>
      <xdr:spPr>
        <a:xfrm>
          <a:off x="10226040" y="25862280"/>
          <a:ext cx="3017520" cy="883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kern="1200"/>
            <a:t>Interakcia faktorov teploty olova a rýchlosti nie je, úsečky sú rovnobežné. </a:t>
          </a:r>
          <a:r>
            <a:rPr lang="sk-SK" sz="11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nterakcia neexistuje.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Hlavný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efekt faktora A je kladný.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maximalizáciu odozvy dávame oba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faktory na hornú úroveň.</a:t>
          </a:r>
          <a:endParaRPr lang="sk-SK" sz="1100" kern="1200"/>
        </a:p>
      </xdr:txBody>
    </xdr:sp>
    <xdr:clientData/>
  </xdr:twoCellAnchor>
  <xdr:twoCellAnchor>
    <xdr:from>
      <xdr:col>11</xdr:col>
      <xdr:colOff>160020</xdr:colOff>
      <xdr:row>8</xdr:row>
      <xdr:rowOff>7620</xdr:rowOff>
    </xdr:from>
    <xdr:to>
      <xdr:col>17</xdr:col>
      <xdr:colOff>9607</xdr:colOff>
      <xdr:row>13</xdr:row>
      <xdr:rowOff>60959</xdr:rowOff>
    </xdr:to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28F5BAA4-1DCD-42A6-9DDC-17A82B0F4B1E}"/>
            </a:ext>
          </a:extLst>
        </xdr:cNvPr>
        <xdr:cNvSpPr txBox="1"/>
      </xdr:nvSpPr>
      <xdr:spPr>
        <a:xfrm>
          <a:off x="7962900" y="1485900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b12  je statisticky vyznamny, t.j. spoločny</a:t>
          </a:r>
          <a:r>
            <a:rPr lang="sk-SK" sz="1100" b="1" kern="1200" baseline="0"/>
            <a:t> vplyv</a:t>
          </a:r>
          <a:r>
            <a:rPr lang="sk-SK" sz="1100" b="1" kern="1200"/>
            <a:t> faktorov t1 a t2 na hodnotu transformovanej regresnej funkcie fLT(t1, t2, t3)  je štatisticky významný, to znamená, že ho nemožno zanedbať.</a:t>
          </a:r>
        </a:p>
      </xdr:txBody>
    </xdr:sp>
    <xdr:clientData/>
  </xdr:twoCellAnchor>
  <xdr:twoCellAnchor>
    <xdr:from>
      <xdr:col>20</xdr:col>
      <xdr:colOff>160020</xdr:colOff>
      <xdr:row>8</xdr:row>
      <xdr:rowOff>7620</xdr:rowOff>
    </xdr:from>
    <xdr:to>
      <xdr:col>26</xdr:col>
      <xdr:colOff>9607</xdr:colOff>
      <xdr:row>13</xdr:row>
      <xdr:rowOff>60959</xdr:rowOff>
    </xdr:to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0CAB8FE9-FB62-46D6-B525-A9B61258168D}"/>
            </a:ext>
          </a:extLst>
        </xdr:cNvPr>
        <xdr:cNvSpPr txBox="1"/>
      </xdr:nvSpPr>
      <xdr:spPr>
        <a:xfrm>
          <a:off x="7962900" y="1485900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b13 </a:t>
          </a:r>
          <a:r>
            <a:rPr lang="sk-SK" sz="1100" b="1" kern="1200" baseline="0"/>
            <a:t> nie </a:t>
          </a:r>
          <a:r>
            <a:rPr lang="sk-SK" sz="1100" b="1" kern="1200"/>
            <a:t>je statisticky vyznamny, t.j. spoločny</a:t>
          </a:r>
          <a:r>
            <a:rPr lang="sk-SK" sz="1100" b="1" kern="1200" baseline="0"/>
            <a:t> vplyv</a:t>
          </a:r>
          <a:r>
            <a:rPr lang="sk-SK" sz="1100" b="1" kern="1200"/>
            <a:t> faktorov t1 a t3 na hodnotu transformovanej regresnej funkcie fLT(t1, t2, t3) nie je štatisticky významný, to znamená, že ho možno zanedbať.</a:t>
          </a:r>
        </a:p>
      </xdr:txBody>
    </xdr:sp>
    <xdr:clientData/>
  </xdr:twoCellAnchor>
  <xdr:twoCellAnchor>
    <xdr:from>
      <xdr:col>29</xdr:col>
      <xdr:colOff>160020</xdr:colOff>
      <xdr:row>8</xdr:row>
      <xdr:rowOff>7620</xdr:rowOff>
    </xdr:from>
    <xdr:to>
      <xdr:col>35</xdr:col>
      <xdr:colOff>9607</xdr:colOff>
      <xdr:row>13</xdr:row>
      <xdr:rowOff>60959</xdr:rowOff>
    </xdr:to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70934063-4D40-4440-A60A-EB91DEC7A05C}"/>
            </a:ext>
          </a:extLst>
        </xdr:cNvPr>
        <xdr:cNvSpPr txBox="1"/>
      </xdr:nvSpPr>
      <xdr:spPr>
        <a:xfrm>
          <a:off x="7962900" y="1485900"/>
          <a:ext cx="372054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b23 nie je statisticky vyznamny, t.j. spoločny</a:t>
          </a:r>
          <a:r>
            <a:rPr lang="sk-SK" sz="1100" b="1" kern="1200" baseline="0"/>
            <a:t> vplyv</a:t>
          </a:r>
          <a:r>
            <a:rPr lang="sk-SK" sz="1100" b="1" kern="1200"/>
            <a:t> faktorov t2 a t3 na hodnotu transformovanej regresnej funkcie fLT(t1, t2, t3)  nie je štatisticky významný, to znamená, že ho možno zanedbať.</a:t>
          </a:r>
        </a:p>
      </xdr:txBody>
    </xdr:sp>
    <xdr:clientData/>
  </xdr:twoCellAnchor>
  <xdr:twoCellAnchor>
    <xdr:from>
      <xdr:col>38</xdr:col>
      <xdr:colOff>160020</xdr:colOff>
      <xdr:row>8</xdr:row>
      <xdr:rowOff>7620</xdr:rowOff>
    </xdr:from>
    <xdr:to>
      <xdr:col>44</xdr:col>
      <xdr:colOff>9607</xdr:colOff>
      <xdr:row>13</xdr:row>
      <xdr:rowOff>60959</xdr:rowOff>
    </xdr:to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3C31B9A6-F7D6-4234-A489-F5D39B3680BF}"/>
            </a:ext>
          </a:extLst>
        </xdr:cNvPr>
        <xdr:cNvSpPr txBox="1"/>
      </xdr:nvSpPr>
      <xdr:spPr>
        <a:xfrm>
          <a:off x="19354800" y="1485900"/>
          <a:ext cx="3651967" cy="967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 kern="1200"/>
            <a:t>Na hladine významnosti alfa=0,05 možno konštatovať, že koeficient b123 nie je statisticky vyznamny, t.j. spoločny</a:t>
          </a:r>
          <a:r>
            <a:rPr lang="sk-SK" sz="1100" b="1" kern="1200" baseline="0"/>
            <a:t> vplyv</a:t>
          </a:r>
          <a:r>
            <a:rPr lang="sk-SK" sz="1100" b="1" kern="1200"/>
            <a:t> faktorov t1, t2 a t3 na hodnotu transformovanej regresnej funkcie fLT(t1, t2, t3)  nie je štatisticky významný, to znamená, že ho možno zanedbať.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3"/>
  <sheetViews>
    <sheetView tabSelected="1" zoomScaleNormal="100" workbookViewId="0">
      <selection activeCell="AE31" sqref="AE31"/>
    </sheetView>
  </sheetViews>
  <sheetFormatPr defaultRowHeight="14.25"/>
  <cols>
    <col min="2" max="2" width="17.125" customWidth="1"/>
    <col min="3" max="3" width="12.5" bestFit="1" customWidth="1"/>
    <col min="4" max="4" width="15.75" customWidth="1"/>
    <col min="5" max="5" width="11.875" customWidth="1"/>
    <col min="6" max="6" width="15.625" customWidth="1"/>
    <col min="7" max="7" width="15.125" customWidth="1"/>
    <col min="8" max="8" width="15.375" customWidth="1"/>
    <col min="9" max="9" width="13" customWidth="1"/>
    <col min="10" max="10" width="15.5" customWidth="1"/>
    <col min="11" max="11" width="17.5" customWidth="1"/>
    <col min="13" max="13" width="8.875" customWidth="1"/>
  </cols>
  <sheetData>
    <row r="1" spans="8:14" ht="15.75">
      <c r="H1" s="109" t="s">
        <v>0</v>
      </c>
      <c r="I1" s="109"/>
      <c r="J1" s="109"/>
      <c r="K1" s="109"/>
      <c r="L1" s="109"/>
      <c r="M1" s="109"/>
      <c r="N1" s="109"/>
    </row>
    <row r="2" spans="8:14" ht="14.45" customHeight="1">
      <c r="H2" s="110" t="s">
        <v>240</v>
      </c>
      <c r="I2" s="110"/>
      <c r="J2" s="110"/>
      <c r="K2" s="110"/>
      <c r="L2" s="110"/>
      <c r="M2" s="110"/>
      <c r="N2" s="110"/>
    </row>
    <row r="3" spans="8:14">
      <c r="H3" s="111"/>
      <c r="I3" s="111"/>
      <c r="J3" s="111"/>
      <c r="K3" s="111"/>
      <c r="L3" s="111"/>
      <c r="M3" s="111"/>
      <c r="N3" s="111"/>
    </row>
    <row r="4" spans="8:14">
      <c r="H4" s="111"/>
      <c r="I4" s="111"/>
      <c r="J4" s="111"/>
      <c r="K4" s="111"/>
      <c r="L4" s="111"/>
      <c r="M4" s="111"/>
      <c r="N4" s="111"/>
    </row>
    <row r="5" spans="8:14">
      <c r="H5" s="111"/>
      <c r="I5" s="111"/>
      <c r="J5" s="111"/>
      <c r="K5" s="111"/>
      <c r="L5" s="111"/>
      <c r="M5" s="111"/>
      <c r="N5" s="111"/>
    </row>
    <row r="6" spans="8:14">
      <c r="H6" s="111"/>
      <c r="I6" s="111"/>
      <c r="J6" s="111"/>
      <c r="K6" s="111"/>
      <c r="L6" s="111"/>
      <c r="M6" s="111"/>
      <c r="N6" s="111"/>
    </row>
    <row r="7" spans="8:14">
      <c r="H7" s="111"/>
      <c r="I7" s="111"/>
      <c r="J7" s="111"/>
      <c r="K7" s="111"/>
      <c r="L7" s="111"/>
      <c r="M7" s="111"/>
      <c r="N7" s="111"/>
    </row>
    <row r="8" spans="8:14">
      <c r="H8" s="111"/>
      <c r="I8" s="111"/>
      <c r="J8" s="111"/>
      <c r="K8" s="111"/>
      <c r="L8" s="111"/>
      <c r="M8" s="111"/>
      <c r="N8" s="111"/>
    </row>
    <row r="9" spans="8:14">
      <c r="H9" s="111"/>
      <c r="I9" s="111"/>
      <c r="J9" s="111"/>
      <c r="K9" s="111"/>
      <c r="L9" s="111"/>
      <c r="M9" s="111"/>
      <c r="N9" s="111"/>
    </row>
    <row r="10" spans="8:14">
      <c r="H10" s="111"/>
      <c r="I10" s="111"/>
      <c r="J10" s="111"/>
      <c r="K10" s="111"/>
      <c r="L10" s="111"/>
      <c r="M10" s="111"/>
      <c r="N10" s="111"/>
    </row>
    <row r="11" spans="8:14">
      <c r="H11" s="111"/>
      <c r="I11" s="111"/>
      <c r="J11" s="111"/>
      <c r="K11" s="111"/>
      <c r="L11" s="111"/>
      <c r="M11" s="111"/>
      <c r="N11" s="111"/>
    </row>
    <row r="13" spans="8:14" ht="15">
      <c r="I13" s="5" t="s">
        <v>11</v>
      </c>
      <c r="J13" s="1" t="s">
        <v>15</v>
      </c>
      <c r="K13" t="s">
        <v>22</v>
      </c>
      <c r="L13" t="s">
        <v>14</v>
      </c>
    </row>
    <row r="14" spans="8:14" ht="15">
      <c r="I14" s="5" t="s">
        <v>12</v>
      </c>
      <c r="J14" s="1" t="s">
        <v>16</v>
      </c>
      <c r="K14" t="s">
        <v>23</v>
      </c>
      <c r="L14" t="s">
        <v>20</v>
      </c>
    </row>
    <row r="15" spans="8:14" ht="15">
      <c r="I15" s="5" t="s">
        <v>13</v>
      </c>
      <c r="J15" s="1" t="s">
        <v>181</v>
      </c>
      <c r="K15" t="s">
        <v>24</v>
      </c>
      <c r="L15" t="s">
        <v>17</v>
      </c>
    </row>
    <row r="16" spans="8:14">
      <c r="I16" s="4"/>
      <c r="J16" s="4" t="s">
        <v>19</v>
      </c>
      <c r="K16" t="s">
        <v>25</v>
      </c>
      <c r="L16" t="s">
        <v>18</v>
      </c>
    </row>
    <row r="18" spans="1:20" ht="15.75" thickBot="1">
      <c r="H18" s="22" t="s">
        <v>1</v>
      </c>
      <c r="I18" s="3"/>
      <c r="J18" s="2"/>
      <c r="K18" s="2"/>
      <c r="L18" s="2"/>
    </row>
    <row r="19" spans="1:20" ht="15">
      <c r="H19" s="15"/>
      <c r="I19" s="9" t="s">
        <v>2</v>
      </c>
      <c r="J19" s="9" t="s">
        <v>3</v>
      </c>
      <c r="K19" s="9" t="s">
        <v>4</v>
      </c>
      <c r="L19" s="10" t="s">
        <v>5</v>
      </c>
      <c r="N19" s="8" t="s">
        <v>6</v>
      </c>
      <c r="O19" s="9" t="s">
        <v>7</v>
      </c>
      <c r="P19" s="9" t="s">
        <v>8</v>
      </c>
      <c r="Q19" s="10" t="s">
        <v>5</v>
      </c>
      <c r="S19" s="20" t="s">
        <v>9</v>
      </c>
      <c r="T19" s="21" t="s">
        <v>10</v>
      </c>
    </row>
    <row r="20" spans="1:20" ht="15">
      <c r="A20">
        <v>1</v>
      </c>
      <c r="H20" s="16">
        <v>1</v>
      </c>
      <c r="I20" s="7">
        <v>80</v>
      </c>
      <c r="J20" s="7">
        <v>560</v>
      </c>
      <c r="K20" s="7">
        <v>28</v>
      </c>
      <c r="L20" s="17">
        <v>1317.1</v>
      </c>
      <c r="N20" s="11">
        <f>(I20-$S$20)/$T$20</f>
        <v>-1</v>
      </c>
      <c r="O20" s="7">
        <f>(J20-$S$21)/$T$21</f>
        <v>-1</v>
      </c>
      <c r="P20" s="7">
        <f>(K20-$S$22)/$T$22</f>
        <v>-1</v>
      </c>
      <c r="Q20" s="17">
        <v>1317.1</v>
      </c>
      <c r="S20" s="11">
        <f>AVERAGE(80,85)</f>
        <v>82.5</v>
      </c>
      <c r="T20" s="17">
        <f>(85-80)/2</f>
        <v>2.5</v>
      </c>
    </row>
    <row r="21" spans="1:20" ht="15">
      <c r="H21" s="16">
        <v>2</v>
      </c>
      <c r="I21" s="7">
        <v>80</v>
      </c>
      <c r="J21" s="7">
        <v>560</v>
      </c>
      <c r="K21" s="7">
        <v>31</v>
      </c>
      <c r="L21" s="17">
        <v>1332.9</v>
      </c>
      <c r="N21" s="11">
        <f t="shared" ref="N21:N35" si="0">(I21-$S$20)/$T$20</f>
        <v>-1</v>
      </c>
      <c r="O21" s="7">
        <f t="shared" ref="O21:O35" si="1">(J21-$S$21)/$T$21</f>
        <v>-1</v>
      </c>
      <c r="P21" s="7">
        <f t="shared" ref="P21:P35" si="2">(K21-$S$22)/$T$22</f>
        <v>1</v>
      </c>
      <c r="Q21" s="17">
        <v>1332.9</v>
      </c>
      <c r="S21" s="11">
        <f>AVERAGE(560,570)</f>
        <v>565</v>
      </c>
      <c r="T21" s="17">
        <f>(570-560)/2</f>
        <v>5</v>
      </c>
    </row>
    <row r="22" spans="1:20" ht="15.75" thickBot="1">
      <c r="H22" s="16">
        <v>3</v>
      </c>
      <c r="I22" s="7">
        <v>80</v>
      </c>
      <c r="J22" s="7">
        <v>570</v>
      </c>
      <c r="K22" s="7">
        <v>31</v>
      </c>
      <c r="L22" s="17">
        <v>1319.2</v>
      </c>
      <c r="N22" s="11">
        <f t="shared" si="0"/>
        <v>-1</v>
      </c>
      <c r="O22" s="7">
        <f t="shared" si="1"/>
        <v>1</v>
      </c>
      <c r="P22" s="7">
        <f t="shared" si="2"/>
        <v>1</v>
      </c>
      <c r="Q22" s="17">
        <v>1319.2</v>
      </c>
      <c r="S22" s="12">
        <f>AVERAGE(28,31)</f>
        <v>29.5</v>
      </c>
      <c r="T22" s="19">
        <f>(31-28)/2</f>
        <v>1.5</v>
      </c>
    </row>
    <row r="23" spans="1:20" ht="15">
      <c r="H23" s="16">
        <v>4</v>
      </c>
      <c r="I23" s="7">
        <v>85</v>
      </c>
      <c r="J23" s="7">
        <v>570</v>
      </c>
      <c r="K23" s="7">
        <v>31</v>
      </c>
      <c r="L23" s="17">
        <v>1378.6</v>
      </c>
      <c r="N23" s="11">
        <f t="shared" si="0"/>
        <v>1</v>
      </c>
      <c r="O23" s="7">
        <f t="shared" si="1"/>
        <v>1</v>
      </c>
      <c r="P23" s="7">
        <f t="shared" si="2"/>
        <v>1</v>
      </c>
      <c r="Q23" s="17">
        <v>1378.6</v>
      </c>
    </row>
    <row r="24" spans="1:20" ht="15">
      <c r="H24" s="16">
        <v>5</v>
      </c>
      <c r="I24" s="7">
        <v>85</v>
      </c>
      <c r="J24" s="7">
        <v>560</v>
      </c>
      <c r="K24" s="7">
        <v>31</v>
      </c>
      <c r="L24" s="17">
        <v>1412.6</v>
      </c>
      <c r="N24" s="11">
        <f t="shared" si="0"/>
        <v>1</v>
      </c>
      <c r="O24" s="7">
        <f t="shared" si="1"/>
        <v>-1</v>
      </c>
      <c r="P24" s="7">
        <f t="shared" si="2"/>
        <v>1</v>
      </c>
      <c r="Q24" s="17">
        <v>1412.6</v>
      </c>
    </row>
    <row r="25" spans="1:20" ht="15">
      <c r="H25" s="16">
        <v>6</v>
      </c>
      <c r="I25" s="7">
        <v>80</v>
      </c>
      <c r="J25" s="7">
        <v>570</v>
      </c>
      <c r="K25" s="7">
        <v>31</v>
      </c>
      <c r="L25" s="17">
        <v>1320.6</v>
      </c>
      <c r="N25" s="11">
        <f t="shared" si="0"/>
        <v>-1</v>
      </c>
      <c r="O25" s="7">
        <f t="shared" si="1"/>
        <v>1</v>
      </c>
      <c r="P25" s="7">
        <f t="shared" si="2"/>
        <v>1</v>
      </c>
      <c r="Q25" s="17">
        <v>1320.6</v>
      </c>
    </row>
    <row r="26" spans="1:20" ht="15">
      <c r="H26" s="16">
        <v>7</v>
      </c>
      <c r="I26" s="7">
        <v>85</v>
      </c>
      <c r="J26" s="7">
        <v>560</v>
      </c>
      <c r="K26" s="7">
        <v>31</v>
      </c>
      <c r="L26" s="17">
        <v>1406.7</v>
      </c>
      <c r="N26" s="11">
        <f t="shared" si="0"/>
        <v>1</v>
      </c>
      <c r="O26" s="7">
        <f t="shared" si="1"/>
        <v>-1</v>
      </c>
      <c r="P26" s="7">
        <f t="shared" si="2"/>
        <v>1</v>
      </c>
      <c r="Q26" s="17">
        <v>1406.7</v>
      </c>
    </row>
    <row r="27" spans="1:20" ht="15">
      <c r="H27" s="16">
        <v>8</v>
      </c>
      <c r="I27" s="7">
        <v>80</v>
      </c>
      <c r="J27" s="7">
        <v>560</v>
      </c>
      <c r="K27" s="7">
        <v>31</v>
      </c>
      <c r="L27" s="17">
        <v>1330.9</v>
      </c>
      <c r="N27" s="11">
        <f t="shared" si="0"/>
        <v>-1</v>
      </c>
      <c r="O27" s="7">
        <f t="shared" si="1"/>
        <v>-1</v>
      </c>
      <c r="P27" s="7">
        <f t="shared" si="2"/>
        <v>1</v>
      </c>
      <c r="Q27" s="17">
        <v>1330.9</v>
      </c>
    </row>
    <row r="28" spans="1:20" ht="15">
      <c r="H28" s="16">
        <v>9</v>
      </c>
      <c r="I28" s="7">
        <v>85</v>
      </c>
      <c r="J28" s="7">
        <v>570</v>
      </c>
      <c r="K28" s="7">
        <v>31</v>
      </c>
      <c r="L28" s="17">
        <v>1375.2</v>
      </c>
      <c r="N28" s="11">
        <f t="shared" si="0"/>
        <v>1</v>
      </c>
      <c r="O28" s="7">
        <f t="shared" si="1"/>
        <v>1</v>
      </c>
      <c r="P28" s="7">
        <f t="shared" si="2"/>
        <v>1</v>
      </c>
      <c r="Q28" s="17">
        <v>1375.2</v>
      </c>
    </row>
    <row r="29" spans="1:20" ht="15">
      <c r="H29" s="16">
        <v>10</v>
      </c>
      <c r="I29" s="7">
        <v>80</v>
      </c>
      <c r="J29" s="7">
        <v>560</v>
      </c>
      <c r="K29" s="7">
        <v>28</v>
      </c>
      <c r="L29" s="17">
        <v>1315.1</v>
      </c>
      <c r="N29" s="11">
        <f>(I29-$S$20)/$T$20</f>
        <v>-1</v>
      </c>
      <c r="O29" s="7">
        <f t="shared" si="1"/>
        <v>-1</v>
      </c>
      <c r="P29" s="7">
        <f t="shared" si="2"/>
        <v>-1</v>
      </c>
      <c r="Q29" s="17">
        <v>1315.1</v>
      </c>
    </row>
    <row r="30" spans="1:20" ht="15">
      <c r="H30" s="16">
        <v>11</v>
      </c>
      <c r="I30" s="7">
        <v>85</v>
      </c>
      <c r="J30" s="7">
        <v>560</v>
      </c>
      <c r="K30" s="7">
        <v>28</v>
      </c>
      <c r="L30" s="17">
        <v>1403.2</v>
      </c>
      <c r="N30" s="11">
        <f t="shared" si="0"/>
        <v>1</v>
      </c>
      <c r="O30" s="7">
        <f t="shared" si="1"/>
        <v>-1</v>
      </c>
      <c r="P30" s="7">
        <f t="shared" si="2"/>
        <v>-1</v>
      </c>
      <c r="Q30" s="17">
        <v>1403.2</v>
      </c>
    </row>
    <row r="31" spans="1:20" ht="15">
      <c r="H31" s="16">
        <v>12</v>
      </c>
      <c r="I31" s="7">
        <v>85</v>
      </c>
      <c r="J31" s="7">
        <v>570</v>
      </c>
      <c r="K31" s="7">
        <v>28</v>
      </c>
      <c r="L31" s="17">
        <v>1363.3</v>
      </c>
      <c r="N31" s="11">
        <f t="shared" si="0"/>
        <v>1</v>
      </c>
      <c r="O31" s="7">
        <f t="shared" si="1"/>
        <v>1</v>
      </c>
      <c r="P31" s="7">
        <f t="shared" si="2"/>
        <v>-1</v>
      </c>
      <c r="Q31" s="17">
        <v>1363.3</v>
      </c>
    </row>
    <row r="32" spans="1:20" ht="15">
      <c r="H32" s="16">
        <v>13</v>
      </c>
      <c r="I32" s="7">
        <v>85</v>
      </c>
      <c r="J32" s="7">
        <v>560</v>
      </c>
      <c r="K32" s="7">
        <v>28</v>
      </c>
      <c r="L32" s="17">
        <v>1393.6</v>
      </c>
      <c r="N32" s="11">
        <f t="shared" si="0"/>
        <v>1</v>
      </c>
      <c r="O32" s="7">
        <f t="shared" si="1"/>
        <v>-1</v>
      </c>
      <c r="P32" s="7">
        <f t="shared" si="2"/>
        <v>-1</v>
      </c>
      <c r="Q32" s="17">
        <v>1393.6</v>
      </c>
    </row>
    <row r="33" spans="2:17" ht="15">
      <c r="H33" s="16">
        <v>14</v>
      </c>
      <c r="I33" s="7">
        <v>80</v>
      </c>
      <c r="J33" s="7">
        <v>570</v>
      </c>
      <c r="K33" s="7">
        <v>28</v>
      </c>
      <c r="L33" s="17">
        <v>1312.3</v>
      </c>
      <c r="N33" s="11">
        <f t="shared" si="0"/>
        <v>-1</v>
      </c>
      <c r="O33" s="7">
        <f t="shared" si="1"/>
        <v>1</v>
      </c>
      <c r="P33" s="7">
        <f t="shared" si="2"/>
        <v>-1</v>
      </c>
      <c r="Q33" s="17">
        <v>1312.3</v>
      </c>
    </row>
    <row r="34" spans="2:17" ht="15">
      <c r="H34" s="16">
        <v>15</v>
      </c>
      <c r="I34" s="7">
        <v>80</v>
      </c>
      <c r="J34" s="7">
        <v>570</v>
      </c>
      <c r="K34" s="7">
        <v>28</v>
      </c>
      <c r="L34" s="17">
        <v>1312.7</v>
      </c>
      <c r="N34" s="11">
        <f t="shared" si="0"/>
        <v>-1</v>
      </c>
      <c r="O34" s="7">
        <f t="shared" si="1"/>
        <v>1</v>
      </c>
      <c r="P34" s="7">
        <f t="shared" si="2"/>
        <v>-1</v>
      </c>
      <c r="Q34" s="17">
        <v>1312.7</v>
      </c>
    </row>
    <row r="35" spans="2:17" ht="15.75" thickBot="1">
      <c r="H35" s="18">
        <v>16</v>
      </c>
      <c r="I35" s="13">
        <v>85</v>
      </c>
      <c r="J35" s="13">
        <v>570</v>
      </c>
      <c r="K35" s="13">
        <v>28</v>
      </c>
      <c r="L35" s="19">
        <v>1361.8</v>
      </c>
      <c r="N35" s="12">
        <f t="shared" si="0"/>
        <v>1</v>
      </c>
      <c r="O35" s="13">
        <f t="shared" si="1"/>
        <v>1</v>
      </c>
      <c r="P35" s="13">
        <f t="shared" si="2"/>
        <v>-1</v>
      </c>
      <c r="Q35" s="19">
        <v>1361.8</v>
      </c>
    </row>
    <row r="36" spans="2:17">
      <c r="Q36" s="24">
        <f>AVERAGE(Q20:Q35)</f>
        <v>1353.4875</v>
      </c>
    </row>
    <row r="37" spans="2:17" ht="15">
      <c r="C37" s="22" t="s">
        <v>21</v>
      </c>
      <c r="D37" s="22"/>
      <c r="E37" s="22"/>
      <c r="F37" s="22"/>
      <c r="G37" s="22"/>
      <c r="H37" s="23"/>
    </row>
    <row r="41" spans="2:17" ht="15">
      <c r="B41" s="1"/>
      <c r="C41" s="1"/>
      <c r="D41" s="1"/>
      <c r="E41" s="1"/>
      <c r="F41" s="1"/>
    </row>
    <row r="52" spans="3:18" ht="15">
      <c r="C52" s="107" t="s">
        <v>26</v>
      </c>
      <c r="D52" s="107"/>
      <c r="E52" s="107"/>
      <c r="F52" s="107"/>
      <c r="G52" s="107"/>
      <c r="H52" s="107"/>
      <c r="I52" s="107"/>
      <c r="J52" s="107"/>
      <c r="K52" s="107"/>
      <c r="L52" s="107"/>
    </row>
    <row r="55" spans="3:18" ht="15" thickBot="1"/>
    <row r="56" spans="3:18" ht="15.75" thickBot="1">
      <c r="C56" s="6" t="s">
        <v>6</v>
      </c>
      <c r="D56" s="6" t="s">
        <v>7</v>
      </c>
      <c r="E56" s="6" t="s">
        <v>8</v>
      </c>
      <c r="G56" s="3" t="s">
        <v>42</v>
      </c>
      <c r="H56" s="8" t="s">
        <v>29</v>
      </c>
      <c r="I56" s="9" t="s">
        <v>30</v>
      </c>
      <c r="J56" s="9" t="s">
        <v>31</v>
      </c>
      <c r="K56" s="9" t="s">
        <v>32</v>
      </c>
      <c r="L56" s="9" t="s">
        <v>33</v>
      </c>
      <c r="M56" s="9" t="s">
        <v>34</v>
      </c>
      <c r="N56" s="9" t="s">
        <v>35</v>
      </c>
      <c r="O56" s="10" t="s">
        <v>36</v>
      </c>
    </row>
    <row r="57" spans="3:18" ht="15">
      <c r="C57" s="14">
        <v>-1</v>
      </c>
      <c r="D57" s="14">
        <v>-1</v>
      </c>
      <c r="E57" s="14">
        <v>-1</v>
      </c>
      <c r="H57" s="11" t="s">
        <v>37</v>
      </c>
      <c r="I57" s="7" t="s">
        <v>6</v>
      </c>
      <c r="J57" s="7" t="s">
        <v>7</v>
      </c>
      <c r="K57" s="7" t="s">
        <v>8</v>
      </c>
      <c r="L57" s="7" t="s">
        <v>38</v>
      </c>
      <c r="M57" s="7" t="s">
        <v>39</v>
      </c>
      <c r="N57" s="7" t="s">
        <v>40</v>
      </c>
      <c r="O57" s="17" t="s">
        <v>41</v>
      </c>
      <c r="R57" s="27" t="s">
        <v>5</v>
      </c>
    </row>
    <row r="58" spans="3:18">
      <c r="C58" s="14">
        <v>-1</v>
      </c>
      <c r="D58" s="14">
        <v>-1</v>
      </c>
      <c r="E58" s="14">
        <v>1</v>
      </c>
      <c r="H58" s="11">
        <v>1</v>
      </c>
      <c r="I58" s="14">
        <v>-1</v>
      </c>
      <c r="J58" s="14">
        <v>-1</v>
      </c>
      <c r="K58" s="14">
        <v>-1</v>
      </c>
      <c r="L58" s="7">
        <f>(I58)*(J58)</f>
        <v>1</v>
      </c>
      <c r="M58" s="7">
        <f>(I58)*(K58)</f>
        <v>1</v>
      </c>
      <c r="N58" s="7">
        <f>(J58)*(K58)</f>
        <v>1</v>
      </c>
      <c r="O58" s="17">
        <f>(I58)*(J58)*(K58)</f>
        <v>-1</v>
      </c>
      <c r="R58" s="28">
        <v>1317.1</v>
      </c>
    </row>
    <row r="59" spans="3:18">
      <c r="C59" s="14">
        <v>-1</v>
      </c>
      <c r="D59" s="14">
        <v>1</v>
      </c>
      <c r="E59" s="14">
        <v>1</v>
      </c>
      <c r="H59" s="11">
        <v>1</v>
      </c>
      <c r="I59" s="14">
        <v>-1</v>
      </c>
      <c r="J59" s="14">
        <v>-1</v>
      </c>
      <c r="K59" s="14">
        <v>1</v>
      </c>
      <c r="L59" s="7">
        <f t="shared" ref="L59:L73" si="3">(I59)*(J59)</f>
        <v>1</v>
      </c>
      <c r="M59" s="7">
        <f t="shared" ref="M59:M73" si="4">(I59)*(K59)</f>
        <v>-1</v>
      </c>
      <c r="N59" s="7">
        <f t="shared" ref="N59:N73" si="5">(J59)*(K59)</f>
        <v>-1</v>
      </c>
      <c r="O59" s="17">
        <f t="shared" ref="O59:O73" si="6">(I59)*(J59)*(K59)</f>
        <v>1</v>
      </c>
      <c r="R59" s="28">
        <v>1332.9</v>
      </c>
    </row>
    <row r="60" spans="3:18">
      <c r="C60" s="14">
        <v>1</v>
      </c>
      <c r="D60" s="14">
        <v>1</v>
      </c>
      <c r="E60" s="14">
        <v>1</v>
      </c>
      <c r="H60" s="11">
        <v>1</v>
      </c>
      <c r="I60" s="14">
        <v>-1</v>
      </c>
      <c r="J60" s="14">
        <v>1</v>
      </c>
      <c r="K60" s="14">
        <v>1</v>
      </c>
      <c r="L60" s="7">
        <f t="shared" si="3"/>
        <v>-1</v>
      </c>
      <c r="M60" s="7">
        <f t="shared" si="4"/>
        <v>-1</v>
      </c>
      <c r="N60" s="7">
        <f t="shared" si="5"/>
        <v>1</v>
      </c>
      <c r="O60" s="17">
        <f t="shared" si="6"/>
        <v>-1</v>
      </c>
      <c r="R60" s="28">
        <v>1319.2</v>
      </c>
    </row>
    <row r="61" spans="3:18">
      <c r="C61" s="14">
        <v>1</v>
      </c>
      <c r="D61" s="14">
        <v>-1</v>
      </c>
      <c r="E61" s="14">
        <v>1</v>
      </c>
      <c r="H61" s="11">
        <v>1</v>
      </c>
      <c r="I61" s="14">
        <v>1</v>
      </c>
      <c r="J61" s="14">
        <v>1</v>
      </c>
      <c r="K61" s="14">
        <v>1</v>
      </c>
      <c r="L61" s="7">
        <f t="shared" si="3"/>
        <v>1</v>
      </c>
      <c r="M61" s="7">
        <f t="shared" si="4"/>
        <v>1</v>
      </c>
      <c r="N61" s="7">
        <f t="shared" si="5"/>
        <v>1</v>
      </c>
      <c r="O61" s="17">
        <f t="shared" si="6"/>
        <v>1</v>
      </c>
      <c r="R61" s="28">
        <v>1378.6</v>
      </c>
    </row>
    <row r="62" spans="3:18">
      <c r="C62" s="14">
        <v>-1</v>
      </c>
      <c r="D62" s="14">
        <v>1</v>
      </c>
      <c r="E62" s="14">
        <v>1</v>
      </c>
      <c r="H62" s="11">
        <v>1</v>
      </c>
      <c r="I62" s="14">
        <v>1</v>
      </c>
      <c r="J62" s="14">
        <v>-1</v>
      </c>
      <c r="K62" s="14">
        <v>1</v>
      </c>
      <c r="L62" s="7">
        <f t="shared" si="3"/>
        <v>-1</v>
      </c>
      <c r="M62" s="7">
        <f t="shared" si="4"/>
        <v>1</v>
      </c>
      <c r="N62" s="7">
        <f t="shared" si="5"/>
        <v>-1</v>
      </c>
      <c r="O62" s="17">
        <f t="shared" si="6"/>
        <v>-1</v>
      </c>
      <c r="R62" s="28">
        <v>1412.6</v>
      </c>
    </row>
    <row r="63" spans="3:18">
      <c r="C63" s="14">
        <v>1</v>
      </c>
      <c r="D63" s="14">
        <v>-1</v>
      </c>
      <c r="E63" s="14">
        <v>1</v>
      </c>
      <c r="H63" s="11">
        <v>1</v>
      </c>
      <c r="I63" s="14">
        <v>-1</v>
      </c>
      <c r="J63" s="14">
        <v>1</v>
      </c>
      <c r="K63" s="14">
        <v>1</v>
      </c>
      <c r="L63" s="7">
        <f t="shared" si="3"/>
        <v>-1</v>
      </c>
      <c r="M63" s="7">
        <f t="shared" si="4"/>
        <v>-1</v>
      </c>
      <c r="N63" s="7">
        <f t="shared" si="5"/>
        <v>1</v>
      </c>
      <c r="O63" s="17">
        <f t="shared" si="6"/>
        <v>-1</v>
      </c>
      <c r="R63" s="28">
        <v>1320.6</v>
      </c>
    </row>
    <row r="64" spans="3:18">
      <c r="C64" s="14">
        <v>-1</v>
      </c>
      <c r="D64" s="14">
        <v>-1</v>
      </c>
      <c r="E64" s="14">
        <v>1</v>
      </c>
      <c r="H64" s="11">
        <v>1</v>
      </c>
      <c r="I64" s="14">
        <v>1</v>
      </c>
      <c r="J64" s="14">
        <v>-1</v>
      </c>
      <c r="K64" s="14">
        <v>1</v>
      </c>
      <c r="L64" s="7">
        <f t="shared" si="3"/>
        <v>-1</v>
      </c>
      <c r="M64" s="7">
        <f t="shared" si="4"/>
        <v>1</v>
      </c>
      <c r="N64" s="7">
        <f t="shared" si="5"/>
        <v>-1</v>
      </c>
      <c r="O64" s="17">
        <f t="shared" si="6"/>
        <v>-1</v>
      </c>
      <c r="R64" s="28">
        <v>1406.7</v>
      </c>
    </row>
    <row r="65" spans="2:18">
      <c r="C65" s="14">
        <v>1</v>
      </c>
      <c r="D65" s="14">
        <v>1</v>
      </c>
      <c r="E65" s="14">
        <v>1</v>
      </c>
      <c r="H65" s="11">
        <v>1</v>
      </c>
      <c r="I65" s="14">
        <v>-1</v>
      </c>
      <c r="J65" s="14">
        <v>-1</v>
      </c>
      <c r="K65" s="14">
        <v>1</v>
      </c>
      <c r="L65" s="7">
        <f t="shared" si="3"/>
        <v>1</v>
      </c>
      <c r="M65" s="7">
        <f t="shared" si="4"/>
        <v>-1</v>
      </c>
      <c r="N65" s="7">
        <f t="shared" si="5"/>
        <v>-1</v>
      </c>
      <c r="O65" s="17">
        <f t="shared" si="6"/>
        <v>1</v>
      </c>
      <c r="R65" s="28">
        <v>1330.9</v>
      </c>
    </row>
    <row r="66" spans="2:18">
      <c r="C66" s="14">
        <v>-1</v>
      </c>
      <c r="D66" s="14">
        <v>-1</v>
      </c>
      <c r="E66" s="14">
        <v>-1</v>
      </c>
      <c r="H66" s="11">
        <v>1</v>
      </c>
      <c r="I66" s="14">
        <v>1</v>
      </c>
      <c r="J66" s="14">
        <v>1</v>
      </c>
      <c r="K66" s="14">
        <v>1</v>
      </c>
      <c r="L66" s="7">
        <f t="shared" si="3"/>
        <v>1</v>
      </c>
      <c r="M66" s="7">
        <f t="shared" si="4"/>
        <v>1</v>
      </c>
      <c r="N66" s="7">
        <f t="shared" si="5"/>
        <v>1</v>
      </c>
      <c r="O66" s="17">
        <f t="shared" si="6"/>
        <v>1</v>
      </c>
      <c r="R66" s="28">
        <v>1375.2</v>
      </c>
    </row>
    <row r="67" spans="2:18">
      <c r="C67" s="14">
        <v>1</v>
      </c>
      <c r="D67" s="14">
        <v>-1</v>
      </c>
      <c r="E67" s="14">
        <v>-1</v>
      </c>
      <c r="H67" s="11">
        <v>1</v>
      </c>
      <c r="I67" s="14">
        <v>-1</v>
      </c>
      <c r="J67" s="14">
        <v>-1</v>
      </c>
      <c r="K67" s="14">
        <v>-1</v>
      </c>
      <c r="L67" s="7">
        <f t="shared" si="3"/>
        <v>1</v>
      </c>
      <c r="M67" s="7">
        <f t="shared" si="4"/>
        <v>1</v>
      </c>
      <c r="N67" s="7">
        <f t="shared" si="5"/>
        <v>1</v>
      </c>
      <c r="O67" s="17">
        <f t="shared" si="6"/>
        <v>-1</v>
      </c>
      <c r="R67" s="28">
        <v>1315.1</v>
      </c>
    </row>
    <row r="68" spans="2:18">
      <c r="C68" s="14">
        <v>1</v>
      </c>
      <c r="D68" s="14">
        <v>1</v>
      </c>
      <c r="E68" s="14">
        <v>-1</v>
      </c>
      <c r="H68" s="11">
        <v>1</v>
      </c>
      <c r="I68" s="14">
        <v>1</v>
      </c>
      <c r="J68" s="14">
        <v>-1</v>
      </c>
      <c r="K68" s="14">
        <v>-1</v>
      </c>
      <c r="L68" s="7">
        <f>(I68)*(J68)</f>
        <v>-1</v>
      </c>
      <c r="M68" s="7">
        <f t="shared" si="4"/>
        <v>-1</v>
      </c>
      <c r="N68" s="7">
        <f t="shared" si="5"/>
        <v>1</v>
      </c>
      <c r="O68" s="17">
        <f t="shared" si="6"/>
        <v>1</v>
      </c>
      <c r="R68" s="28">
        <v>1403.2</v>
      </c>
    </row>
    <row r="69" spans="2:18">
      <c r="C69" s="14">
        <v>1</v>
      </c>
      <c r="D69" s="14">
        <v>-1</v>
      </c>
      <c r="E69" s="14">
        <v>-1</v>
      </c>
      <c r="H69" s="11">
        <v>1</v>
      </c>
      <c r="I69" s="14">
        <v>1</v>
      </c>
      <c r="J69" s="14">
        <v>1</v>
      </c>
      <c r="K69" s="14">
        <v>-1</v>
      </c>
      <c r="L69" s="7">
        <f t="shared" si="3"/>
        <v>1</v>
      </c>
      <c r="M69" s="7">
        <f t="shared" si="4"/>
        <v>-1</v>
      </c>
      <c r="N69" s="7">
        <f t="shared" si="5"/>
        <v>-1</v>
      </c>
      <c r="O69" s="17">
        <f t="shared" si="6"/>
        <v>-1</v>
      </c>
      <c r="R69" s="28">
        <v>1363.3</v>
      </c>
    </row>
    <row r="70" spans="2:18">
      <c r="C70" s="14">
        <v>-1</v>
      </c>
      <c r="D70" s="14">
        <v>1</v>
      </c>
      <c r="E70" s="14">
        <v>-1</v>
      </c>
      <c r="H70" s="11">
        <v>1</v>
      </c>
      <c r="I70" s="14">
        <v>1</v>
      </c>
      <c r="J70" s="14">
        <v>-1</v>
      </c>
      <c r="K70" s="14">
        <v>-1</v>
      </c>
      <c r="L70" s="7">
        <f t="shared" si="3"/>
        <v>-1</v>
      </c>
      <c r="M70" s="7">
        <f t="shared" si="4"/>
        <v>-1</v>
      </c>
      <c r="N70" s="7">
        <f t="shared" si="5"/>
        <v>1</v>
      </c>
      <c r="O70" s="17">
        <f t="shared" si="6"/>
        <v>1</v>
      </c>
      <c r="R70" s="28">
        <v>1393.6</v>
      </c>
    </row>
    <row r="71" spans="2:18">
      <c r="C71" s="14">
        <v>-1</v>
      </c>
      <c r="D71" s="14">
        <v>1</v>
      </c>
      <c r="E71" s="14">
        <v>-1</v>
      </c>
      <c r="H71" s="11">
        <v>1</v>
      </c>
      <c r="I71" s="14">
        <v>-1</v>
      </c>
      <c r="J71" s="14">
        <v>1</v>
      </c>
      <c r="K71" s="14">
        <v>-1</v>
      </c>
      <c r="L71" s="7">
        <f t="shared" si="3"/>
        <v>-1</v>
      </c>
      <c r="M71" s="7">
        <f t="shared" si="4"/>
        <v>1</v>
      </c>
      <c r="N71" s="7">
        <f t="shared" si="5"/>
        <v>-1</v>
      </c>
      <c r="O71" s="17">
        <f t="shared" si="6"/>
        <v>1</v>
      </c>
      <c r="R71" s="28">
        <v>1312.3</v>
      </c>
    </row>
    <row r="72" spans="2:18">
      <c r="C72" s="14">
        <v>1</v>
      </c>
      <c r="D72" s="14">
        <v>1</v>
      </c>
      <c r="E72" s="14">
        <v>-1</v>
      </c>
      <c r="H72" s="11">
        <v>1</v>
      </c>
      <c r="I72" s="14">
        <v>-1</v>
      </c>
      <c r="J72" s="14">
        <v>1</v>
      </c>
      <c r="K72" s="14">
        <v>-1</v>
      </c>
      <c r="L72" s="7">
        <f t="shared" si="3"/>
        <v>-1</v>
      </c>
      <c r="M72" s="7">
        <f t="shared" si="4"/>
        <v>1</v>
      </c>
      <c r="N72" s="7">
        <f t="shared" si="5"/>
        <v>-1</v>
      </c>
      <c r="O72" s="17">
        <f t="shared" si="6"/>
        <v>1</v>
      </c>
      <c r="R72" s="28">
        <v>1312.7</v>
      </c>
    </row>
    <row r="73" spans="2:18" ht="15" thickBot="1">
      <c r="H73" s="12">
        <v>1</v>
      </c>
      <c r="I73" s="30">
        <v>1</v>
      </c>
      <c r="J73" s="30">
        <v>1</v>
      </c>
      <c r="K73" s="30">
        <v>-1</v>
      </c>
      <c r="L73" s="13">
        <f t="shared" si="3"/>
        <v>1</v>
      </c>
      <c r="M73" s="13">
        <f t="shared" si="4"/>
        <v>-1</v>
      </c>
      <c r="N73" s="13">
        <f t="shared" si="5"/>
        <v>-1</v>
      </c>
      <c r="O73" s="19">
        <f t="shared" si="6"/>
        <v>-1</v>
      </c>
      <c r="R73" s="29">
        <v>1361.8</v>
      </c>
    </row>
    <row r="75" spans="2:18" ht="15" thickBot="1"/>
    <row r="76" spans="2:18">
      <c r="B76" t="s">
        <v>43</v>
      </c>
      <c r="C76" s="15">
        <f t="array" ref="C76:R83">TRANSPOSE(H58:O73)</f>
        <v>1</v>
      </c>
      <c r="D76" s="31">
        <v>1</v>
      </c>
      <c r="E76" s="31">
        <v>1</v>
      </c>
      <c r="F76" s="31">
        <v>1</v>
      </c>
      <c r="G76" s="31">
        <v>1</v>
      </c>
      <c r="H76" s="31">
        <v>1</v>
      </c>
      <c r="I76" s="31">
        <v>1</v>
      </c>
      <c r="J76" s="31">
        <v>1</v>
      </c>
      <c r="K76" s="31">
        <v>1</v>
      </c>
      <c r="L76" s="31">
        <v>1</v>
      </c>
      <c r="M76" s="31">
        <v>1</v>
      </c>
      <c r="N76" s="31">
        <v>1</v>
      </c>
      <c r="O76" s="31">
        <v>1</v>
      </c>
      <c r="P76" s="31">
        <v>1</v>
      </c>
      <c r="Q76" s="31">
        <v>1</v>
      </c>
      <c r="R76" s="32">
        <v>1</v>
      </c>
    </row>
    <row r="77" spans="2:18">
      <c r="C77" s="33">
        <v>-1</v>
      </c>
      <c r="D77" s="14">
        <v>-1</v>
      </c>
      <c r="E77" s="14">
        <v>-1</v>
      </c>
      <c r="F77" s="14">
        <v>1</v>
      </c>
      <c r="G77" s="14">
        <v>1</v>
      </c>
      <c r="H77" s="14">
        <v>-1</v>
      </c>
      <c r="I77" s="14">
        <v>1</v>
      </c>
      <c r="J77" s="14">
        <v>-1</v>
      </c>
      <c r="K77" s="14">
        <v>1</v>
      </c>
      <c r="L77" s="14">
        <v>-1</v>
      </c>
      <c r="M77" s="14">
        <v>1</v>
      </c>
      <c r="N77" s="14">
        <v>1</v>
      </c>
      <c r="O77" s="14">
        <v>1</v>
      </c>
      <c r="P77" s="14">
        <v>-1</v>
      </c>
      <c r="Q77" s="14">
        <v>-1</v>
      </c>
      <c r="R77" s="34">
        <v>1</v>
      </c>
    </row>
    <row r="78" spans="2:18">
      <c r="C78" s="33">
        <v>-1</v>
      </c>
      <c r="D78" s="14">
        <v>-1</v>
      </c>
      <c r="E78" s="14">
        <v>1</v>
      </c>
      <c r="F78" s="14">
        <v>1</v>
      </c>
      <c r="G78" s="14">
        <v>-1</v>
      </c>
      <c r="H78" s="14">
        <v>1</v>
      </c>
      <c r="I78" s="14">
        <v>-1</v>
      </c>
      <c r="J78" s="14">
        <v>-1</v>
      </c>
      <c r="K78" s="14">
        <v>1</v>
      </c>
      <c r="L78" s="14">
        <v>-1</v>
      </c>
      <c r="M78" s="14">
        <v>-1</v>
      </c>
      <c r="N78" s="14">
        <v>1</v>
      </c>
      <c r="O78" s="14">
        <v>-1</v>
      </c>
      <c r="P78" s="14">
        <v>1</v>
      </c>
      <c r="Q78" s="14">
        <v>1</v>
      </c>
      <c r="R78" s="34">
        <v>1</v>
      </c>
    </row>
    <row r="79" spans="2:18">
      <c r="C79" s="33">
        <v>-1</v>
      </c>
      <c r="D79" s="14">
        <v>1</v>
      </c>
      <c r="E79" s="14">
        <v>1</v>
      </c>
      <c r="F79" s="14">
        <v>1</v>
      </c>
      <c r="G79" s="14">
        <v>1</v>
      </c>
      <c r="H79" s="14">
        <v>1</v>
      </c>
      <c r="I79" s="14">
        <v>1</v>
      </c>
      <c r="J79" s="14">
        <v>1</v>
      </c>
      <c r="K79" s="14">
        <v>1</v>
      </c>
      <c r="L79" s="14">
        <v>-1</v>
      </c>
      <c r="M79" s="14">
        <v>-1</v>
      </c>
      <c r="N79" s="14">
        <v>-1</v>
      </c>
      <c r="O79" s="14">
        <v>-1</v>
      </c>
      <c r="P79" s="14">
        <v>-1</v>
      </c>
      <c r="Q79" s="14">
        <v>-1</v>
      </c>
      <c r="R79" s="34">
        <v>-1</v>
      </c>
    </row>
    <row r="80" spans="2:18">
      <c r="C80" s="33">
        <v>1</v>
      </c>
      <c r="D80" s="14">
        <v>1</v>
      </c>
      <c r="E80" s="14">
        <v>-1</v>
      </c>
      <c r="F80" s="14">
        <v>1</v>
      </c>
      <c r="G80" s="14">
        <v>-1</v>
      </c>
      <c r="H80" s="14">
        <v>-1</v>
      </c>
      <c r="I80" s="14">
        <v>-1</v>
      </c>
      <c r="J80" s="14">
        <v>1</v>
      </c>
      <c r="K80" s="14">
        <v>1</v>
      </c>
      <c r="L80" s="14">
        <v>1</v>
      </c>
      <c r="M80" s="14">
        <v>-1</v>
      </c>
      <c r="N80" s="14">
        <v>1</v>
      </c>
      <c r="O80" s="14">
        <v>-1</v>
      </c>
      <c r="P80" s="14">
        <v>-1</v>
      </c>
      <c r="Q80" s="14">
        <v>-1</v>
      </c>
      <c r="R80" s="34">
        <v>1</v>
      </c>
    </row>
    <row r="81" spans="2:18">
      <c r="C81" s="33">
        <v>1</v>
      </c>
      <c r="D81" s="14">
        <v>-1</v>
      </c>
      <c r="E81" s="14">
        <v>-1</v>
      </c>
      <c r="F81" s="14">
        <v>1</v>
      </c>
      <c r="G81" s="14">
        <v>1</v>
      </c>
      <c r="H81" s="14">
        <v>-1</v>
      </c>
      <c r="I81" s="14">
        <v>1</v>
      </c>
      <c r="J81" s="14">
        <v>-1</v>
      </c>
      <c r="K81" s="14">
        <v>1</v>
      </c>
      <c r="L81" s="14">
        <v>1</v>
      </c>
      <c r="M81" s="14">
        <v>-1</v>
      </c>
      <c r="N81" s="14">
        <v>-1</v>
      </c>
      <c r="O81" s="14">
        <v>-1</v>
      </c>
      <c r="P81" s="14">
        <v>1</v>
      </c>
      <c r="Q81" s="14">
        <v>1</v>
      </c>
      <c r="R81" s="34">
        <v>-1</v>
      </c>
    </row>
    <row r="82" spans="2:18">
      <c r="C82" s="33">
        <v>1</v>
      </c>
      <c r="D82" s="14">
        <v>-1</v>
      </c>
      <c r="E82" s="14">
        <v>1</v>
      </c>
      <c r="F82" s="14">
        <v>1</v>
      </c>
      <c r="G82" s="14">
        <v>-1</v>
      </c>
      <c r="H82" s="14">
        <v>1</v>
      </c>
      <c r="I82" s="14">
        <v>-1</v>
      </c>
      <c r="J82" s="14">
        <v>-1</v>
      </c>
      <c r="K82" s="14">
        <v>1</v>
      </c>
      <c r="L82" s="14">
        <v>1</v>
      </c>
      <c r="M82" s="14">
        <v>1</v>
      </c>
      <c r="N82" s="14">
        <v>-1</v>
      </c>
      <c r="O82" s="14">
        <v>1</v>
      </c>
      <c r="P82" s="14">
        <v>-1</v>
      </c>
      <c r="Q82" s="14">
        <v>-1</v>
      </c>
      <c r="R82" s="34">
        <v>-1</v>
      </c>
    </row>
    <row r="83" spans="2:18" ht="15" thickBot="1">
      <c r="C83" s="35">
        <v>-1</v>
      </c>
      <c r="D83" s="30">
        <v>1</v>
      </c>
      <c r="E83" s="30">
        <v>-1</v>
      </c>
      <c r="F83" s="30">
        <v>1</v>
      </c>
      <c r="G83" s="30">
        <v>-1</v>
      </c>
      <c r="H83" s="30">
        <v>-1</v>
      </c>
      <c r="I83" s="30">
        <v>-1</v>
      </c>
      <c r="J83" s="30">
        <v>1</v>
      </c>
      <c r="K83" s="30">
        <v>1</v>
      </c>
      <c r="L83" s="30">
        <v>-1</v>
      </c>
      <c r="M83" s="30">
        <v>1</v>
      </c>
      <c r="N83" s="30">
        <v>-1</v>
      </c>
      <c r="O83" s="30">
        <v>1</v>
      </c>
      <c r="P83" s="30">
        <v>1</v>
      </c>
      <c r="Q83" s="30">
        <v>1</v>
      </c>
      <c r="R83" s="36">
        <v>-1</v>
      </c>
    </row>
    <row r="85" spans="2:18" ht="15" thickBot="1"/>
    <row r="86" spans="2:18" ht="16.5">
      <c r="B86" t="s">
        <v>44</v>
      </c>
      <c r="C86" s="37" cm="1">
        <f t="array" ref="C86:C93">MMULT(C76:R83,R58:R73)</f>
        <v>21655.8</v>
      </c>
      <c r="D86" s="4" t="s">
        <v>45</v>
      </c>
      <c r="E86" s="26" t="s">
        <v>53</v>
      </c>
      <c r="F86" s="53">
        <f>C86/16</f>
        <v>1353.4875</v>
      </c>
    </row>
    <row r="87" spans="2:18" ht="16.5">
      <c r="C87" s="38">
        <v>534.20000000000005</v>
      </c>
      <c r="E87" s="26" t="s">
        <v>46</v>
      </c>
      <c r="F87" s="54">
        <f>C87/16</f>
        <v>33.387500000000003</v>
      </c>
    </row>
    <row r="88" spans="2:18" ht="16.5">
      <c r="C88" s="38">
        <v>-168.39999999999873</v>
      </c>
      <c r="E88" s="26" t="s">
        <v>47</v>
      </c>
      <c r="F88" s="54">
        <f>C88/16</f>
        <v>-10.52499999999992</v>
      </c>
    </row>
    <row r="89" spans="2:18" ht="16.5">
      <c r="C89" s="38">
        <v>97.600000000002183</v>
      </c>
      <c r="E89" s="26" t="s">
        <v>48</v>
      </c>
      <c r="F89" s="54">
        <f t="shared" ref="F89:F93" si="7">C89/16</f>
        <v>6.1000000000001364</v>
      </c>
    </row>
    <row r="90" spans="2:18" ht="16.5">
      <c r="C90" s="38">
        <v>-106.00000000000023</v>
      </c>
      <c r="E90" s="26" t="s">
        <v>49</v>
      </c>
      <c r="F90" s="54">
        <f t="shared" si="7"/>
        <v>-6.6250000000000142</v>
      </c>
    </row>
    <row r="91" spans="2:18" ht="16.5">
      <c r="C91" s="38">
        <v>4.7999999999999545</v>
      </c>
      <c r="E91" s="26" t="s">
        <v>50</v>
      </c>
      <c r="F91" s="54">
        <f t="shared" si="7"/>
        <v>0.29999999999999716</v>
      </c>
    </row>
    <row r="92" spans="2:18" ht="16.5">
      <c r="C92" s="38">
        <v>-10.600000000000364</v>
      </c>
      <c r="E92" s="26" t="s">
        <v>51</v>
      </c>
      <c r="F92" s="54">
        <f t="shared" si="7"/>
        <v>-0.66250000000002274</v>
      </c>
    </row>
    <row r="93" spans="2:18" ht="17.25" thickBot="1">
      <c r="C93" s="39">
        <v>23.000000000000227</v>
      </c>
      <c r="E93" s="26" t="s">
        <v>52</v>
      </c>
      <c r="F93" s="55">
        <f t="shared" si="7"/>
        <v>1.4375000000000142</v>
      </c>
    </row>
    <row r="96" spans="2:18" ht="15">
      <c r="B96" s="108" t="s">
        <v>54</v>
      </c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</row>
    <row r="97" spans="2:9" ht="15" thickBot="1"/>
    <row r="98" spans="2:9" ht="15">
      <c r="B98" s="41" t="s">
        <v>6</v>
      </c>
      <c r="C98" s="42" t="s">
        <v>7</v>
      </c>
      <c r="D98" s="42" t="s">
        <v>8</v>
      </c>
      <c r="E98" s="42" t="s">
        <v>55</v>
      </c>
      <c r="F98" s="42" t="s">
        <v>56</v>
      </c>
      <c r="G98" s="42" t="s">
        <v>57</v>
      </c>
      <c r="H98" s="42" t="s">
        <v>28</v>
      </c>
      <c r="I98" s="40" t="s">
        <v>5</v>
      </c>
    </row>
    <row r="99" spans="2:9">
      <c r="B99" s="11">
        <v>-1</v>
      </c>
      <c r="C99" s="7">
        <v>-1</v>
      </c>
      <c r="D99" s="7">
        <v>-1</v>
      </c>
      <c r="E99" s="7">
        <f>B99*C99</f>
        <v>1</v>
      </c>
      <c r="F99" s="7">
        <f>B99*D99</f>
        <v>1</v>
      </c>
      <c r="G99" s="7">
        <f>C99*D99</f>
        <v>1</v>
      </c>
      <c r="H99" s="7">
        <f>B99*C99*D99</f>
        <v>-1</v>
      </c>
      <c r="I99" s="17">
        <v>1317.1</v>
      </c>
    </row>
    <row r="100" spans="2:9">
      <c r="B100" s="11">
        <v>-1</v>
      </c>
      <c r="C100" s="7">
        <v>-1</v>
      </c>
      <c r="D100" s="7">
        <v>1</v>
      </c>
      <c r="E100" s="7">
        <f t="shared" ref="E100:E114" si="8">B100*C100</f>
        <v>1</v>
      </c>
      <c r="F100" s="7">
        <f t="shared" ref="F100:F113" si="9">B100*D100</f>
        <v>-1</v>
      </c>
      <c r="G100" s="7">
        <f t="shared" ref="G100:G114" si="10">C100*D100</f>
        <v>-1</v>
      </c>
      <c r="H100" s="7">
        <f t="shared" ref="H100:H114" si="11">B100*C100*D100</f>
        <v>1</v>
      </c>
      <c r="I100" s="17">
        <v>1332.9</v>
      </c>
    </row>
    <row r="101" spans="2:9">
      <c r="B101" s="11">
        <v>-1</v>
      </c>
      <c r="C101" s="7">
        <v>1</v>
      </c>
      <c r="D101" s="7">
        <v>1</v>
      </c>
      <c r="E101" s="7">
        <f t="shared" si="8"/>
        <v>-1</v>
      </c>
      <c r="F101" s="7">
        <f t="shared" si="9"/>
        <v>-1</v>
      </c>
      <c r="G101" s="7">
        <f t="shared" si="10"/>
        <v>1</v>
      </c>
      <c r="H101" s="7">
        <f t="shared" si="11"/>
        <v>-1</v>
      </c>
      <c r="I101" s="17">
        <v>1319.2</v>
      </c>
    </row>
    <row r="102" spans="2:9">
      <c r="B102" s="11">
        <v>1</v>
      </c>
      <c r="C102" s="7">
        <v>1</v>
      </c>
      <c r="D102" s="7">
        <v>1</v>
      </c>
      <c r="E102" s="7">
        <f t="shared" si="8"/>
        <v>1</v>
      </c>
      <c r="F102" s="7">
        <f t="shared" si="9"/>
        <v>1</v>
      </c>
      <c r="G102" s="7">
        <f t="shared" si="10"/>
        <v>1</v>
      </c>
      <c r="H102" s="7">
        <f t="shared" si="11"/>
        <v>1</v>
      </c>
      <c r="I102" s="17">
        <v>1378.6</v>
      </c>
    </row>
    <row r="103" spans="2:9">
      <c r="B103" s="11">
        <v>1</v>
      </c>
      <c r="C103" s="7">
        <v>-1</v>
      </c>
      <c r="D103" s="7">
        <v>1</v>
      </c>
      <c r="E103" s="7">
        <f t="shared" si="8"/>
        <v>-1</v>
      </c>
      <c r="F103" s="7">
        <f t="shared" si="9"/>
        <v>1</v>
      </c>
      <c r="G103" s="7">
        <f t="shared" si="10"/>
        <v>-1</v>
      </c>
      <c r="H103" s="7">
        <f t="shared" si="11"/>
        <v>-1</v>
      </c>
      <c r="I103" s="17">
        <v>1412.6</v>
      </c>
    </row>
    <row r="104" spans="2:9">
      <c r="B104" s="11">
        <v>-1</v>
      </c>
      <c r="C104" s="7">
        <v>1</v>
      </c>
      <c r="D104" s="7">
        <v>1</v>
      </c>
      <c r="E104" s="7">
        <f t="shared" si="8"/>
        <v>-1</v>
      </c>
      <c r="F104" s="7">
        <f t="shared" si="9"/>
        <v>-1</v>
      </c>
      <c r="G104" s="7">
        <f t="shared" si="10"/>
        <v>1</v>
      </c>
      <c r="H104" s="7">
        <f t="shared" si="11"/>
        <v>-1</v>
      </c>
      <c r="I104" s="17">
        <v>1320.6</v>
      </c>
    </row>
    <row r="105" spans="2:9">
      <c r="B105" s="11">
        <v>1</v>
      </c>
      <c r="C105" s="7">
        <v>-1</v>
      </c>
      <c r="D105" s="7">
        <v>1</v>
      </c>
      <c r="E105" s="7">
        <f t="shared" si="8"/>
        <v>-1</v>
      </c>
      <c r="F105" s="7">
        <f t="shared" si="9"/>
        <v>1</v>
      </c>
      <c r="G105" s="7">
        <f t="shared" si="10"/>
        <v>-1</v>
      </c>
      <c r="H105" s="7">
        <f t="shared" si="11"/>
        <v>-1</v>
      </c>
      <c r="I105" s="17">
        <v>1406.7</v>
      </c>
    </row>
    <row r="106" spans="2:9">
      <c r="B106" s="11">
        <v>-1</v>
      </c>
      <c r="C106" s="7">
        <v>-1</v>
      </c>
      <c r="D106" s="7">
        <v>1</v>
      </c>
      <c r="E106" s="7">
        <f t="shared" si="8"/>
        <v>1</v>
      </c>
      <c r="F106" s="7">
        <f t="shared" si="9"/>
        <v>-1</v>
      </c>
      <c r="G106" s="7">
        <f t="shared" si="10"/>
        <v>-1</v>
      </c>
      <c r="H106" s="7">
        <f t="shared" si="11"/>
        <v>1</v>
      </c>
      <c r="I106" s="17">
        <v>1330.9</v>
      </c>
    </row>
    <row r="107" spans="2:9">
      <c r="B107" s="11">
        <v>1</v>
      </c>
      <c r="C107" s="7">
        <v>1</v>
      </c>
      <c r="D107" s="7">
        <v>1</v>
      </c>
      <c r="E107" s="7">
        <f t="shared" si="8"/>
        <v>1</v>
      </c>
      <c r="F107" s="7">
        <f t="shared" si="9"/>
        <v>1</v>
      </c>
      <c r="G107" s="7">
        <f t="shared" si="10"/>
        <v>1</v>
      </c>
      <c r="H107" s="7">
        <f t="shared" si="11"/>
        <v>1</v>
      </c>
      <c r="I107" s="17">
        <v>1375.2</v>
      </c>
    </row>
    <row r="108" spans="2:9">
      <c r="B108" s="11">
        <v>-1</v>
      </c>
      <c r="C108" s="7">
        <v>-1</v>
      </c>
      <c r="D108" s="7">
        <v>-1</v>
      </c>
      <c r="E108" s="7">
        <f t="shared" si="8"/>
        <v>1</v>
      </c>
      <c r="F108" s="7">
        <f t="shared" si="9"/>
        <v>1</v>
      </c>
      <c r="G108" s="7">
        <f t="shared" si="10"/>
        <v>1</v>
      </c>
      <c r="H108" s="7">
        <f t="shared" si="11"/>
        <v>-1</v>
      </c>
      <c r="I108" s="17">
        <v>1315.1</v>
      </c>
    </row>
    <row r="109" spans="2:9">
      <c r="B109" s="11">
        <v>1</v>
      </c>
      <c r="C109" s="7">
        <v>-1</v>
      </c>
      <c r="D109" s="7">
        <v>-1</v>
      </c>
      <c r="E109" s="7">
        <f t="shared" si="8"/>
        <v>-1</v>
      </c>
      <c r="F109" s="7">
        <f t="shared" si="9"/>
        <v>-1</v>
      </c>
      <c r="G109" s="7">
        <f t="shared" si="10"/>
        <v>1</v>
      </c>
      <c r="H109" s="7">
        <f t="shared" si="11"/>
        <v>1</v>
      </c>
      <c r="I109" s="17">
        <v>1403.2</v>
      </c>
    </row>
    <row r="110" spans="2:9">
      <c r="B110" s="11">
        <v>1</v>
      </c>
      <c r="C110" s="7">
        <v>1</v>
      </c>
      <c r="D110" s="7">
        <v>-1</v>
      </c>
      <c r="E110" s="7">
        <f t="shared" si="8"/>
        <v>1</v>
      </c>
      <c r="F110" s="7">
        <f t="shared" si="9"/>
        <v>-1</v>
      </c>
      <c r="G110" s="7">
        <f t="shared" si="10"/>
        <v>-1</v>
      </c>
      <c r="H110" s="7">
        <f t="shared" si="11"/>
        <v>-1</v>
      </c>
      <c r="I110" s="17">
        <v>1363.3</v>
      </c>
    </row>
    <row r="111" spans="2:9">
      <c r="B111" s="11">
        <v>1</v>
      </c>
      <c r="C111" s="7">
        <v>-1</v>
      </c>
      <c r="D111" s="7">
        <v>-1</v>
      </c>
      <c r="E111" s="7">
        <f t="shared" si="8"/>
        <v>-1</v>
      </c>
      <c r="F111" s="7">
        <f t="shared" si="9"/>
        <v>-1</v>
      </c>
      <c r="G111" s="7">
        <f t="shared" si="10"/>
        <v>1</v>
      </c>
      <c r="H111" s="7">
        <f t="shared" si="11"/>
        <v>1</v>
      </c>
      <c r="I111" s="17">
        <v>1393.6</v>
      </c>
    </row>
    <row r="112" spans="2:9">
      <c r="B112" s="11">
        <v>-1</v>
      </c>
      <c r="C112" s="7">
        <v>1</v>
      </c>
      <c r="D112" s="7">
        <v>-1</v>
      </c>
      <c r="E112" s="7">
        <f t="shared" si="8"/>
        <v>-1</v>
      </c>
      <c r="F112" s="7">
        <f t="shared" si="9"/>
        <v>1</v>
      </c>
      <c r="G112" s="7">
        <f t="shared" si="10"/>
        <v>-1</v>
      </c>
      <c r="H112" s="7">
        <f t="shared" si="11"/>
        <v>1</v>
      </c>
      <c r="I112" s="17">
        <v>1312.3</v>
      </c>
    </row>
    <row r="113" spans="2:9">
      <c r="B113" s="11">
        <v>-1</v>
      </c>
      <c r="C113" s="7">
        <v>1</v>
      </c>
      <c r="D113" s="7">
        <v>-1</v>
      </c>
      <c r="E113" s="7">
        <f t="shared" si="8"/>
        <v>-1</v>
      </c>
      <c r="F113" s="7">
        <f t="shared" si="9"/>
        <v>1</v>
      </c>
      <c r="G113" s="7">
        <f t="shared" si="10"/>
        <v>-1</v>
      </c>
      <c r="H113" s="7">
        <f t="shared" si="11"/>
        <v>1</v>
      </c>
      <c r="I113" s="17">
        <v>1312.7</v>
      </c>
    </row>
    <row r="114" spans="2:9" ht="15" thickBot="1">
      <c r="B114" s="12">
        <v>1</v>
      </c>
      <c r="C114" s="13">
        <v>1</v>
      </c>
      <c r="D114" s="13">
        <v>-1</v>
      </c>
      <c r="E114" s="13">
        <f t="shared" si="8"/>
        <v>1</v>
      </c>
      <c r="F114" s="13">
        <f>B114*D114</f>
        <v>-1</v>
      </c>
      <c r="G114" s="13">
        <f t="shared" si="10"/>
        <v>-1</v>
      </c>
      <c r="H114" s="13">
        <f t="shared" si="11"/>
        <v>-1</v>
      </c>
      <c r="I114" s="19">
        <v>1361.8</v>
      </c>
    </row>
    <row r="117" spans="2:9">
      <c r="B117" t="s">
        <v>58</v>
      </c>
    </row>
    <row r="118" spans="2:9" ht="15" thickBot="1"/>
    <row r="119" spans="2:9">
      <c r="B119" s="45" t="s">
        <v>59</v>
      </c>
      <c r="C119" s="45"/>
    </row>
    <row r="120" spans="2:9">
      <c r="B120" t="s">
        <v>60</v>
      </c>
      <c r="C120">
        <v>0.99820388942953786</v>
      </c>
    </row>
    <row r="121" spans="2:9">
      <c r="B121" t="s">
        <v>61</v>
      </c>
      <c r="C121">
        <v>0.99641100487225709</v>
      </c>
    </row>
    <row r="122" spans="2:9">
      <c r="B122" t="s">
        <v>62</v>
      </c>
      <c r="C122">
        <v>0.993270634135482</v>
      </c>
    </row>
    <row r="123" spans="2:9">
      <c r="B123" t="s">
        <v>63</v>
      </c>
      <c r="C123">
        <v>3.0710340278153829</v>
      </c>
    </row>
    <row r="124" spans="2:9" ht="15" thickBot="1">
      <c r="B124" s="43" t="s">
        <v>64</v>
      </c>
      <c r="C124" s="43">
        <v>16</v>
      </c>
    </row>
    <row r="126" spans="2:9" ht="15" thickBot="1">
      <c r="B126" t="s">
        <v>65</v>
      </c>
    </row>
    <row r="127" spans="2:9">
      <c r="B127" s="44"/>
      <c r="C127" s="44" t="s">
        <v>70</v>
      </c>
      <c r="D127" s="44" t="s">
        <v>71</v>
      </c>
      <c r="E127" s="44" t="s">
        <v>72</v>
      </c>
      <c r="F127" s="44" t="s">
        <v>73</v>
      </c>
      <c r="G127" s="44" t="s">
        <v>74</v>
      </c>
    </row>
    <row r="128" spans="2:9">
      <c r="B128" t="s">
        <v>66</v>
      </c>
      <c r="C128">
        <v>7</v>
      </c>
      <c r="D128">
        <v>20947.147499999999</v>
      </c>
      <c r="E128">
        <v>2992.4496428571429</v>
      </c>
      <c r="F128">
        <v>317.29088327179863</v>
      </c>
      <c r="G128">
        <v>3.8646954290630312E-9</v>
      </c>
    </row>
    <row r="129" spans="2:18">
      <c r="B129" t="s">
        <v>67</v>
      </c>
      <c r="C129">
        <v>8</v>
      </c>
      <c r="D129">
        <v>75.449999999999804</v>
      </c>
      <c r="E129">
        <v>9.4312499999999755</v>
      </c>
    </row>
    <row r="130" spans="2:18" ht="15" thickBot="1">
      <c r="B130" s="43" t="s">
        <v>68</v>
      </c>
      <c r="C130" s="43">
        <v>15</v>
      </c>
      <c r="D130" s="43">
        <v>21022.5975</v>
      </c>
      <c r="E130" s="43"/>
      <c r="F130" s="43"/>
      <c r="G130" s="43"/>
    </row>
    <row r="131" spans="2:18" ht="15" thickBot="1"/>
    <row r="132" spans="2:18">
      <c r="B132" s="44"/>
      <c r="C132" s="44" t="s">
        <v>75</v>
      </c>
      <c r="D132" s="44" t="s">
        <v>63</v>
      </c>
      <c r="E132" s="44" t="s">
        <v>76</v>
      </c>
      <c r="F132" s="44" t="s">
        <v>77</v>
      </c>
      <c r="G132" s="44" t="s">
        <v>78</v>
      </c>
      <c r="H132" s="44" t="s">
        <v>79</v>
      </c>
      <c r="I132" s="44" t="s">
        <v>80</v>
      </c>
      <c r="J132" s="44" t="s">
        <v>81</v>
      </c>
    </row>
    <row r="133" spans="2:18">
      <c r="B133" t="s">
        <v>69</v>
      </c>
      <c r="C133">
        <v>1353.4875</v>
      </c>
      <c r="D133">
        <v>0.76775850695384573</v>
      </c>
      <c r="E133">
        <v>1762.90785154578</v>
      </c>
      <c r="F133">
        <v>1.2005412921725543E-23</v>
      </c>
      <c r="G133">
        <v>1351.7170457081263</v>
      </c>
      <c r="H133">
        <v>1355.2579542918736</v>
      </c>
      <c r="I133">
        <v>1351.7170457081263</v>
      </c>
      <c r="J133">
        <v>1355.2579542918736</v>
      </c>
    </row>
    <row r="134" spans="2:18">
      <c r="B134" t="s">
        <v>6</v>
      </c>
      <c r="C134">
        <v>33.387499999999989</v>
      </c>
      <c r="D134">
        <v>0.76775850695384573</v>
      </c>
      <c r="E134">
        <v>43.486981515148614</v>
      </c>
      <c r="F134">
        <v>8.6246944921102815E-11</v>
      </c>
      <c r="G134">
        <v>31.617045708126241</v>
      </c>
      <c r="H134">
        <v>35.157954291873736</v>
      </c>
      <c r="I134">
        <v>31.617045708126241</v>
      </c>
      <c r="J134">
        <v>35.157954291873736</v>
      </c>
    </row>
    <row r="135" spans="2:18">
      <c r="B135" t="s">
        <v>7</v>
      </c>
      <c r="C135">
        <v>-10.525000000000007</v>
      </c>
      <c r="D135">
        <v>0.76775850695384573</v>
      </c>
      <c r="E135">
        <v>-13.708737714621929</v>
      </c>
      <c r="F135">
        <v>7.7274818191485456E-7</v>
      </c>
      <c r="G135">
        <v>-12.295454291873753</v>
      </c>
      <c r="H135">
        <v>-8.7545457081262619</v>
      </c>
      <c r="I135">
        <v>-12.295454291873753</v>
      </c>
      <c r="J135">
        <v>-8.7545457081262619</v>
      </c>
    </row>
    <row r="136" spans="2:18">
      <c r="B136" t="s">
        <v>8</v>
      </c>
      <c r="C136">
        <v>6.1000000000000254</v>
      </c>
      <c r="D136">
        <v>0.76775850695384573</v>
      </c>
      <c r="E136">
        <v>7.9452066564554924</v>
      </c>
      <c r="F136">
        <v>4.5881424294729562E-5</v>
      </c>
      <c r="G136">
        <v>4.3295457081262798</v>
      </c>
      <c r="H136">
        <v>7.870454291873771</v>
      </c>
      <c r="I136">
        <v>4.3295457081262798</v>
      </c>
      <c r="J136">
        <v>7.870454291873771</v>
      </c>
    </row>
    <row r="137" spans="2:18">
      <c r="B137" t="s">
        <v>55</v>
      </c>
      <c r="C137">
        <v>-6.625</v>
      </c>
      <c r="D137">
        <v>0.76775850695384573</v>
      </c>
      <c r="E137">
        <v>-8.6290154260684293</v>
      </c>
      <c r="F137">
        <v>2.5225369613510798E-5</v>
      </c>
      <c r="G137">
        <v>-8.3954542918737456</v>
      </c>
      <c r="H137">
        <v>-4.8545457081262544</v>
      </c>
      <c r="I137">
        <v>-8.3954542918737456</v>
      </c>
      <c r="J137">
        <v>-4.8545457081262544</v>
      </c>
    </row>
    <row r="138" spans="2:18">
      <c r="B138" t="s">
        <v>56</v>
      </c>
      <c r="C138">
        <v>0.29999999999997368</v>
      </c>
      <c r="D138">
        <v>0.76775850695384573</v>
      </c>
      <c r="E138">
        <v>0.39074786835023417</v>
      </c>
      <c r="F138" s="46">
        <v>0.70618330161937504</v>
      </c>
      <c r="G138">
        <v>-1.470454291873772</v>
      </c>
      <c r="H138">
        <v>2.0704542918737192</v>
      </c>
      <c r="I138">
        <v>-1.470454291873772</v>
      </c>
      <c r="J138">
        <v>2.0704542918737192</v>
      </c>
    </row>
    <row r="139" spans="2:18">
      <c r="B139" t="s">
        <v>57</v>
      </c>
      <c r="C139">
        <v>-0.66250000000002007</v>
      </c>
      <c r="D139">
        <v>0.76775850695384573</v>
      </c>
      <c r="E139">
        <v>-0.86290154260686902</v>
      </c>
      <c r="F139" s="46">
        <v>0.41331090044010743</v>
      </c>
      <c r="G139">
        <v>-2.4329542918737657</v>
      </c>
      <c r="H139">
        <v>1.1079542918737255</v>
      </c>
      <c r="I139">
        <v>-2.4329542918737657</v>
      </c>
      <c r="J139">
        <v>1.1079542918737255</v>
      </c>
    </row>
    <row r="140" spans="2:18" ht="15" thickBot="1">
      <c r="B140" s="43" t="s">
        <v>28</v>
      </c>
      <c r="C140" s="43">
        <v>1.4375000000000318</v>
      </c>
      <c r="D140" s="43">
        <v>0.76775850695384573</v>
      </c>
      <c r="E140" s="43">
        <v>1.8723335358450779</v>
      </c>
      <c r="F140" s="47">
        <v>9.8054652256954172E-2</v>
      </c>
      <c r="G140" s="43">
        <v>-0.33295429187371384</v>
      </c>
      <c r="H140" s="43">
        <v>3.2079542918737776</v>
      </c>
      <c r="I140" s="43">
        <v>-0.33295429187371384</v>
      </c>
      <c r="J140" s="43">
        <v>3.2079542918737776</v>
      </c>
    </row>
    <row r="142" spans="2:18" ht="15">
      <c r="B142" s="49" t="s">
        <v>82</v>
      </c>
      <c r="C142" s="49"/>
      <c r="D142" s="49"/>
      <c r="E142" s="49"/>
    </row>
    <row r="144" spans="2:18" ht="15">
      <c r="B144" s="107" t="s">
        <v>83</v>
      </c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</row>
    <row r="145" spans="2:10" ht="15" thickBot="1"/>
    <row r="146" spans="2:10" ht="15">
      <c r="B146" s="8" t="s">
        <v>6</v>
      </c>
      <c r="C146" s="9" t="s">
        <v>7</v>
      </c>
      <c r="D146" s="9" t="s">
        <v>8</v>
      </c>
      <c r="E146" s="10" t="s">
        <v>27</v>
      </c>
      <c r="F146" s="50" t="s">
        <v>5</v>
      </c>
      <c r="G146" s="3"/>
      <c r="H146" s="15"/>
      <c r="I146" s="79" t="s">
        <v>9</v>
      </c>
      <c r="J146" s="80" t="s">
        <v>10</v>
      </c>
    </row>
    <row r="147" spans="2:10" ht="15">
      <c r="B147" s="11">
        <v>-1</v>
      </c>
      <c r="C147" s="7">
        <v>-1</v>
      </c>
      <c r="D147" s="7">
        <v>-1</v>
      </c>
      <c r="E147" s="7">
        <f>B147*C147</f>
        <v>1</v>
      </c>
      <c r="F147" s="51">
        <v>1317.1</v>
      </c>
      <c r="H147" s="81" t="s">
        <v>2</v>
      </c>
      <c r="I147" s="7">
        <f>AVERAGE(80,85)</f>
        <v>82.5</v>
      </c>
      <c r="J147" s="17">
        <f>(85-80)/2</f>
        <v>2.5</v>
      </c>
    </row>
    <row r="148" spans="2:10" ht="15">
      <c r="B148" s="11">
        <v>-1</v>
      </c>
      <c r="C148" s="7">
        <v>-1</v>
      </c>
      <c r="D148" s="7">
        <v>1</v>
      </c>
      <c r="E148" s="7">
        <f t="shared" ref="E148:E162" si="12">B148*C148</f>
        <v>1</v>
      </c>
      <c r="F148" s="51">
        <v>1332.9</v>
      </c>
      <c r="H148" s="81" t="s">
        <v>3</v>
      </c>
      <c r="I148" s="7">
        <f>AVERAGE(560,570)</f>
        <v>565</v>
      </c>
      <c r="J148" s="17">
        <f>(570-560)/2</f>
        <v>5</v>
      </c>
    </row>
    <row r="149" spans="2:10" ht="15.75" thickBot="1">
      <c r="B149" s="11">
        <v>-1</v>
      </c>
      <c r="C149" s="7">
        <v>1</v>
      </c>
      <c r="D149" s="7">
        <v>1</v>
      </c>
      <c r="E149" s="7">
        <f t="shared" si="12"/>
        <v>-1</v>
      </c>
      <c r="F149" s="51">
        <v>1319.2</v>
      </c>
      <c r="H149" s="82" t="s">
        <v>4</v>
      </c>
      <c r="I149" s="13">
        <f>AVERAGE(31,28)</f>
        <v>29.5</v>
      </c>
      <c r="J149" s="19">
        <f>(31-28)/2</f>
        <v>1.5</v>
      </c>
    </row>
    <row r="150" spans="2:10">
      <c r="B150" s="11">
        <v>1</v>
      </c>
      <c r="C150" s="7">
        <v>1</v>
      </c>
      <c r="D150" s="7">
        <v>1</v>
      </c>
      <c r="E150" s="7">
        <f t="shared" si="12"/>
        <v>1</v>
      </c>
      <c r="F150" s="51">
        <v>1378.6</v>
      </c>
    </row>
    <row r="151" spans="2:10">
      <c r="B151" s="11">
        <v>1</v>
      </c>
      <c r="C151" s="7">
        <v>-1</v>
      </c>
      <c r="D151" s="7">
        <v>1</v>
      </c>
      <c r="E151" s="7">
        <f t="shared" si="12"/>
        <v>-1</v>
      </c>
      <c r="F151" s="51">
        <v>1412.6</v>
      </c>
    </row>
    <row r="152" spans="2:10">
      <c r="B152" s="11">
        <v>-1</v>
      </c>
      <c r="C152" s="7">
        <v>1</v>
      </c>
      <c r="D152" s="7">
        <v>1</v>
      </c>
      <c r="E152" s="7">
        <f t="shared" si="12"/>
        <v>-1</v>
      </c>
      <c r="F152" s="51">
        <v>1320.6</v>
      </c>
    </row>
    <row r="153" spans="2:10">
      <c r="B153" s="11">
        <v>1</v>
      </c>
      <c r="C153" s="7">
        <v>-1</v>
      </c>
      <c r="D153" s="7">
        <v>1</v>
      </c>
      <c r="E153" s="7">
        <f t="shared" si="12"/>
        <v>-1</v>
      </c>
      <c r="F153" s="51">
        <v>1406.7</v>
      </c>
    </row>
    <row r="154" spans="2:10">
      <c r="B154" s="11">
        <v>-1</v>
      </c>
      <c r="C154" s="7">
        <v>-1</v>
      </c>
      <c r="D154" s="7">
        <v>1</v>
      </c>
      <c r="E154" s="7">
        <f t="shared" si="12"/>
        <v>1</v>
      </c>
      <c r="F154" s="51">
        <v>1330.9</v>
      </c>
    </row>
    <row r="155" spans="2:10">
      <c r="B155" s="11">
        <v>1</v>
      </c>
      <c r="C155" s="7">
        <v>1</v>
      </c>
      <c r="D155" s="7">
        <v>1</v>
      </c>
      <c r="E155" s="7">
        <f t="shared" si="12"/>
        <v>1</v>
      </c>
      <c r="F155" s="51">
        <v>1375.2</v>
      </c>
    </row>
    <row r="156" spans="2:10">
      <c r="B156" s="11">
        <v>-1</v>
      </c>
      <c r="C156" s="7">
        <v>-1</v>
      </c>
      <c r="D156" s="7">
        <v>-1</v>
      </c>
      <c r="E156" s="7">
        <f t="shared" si="12"/>
        <v>1</v>
      </c>
      <c r="F156" s="51">
        <v>1315.1</v>
      </c>
    </row>
    <row r="157" spans="2:10">
      <c r="B157" s="11">
        <v>1</v>
      </c>
      <c r="C157" s="7">
        <v>-1</v>
      </c>
      <c r="D157" s="7">
        <v>-1</v>
      </c>
      <c r="E157" s="7">
        <f t="shared" si="12"/>
        <v>-1</v>
      </c>
      <c r="F157" s="51">
        <v>1403.2</v>
      </c>
    </row>
    <row r="158" spans="2:10">
      <c r="B158" s="11">
        <v>1</v>
      </c>
      <c r="C158" s="7">
        <v>1</v>
      </c>
      <c r="D158" s="7">
        <v>-1</v>
      </c>
      <c r="E158" s="7">
        <f t="shared" si="12"/>
        <v>1</v>
      </c>
      <c r="F158" s="51">
        <v>1363.3</v>
      </c>
    </row>
    <row r="159" spans="2:10">
      <c r="B159" s="11">
        <v>1</v>
      </c>
      <c r="C159" s="7">
        <v>-1</v>
      </c>
      <c r="D159" s="7">
        <v>-1</v>
      </c>
      <c r="E159" s="7">
        <f t="shared" si="12"/>
        <v>-1</v>
      </c>
      <c r="F159" s="51">
        <v>1393.6</v>
      </c>
    </row>
    <row r="160" spans="2:10">
      <c r="B160" s="11">
        <v>-1</v>
      </c>
      <c r="C160" s="7">
        <v>1</v>
      </c>
      <c r="D160" s="7">
        <v>-1</v>
      </c>
      <c r="E160" s="7">
        <f t="shared" si="12"/>
        <v>-1</v>
      </c>
      <c r="F160" s="51">
        <v>1312.3</v>
      </c>
    </row>
    <row r="161" spans="2:7">
      <c r="B161" s="11">
        <v>-1</v>
      </c>
      <c r="C161" s="7">
        <v>1</v>
      </c>
      <c r="D161" s="7">
        <v>-1</v>
      </c>
      <c r="E161" s="7">
        <f t="shared" si="12"/>
        <v>-1</v>
      </c>
      <c r="F161" s="51">
        <v>1312.7</v>
      </c>
    </row>
    <row r="162" spans="2:7" ht="15" thickBot="1">
      <c r="B162" s="12">
        <v>1</v>
      </c>
      <c r="C162" s="13">
        <v>1</v>
      </c>
      <c r="D162" s="13">
        <v>-1</v>
      </c>
      <c r="E162" s="13">
        <f t="shared" si="12"/>
        <v>1</v>
      </c>
      <c r="F162" s="52">
        <v>1361.8</v>
      </c>
    </row>
    <row r="164" spans="2:7">
      <c r="B164" t="s">
        <v>58</v>
      </c>
    </row>
    <row r="165" spans="2:7" ht="15" thickBot="1"/>
    <row r="166" spans="2:7">
      <c r="B166" s="45" t="s">
        <v>59</v>
      </c>
      <c r="C166" s="45"/>
    </row>
    <row r="167" spans="2:7">
      <c r="B167" t="s">
        <v>60</v>
      </c>
      <c r="C167">
        <v>0.99721399380264186</v>
      </c>
    </row>
    <row r="168" spans="2:7">
      <c r="B168" t="s">
        <v>61</v>
      </c>
      <c r="C168">
        <v>0.99443574943581536</v>
      </c>
    </row>
    <row r="169" spans="2:7">
      <c r="B169" t="s">
        <v>62</v>
      </c>
      <c r="C169">
        <v>0.99241238559429368</v>
      </c>
    </row>
    <row r="170" spans="2:7">
      <c r="B170" t="s">
        <v>63</v>
      </c>
      <c r="C170">
        <v>3.260995386241909</v>
      </c>
    </row>
    <row r="171" spans="2:7" ht="15" thickBot="1">
      <c r="B171" s="43" t="s">
        <v>64</v>
      </c>
      <c r="C171" s="43">
        <v>16</v>
      </c>
    </row>
    <row r="173" spans="2:7" ht="15" thickBot="1">
      <c r="B173" t="s">
        <v>65</v>
      </c>
    </row>
    <row r="174" spans="2:7">
      <c r="B174" s="44"/>
      <c r="C174" s="44" t="s">
        <v>70</v>
      </c>
      <c r="D174" s="44" t="s">
        <v>71</v>
      </c>
      <c r="E174" s="44" t="s">
        <v>72</v>
      </c>
      <c r="F174" s="44" t="s">
        <v>73</v>
      </c>
      <c r="G174" s="44" t="s">
        <v>74</v>
      </c>
    </row>
    <row r="175" spans="2:7">
      <c r="B175" t="s">
        <v>66</v>
      </c>
      <c r="C175">
        <v>4</v>
      </c>
      <c r="D175">
        <v>20905.622499999998</v>
      </c>
      <c r="E175">
        <v>5226.4056249999994</v>
      </c>
      <c r="F175">
        <v>491.47648536011457</v>
      </c>
      <c r="G175">
        <v>2.5739523879308166E-12</v>
      </c>
    </row>
    <row r="176" spans="2:7">
      <c r="B176" t="s">
        <v>67</v>
      </c>
      <c r="C176">
        <v>11</v>
      </c>
      <c r="D176">
        <v>116.9750000000012</v>
      </c>
      <c r="E176">
        <v>10.634090909091018</v>
      </c>
    </row>
    <row r="177" spans="2:16" ht="15" thickBot="1">
      <c r="B177" s="43" t="s">
        <v>68</v>
      </c>
      <c r="C177" s="43">
        <v>15</v>
      </c>
      <c r="D177" s="43">
        <v>21022.5975</v>
      </c>
      <c r="E177" s="43"/>
      <c r="F177" s="43"/>
      <c r="G177" s="43"/>
    </row>
    <row r="178" spans="2:16" ht="15" thickBot="1"/>
    <row r="179" spans="2:16">
      <c r="B179" s="44"/>
      <c r="C179" s="44" t="s">
        <v>75</v>
      </c>
      <c r="D179" s="44" t="s">
        <v>63</v>
      </c>
      <c r="E179" s="44" t="s">
        <v>76</v>
      </c>
      <c r="F179" s="44" t="s">
        <v>77</v>
      </c>
      <c r="G179" s="44" t="s">
        <v>78</v>
      </c>
      <c r="H179" s="44" t="s">
        <v>79</v>
      </c>
      <c r="I179" s="44" t="s">
        <v>80</v>
      </c>
      <c r="J179" s="44" t="s">
        <v>81</v>
      </c>
    </row>
    <row r="180" spans="2:16">
      <c r="B180" t="s">
        <v>69</v>
      </c>
      <c r="C180">
        <v>1353.4875</v>
      </c>
      <c r="D180">
        <v>0.81524884656047725</v>
      </c>
      <c r="E180">
        <v>1660.2139404555353</v>
      </c>
      <c r="F180">
        <v>4.7559053660143248E-31</v>
      </c>
      <c r="G180">
        <v>1351.6931493869386</v>
      </c>
      <c r="H180">
        <v>1355.2818506130614</v>
      </c>
      <c r="I180">
        <v>1351.6931493869386</v>
      </c>
      <c r="J180">
        <v>1355.2818506130614</v>
      </c>
    </row>
    <row r="181" spans="2:16">
      <c r="B181" t="s">
        <v>6</v>
      </c>
      <c r="C181">
        <v>33.387499999999974</v>
      </c>
      <c r="D181">
        <v>0.81524884656047725</v>
      </c>
      <c r="E181">
        <v>40.953753128092529</v>
      </c>
      <c r="F181">
        <v>2.2356398188992128E-13</v>
      </c>
      <c r="G181">
        <v>31.593149386938538</v>
      </c>
      <c r="H181">
        <v>35.181850613061407</v>
      </c>
      <c r="I181">
        <v>31.593149386938538</v>
      </c>
      <c r="J181">
        <v>35.181850613061407</v>
      </c>
    </row>
    <row r="182" spans="2:16">
      <c r="B182" t="s">
        <v>7</v>
      </c>
      <c r="C182">
        <v>-10.525000000000007</v>
      </c>
      <c r="D182">
        <v>0.81524884656047725</v>
      </c>
      <c r="E182">
        <v>-12.910168526339934</v>
      </c>
      <c r="F182">
        <v>5.4680504799449514E-8</v>
      </c>
      <c r="G182">
        <v>-12.319350613061443</v>
      </c>
      <c r="H182">
        <v>-8.7306493869385715</v>
      </c>
      <c r="I182">
        <v>-12.319350613061443</v>
      </c>
      <c r="J182">
        <v>-8.7306493869385715</v>
      </c>
    </row>
    <row r="183" spans="2:16">
      <c r="B183" t="s">
        <v>8</v>
      </c>
      <c r="C183">
        <v>6.1000000000000254</v>
      </c>
      <c r="D183">
        <v>0.81524884656047725</v>
      </c>
      <c r="E183">
        <v>7.4823779582587999</v>
      </c>
      <c r="F183">
        <v>1.2266515328880824E-5</v>
      </c>
      <c r="G183">
        <v>4.3056493869385903</v>
      </c>
      <c r="H183">
        <v>7.8943506130614605</v>
      </c>
      <c r="I183">
        <v>4.3056493869385903</v>
      </c>
      <c r="J183">
        <v>7.8943506130614605</v>
      </c>
    </row>
    <row r="184" spans="2:16" ht="15" thickBot="1">
      <c r="B184" s="43" t="s">
        <v>27</v>
      </c>
      <c r="C184" s="43">
        <v>-6.6249999999999991</v>
      </c>
      <c r="D184" s="43">
        <v>0.81524884656047725</v>
      </c>
      <c r="E184" s="43">
        <v>-8.1263531104039899</v>
      </c>
      <c r="F184" s="43">
        <v>5.6262005231265458E-6</v>
      </c>
      <c r="G184" s="43">
        <v>-8.4193506130614342</v>
      </c>
      <c r="H184" s="43">
        <v>-4.830649386938564</v>
      </c>
      <c r="I184" s="43">
        <v>-8.4193506130614342</v>
      </c>
      <c r="J184" s="43">
        <v>-4.830649386938564</v>
      </c>
    </row>
    <row r="186" spans="2:16" ht="15">
      <c r="B186" s="107" t="s">
        <v>99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</row>
    <row r="187" spans="2:16">
      <c r="B187" t="s">
        <v>89</v>
      </c>
      <c r="C187">
        <f>C180</f>
        <v>1353.4875</v>
      </c>
      <c r="D187" t="s">
        <v>84</v>
      </c>
      <c r="E187">
        <f>C181</f>
        <v>33.387499999999974</v>
      </c>
      <c r="F187" t="s">
        <v>85</v>
      </c>
      <c r="G187">
        <f>10.525</f>
        <v>10.525</v>
      </c>
      <c r="H187" t="s">
        <v>86</v>
      </c>
      <c r="I187">
        <f>C183</f>
        <v>6.1000000000000254</v>
      </c>
      <c r="J187" t="s">
        <v>88</v>
      </c>
      <c r="K187">
        <f>6.625</f>
        <v>6.625</v>
      </c>
      <c r="L187" t="s">
        <v>87</v>
      </c>
    </row>
    <row r="188" spans="2:16">
      <c r="B188" s="48" t="s">
        <v>90</v>
      </c>
      <c r="C188" s="48">
        <f>C180</f>
        <v>1353.4875</v>
      </c>
      <c r="D188" s="48" t="s">
        <v>84</v>
      </c>
      <c r="E188" s="48">
        <f>C181</f>
        <v>33.387499999999974</v>
      </c>
      <c r="F188" s="48" t="s">
        <v>91</v>
      </c>
      <c r="G188" s="48">
        <f>G187</f>
        <v>10.525</v>
      </c>
      <c r="H188" s="48" t="s">
        <v>93</v>
      </c>
      <c r="I188" s="48">
        <f>I187</f>
        <v>6.1000000000000254</v>
      </c>
      <c r="J188" s="48" t="s">
        <v>92</v>
      </c>
      <c r="K188" s="48">
        <f>K187</f>
        <v>6.625</v>
      </c>
      <c r="L188" s="48" t="s">
        <v>98</v>
      </c>
      <c r="M188" s="48"/>
    </row>
    <row r="189" spans="2:16" ht="15">
      <c r="B189" s="49" t="s">
        <v>90</v>
      </c>
      <c r="C189" s="49">
        <f>C188+E188*(-82.5/2.5)-G188*(-565/5)+I188*(-29.5/1.5)-K188*((-82.5/2.5)*(-565/5))</f>
        <v>-23383.566666666666</v>
      </c>
      <c r="D189" s="49" t="s">
        <v>84</v>
      </c>
      <c r="E189" s="49">
        <f>E188/2.5</f>
        <v>13.35499999999999</v>
      </c>
      <c r="F189" s="49" t="s">
        <v>94</v>
      </c>
      <c r="G189" s="49">
        <f>G188/5</f>
        <v>2.105</v>
      </c>
      <c r="H189" s="49" t="s">
        <v>95</v>
      </c>
      <c r="I189" s="56">
        <f>I188/1.5</f>
        <v>4.0666666666666833</v>
      </c>
      <c r="J189" s="49" t="s">
        <v>96</v>
      </c>
      <c r="K189" s="49">
        <f>K188/2.5/5</f>
        <v>0.53</v>
      </c>
      <c r="L189" s="49" t="s">
        <v>97</v>
      </c>
    </row>
    <row r="192" spans="2:16" ht="15">
      <c r="B192" s="22" t="s">
        <v>100</v>
      </c>
      <c r="C192" s="22"/>
      <c r="D192" s="22"/>
      <c r="E192" s="22"/>
      <c r="F192" s="22"/>
      <c r="G192" s="22"/>
      <c r="H192" s="22"/>
    </row>
    <row r="194" spans="2:11">
      <c r="B194" s="25" t="s">
        <v>101</v>
      </c>
      <c r="C194" s="48">
        <v>0.99443574943581536</v>
      </c>
      <c r="E194" s="57">
        <f>C194*100</f>
        <v>99.443574943581538</v>
      </c>
      <c r="F194" s="48" t="s">
        <v>102</v>
      </c>
    </row>
    <row r="202" spans="2:11" ht="15">
      <c r="B202" s="22" t="s">
        <v>103</v>
      </c>
      <c r="C202" s="22"/>
      <c r="D202" s="22"/>
      <c r="E202" s="22"/>
      <c r="F202" s="22"/>
      <c r="G202" s="22"/>
      <c r="H202" s="22"/>
      <c r="I202" s="22"/>
      <c r="J202" s="22"/>
      <c r="K202" s="22"/>
    </row>
    <row r="204" spans="2:11">
      <c r="B204" s="25" t="s">
        <v>104</v>
      </c>
      <c r="C204" s="48">
        <v>0.99241238559429368</v>
      </c>
    </row>
    <row r="206" spans="2:11" ht="15">
      <c r="B206" s="1" t="s">
        <v>105</v>
      </c>
      <c r="F206" s="1" t="s">
        <v>106</v>
      </c>
    </row>
    <row r="220" spans="2:6" ht="15">
      <c r="B220" s="22"/>
      <c r="C220" s="22"/>
      <c r="D220" s="22"/>
      <c r="E220" s="22"/>
      <c r="F220" s="22"/>
    </row>
    <row r="226" spans="2:7" ht="15">
      <c r="C226" s="58"/>
      <c r="E226" t="s">
        <v>107</v>
      </c>
    </row>
    <row r="232" spans="2:7" ht="15">
      <c r="B232" s="22" t="s">
        <v>108</v>
      </c>
    </row>
    <row r="234" spans="2:7" ht="15" thickBot="1">
      <c r="B234" t="s">
        <v>65</v>
      </c>
    </row>
    <row r="235" spans="2:7">
      <c r="B235" s="44"/>
      <c r="C235" s="44" t="s">
        <v>70</v>
      </c>
      <c r="D235" s="44" t="s">
        <v>71</v>
      </c>
      <c r="E235" s="44" t="s">
        <v>72</v>
      </c>
      <c r="F235" s="44" t="s">
        <v>73</v>
      </c>
      <c r="G235" s="44" t="s">
        <v>74</v>
      </c>
    </row>
    <row r="236" spans="2:7">
      <c r="B236" t="s">
        <v>66</v>
      </c>
      <c r="C236">
        <v>4</v>
      </c>
      <c r="D236">
        <v>20905.622499999998</v>
      </c>
      <c r="E236">
        <v>5226.4056249999994</v>
      </c>
      <c r="F236">
        <v>491.47648536011457</v>
      </c>
      <c r="G236">
        <v>2.5739523879308166E-12</v>
      </c>
    </row>
    <row r="237" spans="2:7">
      <c r="B237" t="s">
        <v>67</v>
      </c>
      <c r="C237">
        <v>11</v>
      </c>
      <c r="D237">
        <v>116.9750000000012</v>
      </c>
      <c r="E237">
        <v>10.634090909091018</v>
      </c>
    </row>
    <row r="238" spans="2:7" ht="15" thickBot="1">
      <c r="B238" s="43" t="s">
        <v>68</v>
      </c>
      <c r="C238" s="43">
        <v>15</v>
      </c>
      <c r="D238" s="43">
        <v>21022.5975</v>
      </c>
      <c r="E238" s="43"/>
      <c r="F238" s="43"/>
      <c r="G238" s="43"/>
    </row>
    <row r="240" spans="2:7" ht="15">
      <c r="B240" s="1" t="s">
        <v>109</v>
      </c>
    </row>
    <row r="241" spans="2:9">
      <c r="B241" t="s">
        <v>110</v>
      </c>
      <c r="H241" t="s">
        <v>111</v>
      </c>
    </row>
    <row r="242" spans="2:9">
      <c r="H242" t="s">
        <v>112</v>
      </c>
    </row>
    <row r="243" spans="2:9">
      <c r="B243" t="s">
        <v>113</v>
      </c>
      <c r="C243">
        <f>E236</f>
        <v>5226.4056249999994</v>
      </c>
    </row>
    <row r="244" spans="2:9">
      <c r="B244" t="s">
        <v>114</v>
      </c>
      <c r="C244">
        <f>E237</f>
        <v>10.634090909091018</v>
      </c>
    </row>
    <row r="245" spans="2:9">
      <c r="B245" t="s">
        <v>115</v>
      </c>
      <c r="C245">
        <f>G236</f>
        <v>2.5739523879308166E-12</v>
      </c>
    </row>
    <row r="246" spans="2:9">
      <c r="B246" t="s">
        <v>174</v>
      </c>
      <c r="C246">
        <f>F236</f>
        <v>491.47648536011457</v>
      </c>
    </row>
    <row r="247" spans="2:9" ht="15">
      <c r="B247" t="s">
        <v>116</v>
      </c>
      <c r="C247">
        <f>_xlfn.F.INV(0.95,C236,C237)</f>
        <v>3.3566900211325938</v>
      </c>
      <c r="F247" s="59" t="s">
        <v>115</v>
      </c>
      <c r="G247" s="83">
        <v>2.5739523879308199E-12</v>
      </c>
      <c r="H247" s="60" t="s">
        <v>119</v>
      </c>
      <c r="I247" s="60" t="s">
        <v>120</v>
      </c>
    </row>
    <row r="248" spans="2:9" ht="15">
      <c r="B248" t="s">
        <v>117</v>
      </c>
      <c r="C248" t="s">
        <v>118</v>
      </c>
    </row>
    <row r="255" spans="2:9" ht="15">
      <c r="B255" s="22" t="s">
        <v>122</v>
      </c>
    </row>
    <row r="256" spans="2:9" ht="15" thickBot="1"/>
    <row r="257" spans="2:18" ht="15">
      <c r="B257" s="8" t="s">
        <v>6</v>
      </c>
      <c r="C257" s="9" t="s">
        <v>7</v>
      </c>
      <c r="D257" s="9" t="s">
        <v>8</v>
      </c>
      <c r="E257" s="10" t="s">
        <v>27</v>
      </c>
      <c r="F257" s="63" t="s">
        <v>5</v>
      </c>
      <c r="G257" s="91" t="s">
        <v>121</v>
      </c>
      <c r="H257" s="50" t="s">
        <v>123</v>
      </c>
      <c r="J257" t="s">
        <v>58</v>
      </c>
    </row>
    <row r="258" spans="2:18" ht="15" thickBot="1">
      <c r="B258" s="11">
        <v>-1</v>
      </c>
      <c r="C258" s="7">
        <v>-1</v>
      </c>
      <c r="D258" s="7">
        <v>-1</v>
      </c>
      <c r="E258" s="7">
        <f>B258*C258</f>
        <v>1</v>
      </c>
      <c r="F258" s="64">
        <v>1317.1</v>
      </c>
      <c r="G258" s="14">
        <f>DEVSQ(F258,F267)</f>
        <v>2</v>
      </c>
      <c r="H258" s="14">
        <v>1</v>
      </c>
    </row>
    <row r="259" spans="2:18">
      <c r="B259" s="11">
        <v>-1</v>
      </c>
      <c r="C259" s="7">
        <v>-1</v>
      </c>
      <c r="D259" s="7">
        <v>1</v>
      </c>
      <c r="E259" s="7">
        <f t="shared" ref="E259:E273" si="13">B259*C259</f>
        <v>1</v>
      </c>
      <c r="F259" s="64">
        <v>1332.9</v>
      </c>
      <c r="G259" s="14">
        <f>DEVSQ(F259,F265)</f>
        <v>2</v>
      </c>
      <c r="H259" s="92"/>
      <c r="I259" s="85"/>
      <c r="J259" s="45" t="s">
        <v>59</v>
      </c>
      <c r="K259" s="45"/>
    </row>
    <row r="260" spans="2:18">
      <c r="B260" s="11">
        <v>-1</v>
      </c>
      <c r="C260" s="7">
        <v>1</v>
      </c>
      <c r="D260" s="7">
        <v>1</v>
      </c>
      <c r="E260" s="7">
        <f t="shared" si="13"/>
        <v>-1</v>
      </c>
      <c r="F260" s="64">
        <v>1319.2</v>
      </c>
      <c r="G260" s="14">
        <f>DEVSQ(F260,F263)</f>
        <v>0.97999999999980902</v>
      </c>
      <c r="H260" s="14">
        <v>1</v>
      </c>
      <c r="J260" t="s">
        <v>60</v>
      </c>
      <c r="K260">
        <v>0.8825643710728609</v>
      </c>
    </row>
    <row r="261" spans="2:18">
      <c r="B261" s="11">
        <v>1</v>
      </c>
      <c r="C261" s="7">
        <v>1</v>
      </c>
      <c r="D261" s="7">
        <v>1</v>
      </c>
      <c r="E261" s="7">
        <f t="shared" si="13"/>
        <v>1</v>
      </c>
      <c r="F261" s="64">
        <v>1378.6</v>
      </c>
      <c r="G261" s="14">
        <f>DEVSQ(F261,F266)</f>
        <v>5.7799999999995357</v>
      </c>
      <c r="H261" s="14">
        <v>1</v>
      </c>
      <c r="J261" t="s">
        <v>61</v>
      </c>
      <c r="K261">
        <v>0.77891986908723454</v>
      </c>
    </row>
    <row r="262" spans="2:18">
      <c r="B262" s="11">
        <v>1</v>
      </c>
      <c r="C262" s="7">
        <v>-1</v>
      </c>
      <c r="D262" s="7">
        <v>1</v>
      </c>
      <c r="E262" s="7">
        <f t="shared" si="13"/>
        <v>-1</v>
      </c>
      <c r="F262" s="64">
        <v>1412.6</v>
      </c>
      <c r="G262" s="14">
        <f>DEVSQ(F262,F264)</f>
        <v>17.404999999999198</v>
      </c>
      <c r="H262" s="14">
        <v>1</v>
      </c>
      <c r="J262" t="s">
        <v>62</v>
      </c>
      <c r="K262">
        <v>0.72364983635904312</v>
      </c>
    </row>
    <row r="263" spans="2:18">
      <c r="B263" s="11">
        <v>-1</v>
      </c>
      <c r="C263" s="7">
        <v>1</v>
      </c>
      <c r="D263" s="7">
        <v>1</v>
      </c>
      <c r="E263" s="7">
        <f t="shared" si="13"/>
        <v>-1</v>
      </c>
      <c r="F263" s="64">
        <v>1320.6</v>
      </c>
      <c r="G263" s="14"/>
      <c r="H263" s="14"/>
      <c r="J263" t="s">
        <v>63</v>
      </c>
      <c r="K263">
        <v>19.257505300964272</v>
      </c>
    </row>
    <row r="264" spans="2:18" ht="15" thickBot="1">
      <c r="B264" s="11">
        <v>1</v>
      </c>
      <c r="C264" s="7">
        <v>-1</v>
      </c>
      <c r="D264" s="7">
        <v>1</v>
      </c>
      <c r="E264" s="7">
        <f t="shared" si="13"/>
        <v>-1</v>
      </c>
      <c r="F264" s="64">
        <v>1406.7</v>
      </c>
      <c r="G264" s="14"/>
      <c r="H264" s="14"/>
      <c r="J264" s="43" t="s">
        <v>64</v>
      </c>
      <c r="K264" s="43">
        <v>21</v>
      </c>
    </row>
    <row r="265" spans="2:18">
      <c r="B265" s="11">
        <v>-1</v>
      </c>
      <c r="C265" s="7">
        <v>-1</v>
      </c>
      <c r="D265" s="7">
        <v>1</v>
      </c>
      <c r="E265" s="7">
        <f t="shared" si="13"/>
        <v>1</v>
      </c>
      <c r="F265" s="64">
        <v>1330.9</v>
      </c>
      <c r="G265" s="14"/>
      <c r="H265" s="14"/>
    </row>
    <row r="266" spans="2:18" ht="15" thickBot="1">
      <c r="B266" s="11">
        <v>1</v>
      </c>
      <c r="C266" s="7">
        <v>1</v>
      </c>
      <c r="D266" s="7">
        <v>1</v>
      </c>
      <c r="E266" s="7">
        <f t="shared" si="13"/>
        <v>1</v>
      </c>
      <c r="F266" s="64">
        <v>1375.2</v>
      </c>
      <c r="G266" s="14"/>
      <c r="H266" s="14"/>
      <c r="J266" t="s">
        <v>65</v>
      </c>
    </row>
    <row r="267" spans="2:18">
      <c r="B267" s="11">
        <v>-1</v>
      </c>
      <c r="C267" s="7">
        <v>-1</v>
      </c>
      <c r="D267" s="7">
        <v>-1</v>
      </c>
      <c r="E267" s="7">
        <f t="shared" si="13"/>
        <v>1</v>
      </c>
      <c r="F267" s="64">
        <v>1315.1</v>
      </c>
      <c r="G267" s="14"/>
      <c r="H267" s="93"/>
      <c r="I267" s="72"/>
      <c r="J267" s="44"/>
      <c r="K267" s="44" t="s">
        <v>70</v>
      </c>
      <c r="L267" s="44" t="s">
        <v>71</v>
      </c>
      <c r="M267" s="44" t="s">
        <v>72</v>
      </c>
      <c r="N267" s="44" t="s">
        <v>73</v>
      </c>
      <c r="O267" s="44" t="s">
        <v>74</v>
      </c>
    </row>
    <row r="268" spans="2:18">
      <c r="B268" s="11">
        <v>1</v>
      </c>
      <c r="C268" s="7">
        <v>-1</v>
      </c>
      <c r="D268" s="7">
        <v>-1</v>
      </c>
      <c r="E268" s="7">
        <f t="shared" si="13"/>
        <v>-1</v>
      </c>
      <c r="F268" s="64">
        <v>1403.2</v>
      </c>
      <c r="G268" s="14">
        <f>DEVSQ(F268,F270)</f>
        <v>46.080000000001306</v>
      </c>
      <c r="H268" s="14">
        <v>1</v>
      </c>
      <c r="J268" t="s">
        <v>66</v>
      </c>
      <c r="K268">
        <v>4</v>
      </c>
      <c r="L268">
        <v>20905.622499999998</v>
      </c>
      <c r="M268">
        <v>5226.4056249999994</v>
      </c>
      <c r="N268">
        <v>14.092987295987861</v>
      </c>
      <c r="O268">
        <v>4.1268399334532691E-5</v>
      </c>
    </row>
    <row r="269" spans="2:18">
      <c r="B269" s="11">
        <v>1</v>
      </c>
      <c r="C269" s="7">
        <v>1</v>
      </c>
      <c r="D269" s="7">
        <v>-1</v>
      </c>
      <c r="E269" s="7">
        <f t="shared" si="13"/>
        <v>1</v>
      </c>
      <c r="F269" s="64">
        <v>1363.3</v>
      </c>
      <c r="G269" s="14">
        <f>DEVSQ(F269,F273)</f>
        <v>1.125</v>
      </c>
      <c r="H269" s="14">
        <v>1</v>
      </c>
      <c r="J269" t="s">
        <v>67</v>
      </c>
      <c r="K269">
        <v>16</v>
      </c>
      <c r="L269">
        <v>5933.6241666666738</v>
      </c>
      <c r="M269">
        <v>370.85151041666711</v>
      </c>
    </row>
    <row r="270" spans="2:18" ht="15" thickBot="1">
      <c r="B270" s="11">
        <v>1</v>
      </c>
      <c r="C270" s="7">
        <v>-1</v>
      </c>
      <c r="D270" s="7">
        <v>-1</v>
      </c>
      <c r="E270" s="7">
        <f t="shared" si="13"/>
        <v>-1</v>
      </c>
      <c r="F270" s="64">
        <v>1393.6</v>
      </c>
      <c r="G270" s="14"/>
      <c r="H270" s="14"/>
      <c r="J270" s="43" t="s">
        <v>68</v>
      </c>
      <c r="K270" s="43">
        <v>20</v>
      </c>
      <c r="L270" s="43">
        <v>26839.246666666673</v>
      </c>
      <c r="M270" s="43"/>
      <c r="N270" s="43"/>
      <c r="O270" s="43"/>
    </row>
    <row r="271" spans="2:18" ht="15" thickBot="1">
      <c r="B271" s="11">
        <v>-1</v>
      </c>
      <c r="C271" s="7">
        <v>1</v>
      </c>
      <c r="D271" s="7">
        <v>-1</v>
      </c>
      <c r="E271" s="7">
        <f t="shared" si="13"/>
        <v>-1</v>
      </c>
      <c r="F271" s="64">
        <v>1312.3</v>
      </c>
      <c r="G271" s="14">
        <f>DEVSQ(F271,F272)</f>
        <v>8.0000000000036375E-2</v>
      </c>
      <c r="H271" s="14">
        <v>1</v>
      </c>
    </row>
    <row r="272" spans="2:18">
      <c r="B272" s="11">
        <v>-1</v>
      </c>
      <c r="C272" s="7">
        <v>1</v>
      </c>
      <c r="D272" s="62">
        <v>-1</v>
      </c>
      <c r="E272" s="7">
        <f t="shared" si="13"/>
        <v>-1</v>
      </c>
      <c r="F272" s="64">
        <v>1312.7</v>
      </c>
      <c r="G272" s="14"/>
      <c r="H272" s="93"/>
      <c r="I272" s="72"/>
      <c r="J272" s="44"/>
      <c r="K272" s="44" t="s">
        <v>75</v>
      </c>
      <c r="L272" s="44" t="s">
        <v>63</v>
      </c>
      <c r="M272" s="44" t="s">
        <v>76</v>
      </c>
      <c r="N272" s="44" t="s">
        <v>77</v>
      </c>
      <c r="O272" s="44" t="s">
        <v>78</v>
      </c>
      <c r="P272" s="44" t="s">
        <v>79</v>
      </c>
      <c r="Q272" s="44" t="s">
        <v>80</v>
      </c>
      <c r="R272" s="44" t="s">
        <v>81</v>
      </c>
    </row>
    <row r="273" spans="2:18">
      <c r="B273" s="61">
        <v>1</v>
      </c>
      <c r="C273" s="67">
        <v>1</v>
      </c>
      <c r="D273" s="7">
        <v>-1</v>
      </c>
      <c r="E273" s="7">
        <f t="shared" si="13"/>
        <v>1</v>
      </c>
      <c r="F273" s="65">
        <v>1361.8</v>
      </c>
      <c r="G273" s="14"/>
      <c r="H273" s="14"/>
      <c r="J273" t="s">
        <v>69</v>
      </c>
      <c r="K273">
        <v>1353.6333333333332</v>
      </c>
      <c r="L273">
        <v>4.2023321779848635</v>
      </c>
      <c r="M273">
        <v>322.11478674264117</v>
      </c>
      <c r="N273">
        <v>6.2716516956808829E-32</v>
      </c>
      <c r="O273">
        <v>1344.724787080135</v>
      </c>
      <c r="P273">
        <v>1362.5418795865314</v>
      </c>
      <c r="Q273">
        <v>1344.724787080135</v>
      </c>
      <c r="R273">
        <v>1362.5418795865314</v>
      </c>
    </row>
    <row r="274" spans="2:18">
      <c r="B274" s="11">
        <v>0</v>
      </c>
      <c r="C274" s="66">
        <v>0</v>
      </c>
      <c r="D274" s="7">
        <v>0</v>
      </c>
      <c r="E274" s="7">
        <v>0</v>
      </c>
      <c r="F274" s="64">
        <v>1376.6</v>
      </c>
      <c r="G274" s="14">
        <f>DEVSQ(F274,F275,F276,F277,F278)</f>
        <v>5815.2200000000057</v>
      </c>
      <c r="H274" s="14">
        <v>4</v>
      </c>
      <c r="J274" t="s">
        <v>6</v>
      </c>
      <c r="K274">
        <v>33.387500000000003</v>
      </c>
      <c r="L274">
        <v>4.8143763252410681</v>
      </c>
      <c r="M274">
        <v>6.9349584960681705</v>
      </c>
      <c r="N274">
        <v>3.3587675254355564E-6</v>
      </c>
      <c r="O274">
        <v>23.181478115676111</v>
      </c>
      <c r="P274">
        <v>43.593521884323891</v>
      </c>
      <c r="Q274">
        <v>23.181478115676111</v>
      </c>
      <c r="R274">
        <v>43.593521884323891</v>
      </c>
    </row>
    <row r="275" spans="2:18">
      <c r="B275" s="11">
        <v>0</v>
      </c>
      <c r="C275" s="66">
        <v>0</v>
      </c>
      <c r="D275" s="7">
        <v>0</v>
      </c>
      <c r="E275" s="7">
        <v>0</v>
      </c>
      <c r="F275" s="64">
        <v>1401.2</v>
      </c>
      <c r="G275" s="14"/>
      <c r="H275" s="14"/>
      <c r="J275" t="s">
        <v>7</v>
      </c>
      <c r="K275">
        <v>-10.525000000000004</v>
      </c>
      <c r="L275">
        <v>4.8143763252410681</v>
      </c>
      <c r="M275">
        <v>-2.1861606341031079</v>
      </c>
      <c r="N275">
        <v>4.4010693438430448E-2</v>
      </c>
      <c r="O275">
        <v>-20.731021884323894</v>
      </c>
      <c r="P275">
        <v>-0.31897811567611178</v>
      </c>
      <c r="Q275">
        <v>-20.731021884323894</v>
      </c>
      <c r="R275">
        <v>-0.31897811567611178</v>
      </c>
    </row>
    <row r="276" spans="2:18">
      <c r="B276" s="11">
        <v>0</v>
      </c>
      <c r="C276" s="66">
        <v>0</v>
      </c>
      <c r="D276" s="7">
        <v>0</v>
      </c>
      <c r="E276" s="7">
        <v>0</v>
      </c>
      <c r="F276" s="64">
        <v>1318.1</v>
      </c>
      <c r="G276" s="14"/>
      <c r="H276" s="14"/>
      <c r="J276" t="s">
        <v>8</v>
      </c>
      <c r="K276">
        <v>6.1000000000000245</v>
      </c>
      <c r="L276">
        <v>4.8143763252410698</v>
      </c>
      <c r="M276">
        <v>1.2670384672711641</v>
      </c>
      <c r="N276">
        <v>0.22327448757545981</v>
      </c>
      <c r="O276">
        <v>-4.1060218843238712</v>
      </c>
      <c r="P276">
        <v>16.306021884323918</v>
      </c>
      <c r="Q276">
        <v>-4.1060218843238712</v>
      </c>
      <c r="R276">
        <v>16.306021884323918</v>
      </c>
    </row>
    <row r="277" spans="2:18" ht="15" thickBot="1">
      <c r="B277" s="11">
        <v>0</v>
      </c>
      <c r="C277" s="66">
        <v>0</v>
      </c>
      <c r="D277" s="7">
        <v>0</v>
      </c>
      <c r="E277" s="7">
        <v>0</v>
      </c>
      <c r="F277" s="64">
        <v>1312.5</v>
      </c>
      <c r="G277" s="14"/>
      <c r="H277" s="14"/>
      <c r="J277" s="43" t="s">
        <v>27</v>
      </c>
      <c r="K277" s="43">
        <v>-6.6249999999999982</v>
      </c>
      <c r="L277" s="43">
        <v>4.8143763252410681</v>
      </c>
      <c r="M277" s="43">
        <v>-1.376086859946136</v>
      </c>
      <c r="N277" s="43">
        <v>0.18775121342884296</v>
      </c>
      <c r="O277" s="43">
        <v>-16.831021884323889</v>
      </c>
      <c r="P277" s="43">
        <v>3.5810218843238939</v>
      </c>
      <c r="Q277" s="43">
        <v>-16.831021884323889</v>
      </c>
      <c r="R277" s="43">
        <v>3.5810218843238939</v>
      </c>
    </row>
    <row r="278" spans="2:18" ht="15.75" thickBot="1">
      <c r="B278" s="12">
        <v>0</v>
      </c>
      <c r="C278" s="88">
        <v>0</v>
      </c>
      <c r="D278" s="7">
        <v>0</v>
      </c>
      <c r="E278" s="7">
        <v>0</v>
      </c>
      <c r="F278" s="65">
        <v>1362.1</v>
      </c>
      <c r="G278" s="14"/>
      <c r="H278" s="94"/>
      <c r="I278" s="2"/>
    </row>
    <row r="279" spans="2:18" ht="15.75" thickBot="1">
      <c r="D279" s="89"/>
      <c r="E279" s="90"/>
      <c r="F279" s="95" t="s">
        <v>124</v>
      </c>
      <c r="G279" s="30">
        <f>SUM(G258:G278)</f>
        <v>5890.6700000000055</v>
      </c>
      <c r="H279" s="96">
        <f>SUM(H258:H278)</f>
        <v>11</v>
      </c>
    </row>
    <row r="282" spans="2:18" ht="15">
      <c r="C282" t="s">
        <v>182</v>
      </c>
      <c r="E282" s="98" t="s">
        <v>109</v>
      </c>
    </row>
    <row r="283" spans="2:18">
      <c r="B283" s="86"/>
      <c r="D283" t="s">
        <v>70</v>
      </c>
      <c r="E283" t="s">
        <v>71</v>
      </c>
      <c r="F283" t="s">
        <v>72</v>
      </c>
      <c r="G283" t="s">
        <v>73</v>
      </c>
      <c r="H283" t="s">
        <v>183</v>
      </c>
      <c r="I283" t="s">
        <v>184</v>
      </c>
    </row>
    <row r="284" spans="2:18">
      <c r="B284" s="87"/>
      <c r="C284" s="97" t="s">
        <v>126</v>
      </c>
      <c r="D284">
        <f>K269-H279</f>
        <v>5</v>
      </c>
      <c r="E284">
        <f>L269-E285</f>
        <v>42.954166666668243</v>
      </c>
      <c r="F284">
        <f>E284/D284</f>
        <v>8.5908333333336486</v>
      </c>
      <c r="G284">
        <f>F284/F285</f>
        <v>1.6042176300262966E-2</v>
      </c>
      <c r="H284">
        <f>_xlfn.F.INV(0.95,D284,D285)</f>
        <v>3.2038742627296202</v>
      </c>
      <c r="I284">
        <f>O268</f>
        <v>4.1268399334532691E-5</v>
      </c>
    </row>
    <row r="285" spans="2:18">
      <c r="B285" s="87"/>
      <c r="C285" s="97" t="s">
        <v>127</v>
      </c>
      <c r="D285">
        <v>11</v>
      </c>
      <c r="E285">
        <f>G279</f>
        <v>5890.6700000000055</v>
      </c>
      <c r="F285">
        <f>E285/D285</f>
        <v>535.5154545454551</v>
      </c>
    </row>
    <row r="287" spans="2:18" ht="15">
      <c r="B287" s="4"/>
      <c r="C287" s="1" t="s">
        <v>185</v>
      </c>
      <c r="D287" s="3"/>
    </row>
    <row r="288" spans="2:18" ht="15">
      <c r="B288" s="4"/>
      <c r="D288" s="3"/>
    </row>
    <row r="289" spans="3:8">
      <c r="C289" s="4" t="s">
        <v>186</v>
      </c>
      <c r="D289" s="4">
        <f>G284</f>
        <v>1.6042176300262966E-2</v>
      </c>
      <c r="E289" s="2" t="s">
        <v>119</v>
      </c>
      <c r="F289" s="97">
        <f>H284</f>
        <v>3.2038742627296202</v>
      </c>
      <c r="G289" t="s">
        <v>187</v>
      </c>
    </row>
    <row r="291" spans="3:8">
      <c r="C291" t="s">
        <v>115</v>
      </c>
      <c r="D291">
        <f>I284</f>
        <v>4.1268399334532691E-5</v>
      </c>
      <c r="E291" s="2" t="s">
        <v>119</v>
      </c>
      <c r="F291">
        <v>0.05</v>
      </c>
      <c r="H291" t="s">
        <v>188</v>
      </c>
    </row>
    <row r="293" spans="3:8">
      <c r="D293" t="s">
        <v>189</v>
      </c>
    </row>
  </sheetData>
  <mergeCells count="6">
    <mergeCell ref="C52:L52"/>
    <mergeCell ref="B96:Q96"/>
    <mergeCell ref="B144:R144"/>
    <mergeCell ref="B186:P186"/>
    <mergeCell ref="H1:N1"/>
    <mergeCell ref="H2:N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41"/>
  <sheetViews>
    <sheetView zoomScaleNormal="100" workbookViewId="0">
      <selection activeCell="N1" sqref="N1"/>
    </sheetView>
  </sheetViews>
  <sheetFormatPr defaultRowHeight="14.25"/>
  <cols>
    <col min="2" max="2" width="15.25" customWidth="1"/>
    <col min="3" max="3" width="13.875" customWidth="1"/>
    <col min="4" max="4" width="14.5" customWidth="1"/>
    <col min="7" max="7" width="9.75" customWidth="1"/>
    <col min="8" max="8" width="10.125" customWidth="1"/>
    <col min="9" max="9" width="11.75" customWidth="1"/>
    <col min="10" max="10" width="11.875" customWidth="1"/>
  </cols>
  <sheetData>
    <row r="2" spans="1:14" ht="15">
      <c r="B2" s="22" t="s">
        <v>129</v>
      </c>
    </row>
    <row r="4" spans="1:14" ht="15">
      <c r="B4" s="1" t="s">
        <v>130</v>
      </c>
      <c r="F4" s="1" t="s">
        <v>132</v>
      </c>
    </row>
    <row r="5" spans="1:14" ht="15.75" thickBot="1">
      <c r="B5" s="1" t="s">
        <v>131</v>
      </c>
      <c r="F5" s="1" t="s">
        <v>131</v>
      </c>
      <c r="J5" s="49" t="s">
        <v>138</v>
      </c>
    </row>
    <row r="6" spans="1:14">
      <c r="B6" s="68">
        <v>1376.6</v>
      </c>
      <c r="D6" s="70">
        <f>(B6-$B$11)^2</f>
        <v>506.25</v>
      </c>
      <c r="F6" s="68">
        <v>1317.1</v>
      </c>
      <c r="J6" s="4" t="s">
        <v>139</v>
      </c>
      <c r="K6">
        <f>B14/1/(D11/(B12-1))</f>
        <v>9.8305251850588828E-4</v>
      </c>
      <c r="L6" s="2" t="s">
        <v>119</v>
      </c>
      <c r="M6">
        <f>_xlfn.F.INV(0.95,1,4)</f>
        <v>7.7086474221767833</v>
      </c>
      <c r="N6" t="s">
        <v>140</v>
      </c>
    </row>
    <row r="7" spans="1:14">
      <c r="B7" s="28">
        <v>1401.2</v>
      </c>
      <c r="D7" s="70">
        <f t="shared" ref="D7:D10" si="0">(B7-$B$11)^2</f>
        <v>2218.410000000013</v>
      </c>
      <c r="F7" s="28">
        <v>1332.9</v>
      </c>
      <c r="J7" s="4" t="s">
        <v>115</v>
      </c>
      <c r="K7">
        <f>1-_xlfn.F.DIST(K6,1,4,1)</f>
        <v>0.97648956348577287</v>
      </c>
      <c r="L7" s="2" t="s">
        <v>128</v>
      </c>
      <c r="M7">
        <v>0.05</v>
      </c>
    </row>
    <row r="8" spans="1:14">
      <c r="B8" s="28">
        <v>1318.1</v>
      </c>
      <c r="D8" s="70">
        <f t="shared" si="0"/>
        <v>1296</v>
      </c>
      <c r="F8" s="28">
        <v>1319.2</v>
      </c>
      <c r="J8" t="s">
        <v>141</v>
      </c>
    </row>
    <row r="9" spans="1:14">
      <c r="B9" s="28">
        <v>1312.5</v>
      </c>
      <c r="D9" s="70">
        <f t="shared" si="0"/>
        <v>1730.5599999999924</v>
      </c>
      <c r="F9" s="28">
        <v>1378.6</v>
      </c>
      <c r="J9" t="s">
        <v>142</v>
      </c>
    </row>
    <row r="10" spans="1:14">
      <c r="B10" s="28">
        <v>1362.1</v>
      </c>
      <c r="D10" s="70">
        <f t="shared" si="0"/>
        <v>64</v>
      </c>
      <c r="F10" s="28">
        <v>1412.6</v>
      </c>
    </row>
    <row r="11" spans="1:14">
      <c r="A11" s="4" t="s">
        <v>133</v>
      </c>
      <c r="B11" s="28">
        <f>AVERAGE(B6:B10)</f>
        <v>1354.1</v>
      </c>
      <c r="D11">
        <f>SUM(D6:D10)</f>
        <v>5815.2200000000057</v>
      </c>
      <c r="F11" s="28">
        <v>1320.6</v>
      </c>
    </row>
    <row r="12" spans="1:14" ht="15" thickBot="1">
      <c r="A12" s="4" t="s">
        <v>134</v>
      </c>
      <c r="B12" s="29">
        <v>5</v>
      </c>
      <c r="F12" s="28">
        <v>1406.7</v>
      </c>
    </row>
    <row r="13" spans="1:14">
      <c r="F13" s="28">
        <v>1330.9</v>
      </c>
    </row>
    <row r="14" spans="1:14">
      <c r="A14" s="69" t="s">
        <v>136</v>
      </c>
      <c r="B14">
        <f>(B12*F23*((F22-B11)^2))/(B12+F23)</f>
        <v>1.4291666666664544</v>
      </c>
      <c r="F14" s="28">
        <v>1375.2</v>
      </c>
    </row>
    <row r="15" spans="1:14" ht="18.75">
      <c r="A15" s="69" t="s">
        <v>137</v>
      </c>
      <c r="B15">
        <f>B14/(6527.55/16)</f>
        <v>3.5031009592669947E-3</v>
      </c>
      <c r="F15" s="28">
        <v>1315.1</v>
      </c>
    </row>
    <row r="16" spans="1:14">
      <c r="F16" s="28">
        <v>1403.2</v>
      </c>
    </row>
    <row r="17" spans="2:6">
      <c r="F17" s="28">
        <v>1363.3</v>
      </c>
    </row>
    <row r="18" spans="2:6">
      <c r="F18" s="28">
        <v>1393.6</v>
      </c>
    </row>
    <row r="19" spans="2:6">
      <c r="F19" s="28">
        <v>1312.3</v>
      </c>
    </row>
    <row r="20" spans="2:6">
      <c r="F20" s="28">
        <v>1312.7</v>
      </c>
    </row>
    <row r="21" spans="2:6">
      <c r="F21" s="28">
        <v>1361.8</v>
      </c>
    </row>
    <row r="22" spans="2:6">
      <c r="E22" s="4" t="s">
        <v>133</v>
      </c>
      <c r="F22" s="38">
        <f>AVERAGE(F6:F21)</f>
        <v>1353.4875</v>
      </c>
    </row>
    <row r="23" spans="2:6" ht="15" thickBot="1">
      <c r="E23" s="4" t="s">
        <v>135</v>
      </c>
      <c r="F23" s="29">
        <v>16</v>
      </c>
    </row>
    <row r="26" spans="2:6" ht="15">
      <c r="B26" s="22" t="s">
        <v>143</v>
      </c>
    </row>
    <row r="28" spans="2:6">
      <c r="B28" t="s">
        <v>58</v>
      </c>
    </row>
    <row r="29" spans="2:6" ht="15" thickBot="1"/>
    <row r="30" spans="2:6">
      <c r="B30" s="45" t="s">
        <v>59</v>
      </c>
      <c r="C30" s="45"/>
    </row>
    <row r="31" spans="2:6">
      <c r="B31" t="s">
        <v>60</v>
      </c>
      <c r="C31">
        <v>0.85473527299687757</v>
      </c>
    </row>
    <row r="32" spans="2:6">
      <c r="B32" t="s">
        <v>61</v>
      </c>
      <c r="C32">
        <v>0.73057238690504678</v>
      </c>
    </row>
    <row r="33" spans="2:10">
      <c r="B33" t="s">
        <v>62</v>
      </c>
      <c r="C33">
        <v>0.7006359854500519</v>
      </c>
    </row>
    <row r="34" spans="2:10">
      <c r="B34" t="s">
        <v>63</v>
      </c>
      <c r="C34">
        <v>20.043333841491595</v>
      </c>
    </row>
    <row r="35" spans="2:10" ht="15" thickBot="1">
      <c r="B35" s="43" t="s">
        <v>64</v>
      </c>
      <c r="C35" s="43">
        <v>21</v>
      </c>
    </row>
    <row r="37" spans="2:10" ht="15" thickBot="1">
      <c r="B37" t="s">
        <v>65</v>
      </c>
    </row>
    <row r="38" spans="2:10">
      <c r="B38" s="44"/>
      <c r="C38" s="44" t="s">
        <v>70</v>
      </c>
      <c r="D38" s="44" t="s">
        <v>71</v>
      </c>
      <c r="E38" s="44" t="s">
        <v>72</v>
      </c>
      <c r="F38" s="44" t="s">
        <v>73</v>
      </c>
      <c r="G38" s="44" t="s">
        <v>74</v>
      </c>
    </row>
    <row r="39" spans="2:10">
      <c r="B39" t="s">
        <v>66</v>
      </c>
      <c r="C39">
        <v>2</v>
      </c>
      <c r="D39">
        <v>19608.01249999999</v>
      </c>
      <c r="E39">
        <v>9804.0062499999949</v>
      </c>
      <c r="F39">
        <v>24.404148508075043</v>
      </c>
      <c r="G39">
        <v>7.4813320830953415E-6</v>
      </c>
    </row>
    <row r="40" spans="2:10">
      <c r="B40" t="s">
        <v>67</v>
      </c>
      <c r="C40">
        <v>18</v>
      </c>
      <c r="D40">
        <v>7231.2341666666789</v>
      </c>
      <c r="E40">
        <v>401.73523148148217</v>
      </c>
    </row>
    <row r="41" spans="2:10" ht="15" thickBot="1">
      <c r="B41" s="43" t="s">
        <v>68</v>
      </c>
      <c r="C41" s="43">
        <v>20</v>
      </c>
      <c r="D41" s="43">
        <v>26839.24666666667</v>
      </c>
      <c r="E41" s="43"/>
      <c r="F41" s="43"/>
      <c r="G41" s="43"/>
    </row>
    <row r="42" spans="2:10" ht="15" thickBot="1"/>
    <row r="43" spans="2:10">
      <c r="B43" s="44"/>
      <c r="C43" s="44" t="s">
        <v>75</v>
      </c>
      <c r="D43" s="44" t="s">
        <v>63</v>
      </c>
      <c r="E43" s="44" t="s">
        <v>76</v>
      </c>
      <c r="F43" s="44" t="s">
        <v>77</v>
      </c>
      <c r="G43" s="44" t="s">
        <v>78</v>
      </c>
      <c r="H43" s="44" t="s">
        <v>79</v>
      </c>
      <c r="I43" s="44" t="s">
        <v>80</v>
      </c>
      <c r="J43" s="44" t="s">
        <v>81</v>
      </c>
    </row>
    <row r="44" spans="2:10">
      <c r="B44" t="s">
        <v>69</v>
      </c>
      <c r="C44">
        <v>1353.6333333333332</v>
      </c>
      <c r="D44">
        <v>4.3738140241859647</v>
      </c>
      <c r="E44">
        <v>309.48580023021566</v>
      </c>
      <c r="F44">
        <v>5.4137317181526877E-35</v>
      </c>
      <c r="G44">
        <v>1344.4442910500056</v>
      </c>
      <c r="H44">
        <v>1362.8223756166608</v>
      </c>
      <c r="I44">
        <v>1344.4442910500056</v>
      </c>
      <c r="J44">
        <v>1362.8223756166608</v>
      </c>
    </row>
    <row r="45" spans="2:10">
      <c r="B45" t="s">
        <v>6</v>
      </c>
      <c r="C45">
        <v>33.387499999999982</v>
      </c>
      <c r="D45">
        <v>5.0108334603728988</v>
      </c>
      <c r="E45">
        <v>6.6630631937855966</v>
      </c>
      <c r="F45">
        <v>2.9837414286197616E-6</v>
      </c>
      <c r="G45">
        <v>22.860129543125289</v>
      </c>
      <c r="H45">
        <v>43.914870456874674</v>
      </c>
      <c r="I45">
        <v>22.860129543125289</v>
      </c>
      <c r="J45">
        <v>43.914870456874674</v>
      </c>
    </row>
    <row r="46" spans="2:10" ht="15" thickBot="1">
      <c r="B46" s="43" t="s">
        <v>7</v>
      </c>
      <c r="C46" s="43">
        <v>-10.525000000000004</v>
      </c>
      <c r="D46" s="43">
        <v>5.0108334603728988</v>
      </c>
      <c r="E46" s="43">
        <v>-2.1004489738552894</v>
      </c>
      <c r="F46" s="43">
        <v>5.0046365444956775E-2</v>
      </c>
      <c r="G46" s="43">
        <v>-21.052370456874694</v>
      </c>
      <c r="H46" s="43">
        <v>2.3704568746865107E-3</v>
      </c>
      <c r="I46" s="43">
        <v>-21.052370456874694</v>
      </c>
      <c r="J46" s="43">
        <v>2.3704568746865107E-3</v>
      </c>
    </row>
    <row r="50" spans="2:11">
      <c r="B50" t="s">
        <v>144</v>
      </c>
    </row>
    <row r="51" spans="2:11" ht="15" thickBot="1"/>
    <row r="52" spans="2:11" ht="15">
      <c r="B52" s="44" t="s">
        <v>145</v>
      </c>
      <c r="C52" s="44" t="s">
        <v>146</v>
      </c>
      <c r="D52" s="44" t="s">
        <v>147</v>
      </c>
      <c r="E52" s="44" t="s">
        <v>148</v>
      </c>
      <c r="G52" s="8" t="s">
        <v>6</v>
      </c>
      <c r="H52" s="9" t="s">
        <v>7</v>
      </c>
      <c r="I52" s="9" t="s">
        <v>8</v>
      </c>
      <c r="J52" s="77" t="s">
        <v>27</v>
      </c>
      <c r="K52" s="10" t="s">
        <v>5</v>
      </c>
    </row>
    <row r="53" spans="2:11">
      <c r="B53">
        <v>1</v>
      </c>
      <c r="C53">
        <v>1330.7708333333333</v>
      </c>
      <c r="D53">
        <v>-13.670833333333348</v>
      </c>
      <c r="E53">
        <v>-0.71895841925580051</v>
      </c>
      <c r="G53" s="11">
        <v>-1</v>
      </c>
      <c r="H53" s="7">
        <v>-1</v>
      </c>
      <c r="I53" s="7">
        <v>-1</v>
      </c>
      <c r="J53" s="66">
        <f>G53*H53</f>
        <v>1</v>
      </c>
      <c r="K53" s="17">
        <v>1317.1</v>
      </c>
    </row>
    <row r="54" spans="2:11">
      <c r="B54">
        <v>2</v>
      </c>
      <c r="C54">
        <v>1330.7708333333333</v>
      </c>
      <c r="D54">
        <v>2.1291666666668334</v>
      </c>
      <c r="E54">
        <v>0.11197432253573375</v>
      </c>
      <c r="G54" s="11">
        <v>-1</v>
      </c>
      <c r="H54" s="7">
        <v>-1</v>
      </c>
      <c r="I54" s="7">
        <v>1</v>
      </c>
      <c r="J54" s="66">
        <f t="shared" ref="J54:J68" si="1">G54*H54</f>
        <v>1</v>
      </c>
      <c r="K54" s="17">
        <v>1332.9</v>
      </c>
    </row>
    <row r="55" spans="2:11">
      <c r="B55">
        <v>3</v>
      </c>
      <c r="C55">
        <v>1309.7208333333331</v>
      </c>
      <c r="D55">
        <v>9.4791666666669698</v>
      </c>
      <c r="E55">
        <v>0.49851581950838059</v>
      </c>
      <c r="G55" s="11">
        <v>-1</v>
      </c>
      <c r="H55" s="7">
        <v>1</v>
      </c>
      <c r="I55" s="7">
        <v>1</v>
      </c>
      <c r="J55" s="66">
        <f t="shared" si="1"/>
        <v>-1</v>
      </c>
      <c r="K55" s="17">
        <v>1319.2</v>
      </c>
    </row>
    <row r="56" spans="2:11">
      <c r="B56">
        <v>4</v>
      </c>
      <c r="C56">
        <v>1376.4958333333332</v>
      </c>
      <c r="D56">
        <v>2.1041666666667425</v>
      </c>
      <c r="E56">
        <v>0.11065955553922338</v>
      </c>
      <c r="G56" s="11">
        <v>1</v>
      </c>
      <c r="H56" s="7">
        <v>1</v>
      </c>
      <c r="I56" s="7">
        <v>1</v>
      </c>
      <c r="J56" s="66">
        <f t="shared" si="1"/>
        <v>1</v>
      </c>
      <c r="K56" s="17">
        <v>1378.6</v>
      </c>
    </row>
    <row r="57" spans="2:11">
      <c r="B57">
        <v>5</v>
      </c>
      <c r="C57">
        <v>1397.5458333333333</v>
      </c>
      <c r="D57">
        <v>15.054166666666561</v>
      </c>
      <c r="E57">
        <v>0.79170885972910277</v>
      </c>
      <c r="G57" s="11">
        <v>1</v>
      </c>
      <c r="H57" s="7">
        <v>-1</v>
      </c>
      <c r="I57" s="7">
        <v>1</v>
      </c>
      <c r="J57" s="66">
        <f t="shared" si="1"/>
        <v>-1</v>
      </c>
      <c r="K57" s="17">
        <v>1412.6</v>
      </c>
    </row>
    <row r="58" spans="2:11">
      <c r="B58">
        <v>6</v>
      </c>
      <c r="C58">
        <v>1309.7208333333331</v>
      </c>
      <c r="D58">
        <v>10.879166666666833</v>
      </c>
      <c r="E58">
        <v>0.57214277131268576</v>
      </c>
      <c r="G58" s="11">
        <v>-1</v>
      </c>
      <c r="H58" s="7">
        <v>1</v>
      </c>
      <c r="I58" s="7">
        <v>1</v>
      </c>
      <c r="J58" s="66">
        <f t="shared" si="1"/>
        <v>-1</v>
      </c>
      <c r="K58" s="17">
        <v>1320.6</v>
      </c>
    </row>
    <row r="59" spans="2:11">
      <c r="B59">
        <v>7</v>
      </c>
      <c r="C59">
        <v>1397.5458333333333</v>
      </c>
      <c r="D59">
        <v>9.154166666666697</v>
      </c>
      <c r="E59">
        <v>0.48142384855379372</v>
      </c>
      <c r="G59" s="11">
        <v>1</v>
      </c>
      <c r="H59" s="7">
        <v>-1</v>
      </c>
      <c r="I59" s="7">
        <v>1</v>
      </c>
      <c r="J59" s="66">
        <f t="shared" si="1"/>
        <v>-1</v>
      </c>
      <c r="K59" s="17">
        <v>1406.7</v>
      </c>
    </row>
    <row r="60" spans="2:11">
      <c r="B60">
        <v>8</v>
      </c>
      <c r="C60">
        <v>1330.7708333333333</v>
      </c>
      <c r="D60">
        <v>0.12916666666683341</v>
      </c>
      <c r="E60">
        <v>6.7929628152875836E-3</v>
      </c>
      <c r="G60" s="11">
        <v>-1</v>
      </c>
      <c r="H60" s="7">
        <v>-1</v>
      </c>
      <c r="I60" s="7">
        <v>1</v>
      </c>
      <c r="J60" s="66">
        <f t="shared" si="1"/>
        <v>1</v>
      </c>
      <c r="K60" s="17">
        <v>1330.9</v>
      </c>
    </row>
    <row r="61" spans="2:11">
      <c r="B61">
        <v>9</v>
      </c>
      <c r="C61">
        <v>1376.4958333333332</v>
      </c>
      <c r="D61">
        <v>-1.2958333333331211</v>
      </c>
      <c r="E61">
        <v>-6.8148755985527915E-2</v>
      </c>
      <c r="G61" s="11">
        <v>1</v>
      </c>
      <c r="H61" s="7">
        <v>1</v>
      </c>
      <c r="I61" s="7">
        <v>1</v>
      </c>
      <c r="J61" s="66">
        <f t="shared" si="1"/>
        <v>1</v>
      </c>
      <c r="K61" s="17">
        <v>1375.2</v>
      </c>
    </row>
    <row r="62" spans="2:11">
      <c r="B62">
        <v>10</v>
      </c>
      <c r="C62">
        <v>1330.7708333333333</v>
      </c>
      <c r="D62">
        <v>-15.670833333333348</v>
      </c>
      <c r="E62">
        <v>-0.82413977897624668</v>
      </c>
      <c r="G62" s="11">
        <v>-1</v>
      </c>
      <c r="H62" s="7">
        <v>-1</v>
      </c>
      <c r="I62" s="7">
        <v>-1</v>
      </c>
      <c r="J62" s="66">
        <f t="shared" si="1"/>
        <v>1</v>
      </c>
      <c r="K62" s="17">
        <v>1315.1</v>
      </c>
    </row>
    <row r="63" spans="2:11">
      <c r="B63">
        <v>11</v>
      </c>
      <c r="C63">
        <v>1397.5458333333333</v>
      </c>
      <c r="D63">
        <v>5.654166666666697</v>
      </c>
      <c r="E63">
        <v>0.29735646904301294</v>
      </c>
      <c r="G63" s="11">
        <v>1</v>
      </c>
      <c r="H63" s="7">
        <v>-1</v>
      </c>
      <c r="I63" s="7">
        <v>-1</v>
      </c>
      <c r="J63" s="66">
        <f t="shared" si="1"/>
        <v>-1</v>
      </c>
      <c r="K63" s="17">
        <v>1403.2</v>
      </c>
    </row>
    <row r="64" spans="2:11">
      <c r="B64">
        <v>12</v>
      </c>
      <c r="C64">
        <v>1376.4958333333332</v>
      </c>
      <c r="D64">
        <v>-13.195833333333212</v>
      </c>
      <c r="E64">
        <v>-0.6939778463221874</v>
      </c>
      <c r="G64" s="11">
        <v>1</v>
      </c>
      <c r="H64" s="7">
        <v>1</v>
      </c>
      <c r="I64" s="7">
        <v>-1</v>
      </c>
      <c r="J64" s="66">
        <f t="shared" si="1"/>
        <v>1</v>
      </c>
      <c r="K64" s="17">
        <v>1363.3</v>
      </c>
    </row>
    <row r="65" spans="2:20">
      <c r="B65">
        <v>13</v>
      </c>
      <c r="C65">
        <v>1397.5458333333333</v>
      </c>
      <c r="D65">
        <v>-3.9458333333334394</v>
      </c>
      <c r="E65">
        <v>-0.20751405761513583</v>
      </c>
      <c r="G65" s="11">
        <v>1</v>
      </c>
      <c r="H65" s="7">
        <v>-1</v>
      </c>
      <c r="I65" s="7">
        <v>-1</v>
      </c>
      <c r="J65" s="66">
        <f t="shared" si="1"/>
        <v>-1</v>
      </c>
      <c r="K65" s="17">
        <v>1393.6</v>
      </c>
    </row>
    <row r="66" spans="2:20">
      <c r="B66">
        <v>14</v>
      </c>
      <c r="C66">
        <v>1309.7208333333331</v>
      </c>
      <c r="D66">
        <v>2.5791666666668789</v>
      </c>
      <c r="E66">
        <v>0.13564012847283652</v>
      </c>
      <c r="G66" s="11">
        <v>-1</v>
      </c>
      <c r="H66" s="7">
        <v>1</v>
      </c>
      <c r="I66" s="7">
        <v>-1</v>
      </c>
      <c r="J66" s="66">
        <f t="shared" si="1"/>
        <v>-1</v>
      </c>
      <c r="K66" s="17">
        <v>1312.3</v>
      </c>
    </row>
    <row r="67" spans="2:20">
      <c r="B67">
        <v>15</v>
      </c>
      <c r="C67">
        <v>1309.7208333333331</v>
      </c>
      <c r="D67">
        <v>2.9791666666669698</v>
      </c>
      <c r="E67">
        <v>0.15667640041693054</v>
      </c>
      <c r="G67" s="11">
        <v>-1</v>
      </c>
      <c r="H67" s="7">
        <v>1</v>
      </c>
      <c r="I67" s="62">
        <v>-1</v>
      </c>
      <c r="J67" s="66">
        <f t="shared" si="1"/>
        <v>-1</v>
      </c>
      <c r="K67" s="17">
        <v>1312.7</v>
      </c>
      <c r="O67" s="72"/>
      <c r="P67" s="72"/>
      <c r="Q67" s="72"/>
      <c r="R67" s="72"/>
      <c r="S67" s="72"/>
      <c r="T67" s="72"/>
    </row>
    <row r="68" spans="2:20">
      <c r="B68">
        <v>16</v>
      </c>
      <c r="C68">
        <v>1376.4958333333332</v>
      </c>
      <c r="D68">
        <v>-14.695833333333212</v>
      </c>
      <c r="E68">
        <v>-0.772863866112522</v>
      </c>
      <c r="G68" s="61">
        <v>1</v>
      </c>
      <c r="H68" s="67">
        <v>1</v>
      </c>
      <c r="I68" s="7">
        <v>-1</v>
      </c>
      <c r="J68" s="66">
        <f t="shared" si="1"/>
        <v>1</v>
      </c>
      <c r="K68" s="17">
        <v>1361.8</v>
      </c>
    </row>
    <row r="69" spans="2:20">
      <c r="B69">
        <v>17</v>
      </c>
      <c r="C69">
        <v>1353.6333333333332</v>
      </c>
      <c r="D69">
        <v>22.966666666666697</v>
      </c>
      <c r="E69">
        <v>1.207832614123125</v>
      </c>
      <c r="G69" s="11">
        <v>0</v>
      </c>
      <c r="H69" s="66">
        <v>0</v>
      </c>
      <c r="I69" s="7">
        <v>0</v>
      </c>
      <c r="J69" s="66">
        <v>0</v>
      </c>
      <c r="K69" s="17">
        <v>1376.6</v>
      </c>
    </row>
    <row r="70" spans="2:20">
      <c r="B70">
        <v>18</v>
      </c>
      <c r="C70">
        <v>1353.6333333333332</v>
      </c>
      <c r="D70">
        <v>47.566666666666833</v>
      </c>
      <c r="E70">
        <v>2.5015633386846199</v>
      </c>
      <c r="G70" s="11">
        <v>0</v>
      </c>
      <c r="H70" s="66">
        <v>0</v>
      </c>
      <c r="I70" s="7">
        <v>0</v>
      </c>
      <c r="J70" s="66">
        <v>0</v>
      </c>
      <c r="K70" s="17">
        <v>1401.2</v>
      </c>
    </row>
    <row r="71" spans="2:20">
      <c r="B71">
        <v>19</v>
      </c>
      <c r="C71">
        <v>1353.6333333333332</v>
      </c>
      <c r="D71">
        <v>-35.533333333333303</v>
      </c>
      <c r="E71">
        <v>-1.8687221576999253</v>
      </c>
      <c r="G71" s="11">
        <v>0</v>
      </c>
      <c r="H71" s="66">
        <v>0</v>
      </c>
      <c r="I71" s="7">
        <v>0</v>
      </c>
      <c r="J71" s="66">
        <v>0</v>
      </c>
      <c r="K71" s="17">
        <v>1318.1</v>
      </c>
    </row>
    <row r="72" spans="2:20">
      <c r="B72">
        <v>20</v>
      </c>
      <c r="C72">
        <v>1353.6333333333332</v>
      </c>
      <c r="D72">
        <v>-41.133333333333212</v>
      </c>
      <c r="E72">
        <v>-2.1632299649171696</v>
      </c>
      <c r="G72" s="11">
        <v>0</v>
      </c>
      <c r="H72" s="66">
        <v>0</v>
      </c>
      <c r="I72" s="7">
        <v>0</v>
      </c>
      <c r="J72" s="66">
        <v>0</v>
      </c>
      <c r="K72" s="17">
        <v>1312.5</v>
      </c>
    </row>
    <row r="73" spans="2:20" ht="15" thickBot="1">
      <c r="B73" s="43">
        <v>21</v>
      </c>
      <c r="C73" s="43">
        <v>1353.6333333333332</v>
      </c>
      <c r="D73" s="43">
        <v>8.466666666666697</v>
      </c>
      <c r="E73" s="43">
        <v>0.44526775614989034</v>
      </c>
      <c r="G73" s="12">
        <v>0</v>
      </c>
      <c r="H73" s="88">
        <v>0</v>
      </c>
      <c r="I73" s="13">
        <v>0</v>
      </c>
      <c r="J73" s="88">
        <v>0</v>
      </c>
      <c r="K73" s="19">
        <v>1362.1</v>
      </c>
    </row>
    <row r="76" spans="2:20" ht="15">
      <c r="B76" s="22" t="s">
        <v>149</v>
      </c>
    </row>
    <row r="77" spans="2:20" ht="15" thickBot="1"/>
    <row r="78" spans="2:20">
      <c r="B78" s="44"/>
      <c r="C78" s="44" t="s">
        <v>75</v>
      </c>
      <c r="D78" s="44" t="s">
        <v>63</v>
      </c>
      <c r="E78" s="44" t="s">
        <v>76</v>
      </c>
      <c r="F78" s="44" t="s">
        <v>77</v>
      </c>
      <c r="G78" s="44" t="s">
        <v>78</v>
      </c>
      <c r="H78" s="44" t="s">
        <v>79</v>
      </c>
      <c r="I78" s="44" t="s">
        <v>80</v>
      </c>
      <c r="J78" s="44" t="s">
        <v>81</v>
      </c>
    </row>
    <row r="79" spans="2:20" ht="15">
      <c r="B79" t="s">
        <v>69</v>
      </c>
      <c r="C79">
        <v>1353.4875</v>
      </c>
      <c r="D79">
        <v>0.81524884656047725</v>
      </c>
      <c r="E79">
        <v>1660.2139404555353</v>
      </c>
      <c r="F79">
        <v>4.7559053660143248E-31</v>
      </c>
      <c r="G79">
        <v>1351.6931493869386</v>
      </c>
      <c r="H79">
        <v>1355.2818506130614</v>
      </c>
      <c r="I79">
        <v>1351.6931493869386</v>
      </c>
      <c r="J79">
        <v>1355.2818506130614</v>
      </c>
      <c r="K79" s="71"/>
      <c r="L79" s="71"/>
    </row>
    <row r="80" spans="2:20">
      <c r="B80" t="s">
        <v>6</v>
      </c>
      <c r="C80">
        <v>33.387499999999974</v>
      </c>
      <c r="D80">
        <v>0.81524884656047725</v>
      </c>
      <c r="E80">
        <v>40.953753128092529</v>
      </c>
      <c r="F80">
        <v>2.2356398188992128E-13</v>
      </c>
      <c r="G80">
        <v>31.593149386938538</v>
      </c>
      <c r="H80">
        <v>35.181850613061407</v>
      </c>
      <c r="I80">
        <v>31.593149386938538</v>
      </c>
      <c r="J80">
        <v>35.181850613061407</v>
      </c>
      <c r="K80" s="2"/>
      <c r="L80" s="2"/>
    </row>
    <row r="81" spans="2:12">
      <c r="B81" t="s">
        <v>7</v>
      </c>
      <c r="C81">
        <v>-10.525000000000007</v>
      </c>
      <c r="D81">
        <v>0.81524884656047725</v>
      </c>
      <c r="E81">
        <v>-12.910168526339934</v>
      </c>
      <c r="F81">
        <v>5.4680504799449514E-8</v>
      </c>
      <c r="G81">
        <v>-12.319350613061443</v>
      </c>
      <c r="H81">
        <v>-8.7306493869385715</v>
      </c>
      <c r="I81">
        <v>-12.319350613061443</v>
      </c>
      <c r="J81">
        <v>-8.7306493869385715</v>
      </c>
      <c r="K81" s="2"/>
      <c r="L81" s="2"/>
    </row>
    <row r="82" spans="2:12">
      <c r="B82" t="s">
        <v>8</v>
      </c>
      <c r="C82">
        <v>6.1000000000000254</v>
      </c>
      <c r="D82">
        <v>0.81524884656047725</v>
      </c>
      <c r="E82">
        <v>7.4823779582587999</v>
      </c>
      <c r="F82">
        <v>1.2266515328880824E-5</v>
      </c>
      <c r="G82">
        <v>4.3056493869385903</v>
      </c>
      <c r="H82">
        <v>7.8943506130614605</v>
      </c>
      <c r="I82">
        <v>4.3056493869385903</v>
      </c>
      <c r="J82">
        <v>7.8943506130614605</v>
      </c>
      <c r="K82" s="2"/>
      <c r="L82" s="2"/>
    </row>
    <row r="85" spans="2:12">
      <c r="B85" t="s">
        <v>125</v>
      </c>
    </row>
    <row r="86" spans="2:12">
      <c r="B86" t="s">
        <v>150</v>
      </c>
    </row>
    <row r="87" spans="2:12">
      <c r="B87" t="s">
        <v>151</v>
      </c>
    </row>
    <row r="88" spans="2:12">
      <c r="B88" s="4" t="s">
        <v>154</v>
      </c>
      <c r="C88">
        <f>C80/D80</f>
        <v>40.953753128092529</v>
      </c>
      <c r="D88" t="s">
        <v>161</v>
      </c>
      <c r="G88" s="72"/>
    </row>
    <row r="89" spans="2:12">
      <c r="B89" s="4" t="s">
        <v>198</v>
      </c>
      <c r="C89">
        <f>_xlfn.T.INV(1-0.05/2,11)</f>
        <v>2.2009851600916384</v>
      </c>
    </row>
    <row r="90" spans="2:12">
      <c r="B90" s="4" t="s">
        <v>152</v>
      </c>
      <c r="C90">
        <f>F80</f>
        <v>2.2356398188992128E-13</v>
      </c>
      <c r="D90" t="s">
        <v>155</v>
      </c>
    </row>
    <row r="91" spans="2:12">
      <c r="B91" s="4" t="s">
        <v>153</v>
      </c>
      <c r="C91">
        <f>I80</f>
        <v>31.593149386938538</v>
      </c>
      <c r="D91">
        <f>J80</f>
        <v>35.181850613061407</v>
      </c>
    </row>
    <row r="93" spans="2:12" ht="15">
      <c r="B93" s="49" t="s">
        <v>109</v>
      </c>
      <c r="C93" s="49"/>
      <c r="D93" s="49"/>
      <c r="E93" s="49"/>
      <c r="F93" s="49"/>
      <c r="G93" s="49"/>
      <c r="H93" s="73" t="s">
        <v>156</v>
      </c>
      <c r="I93" s="73" t="s">
        <v>157</v>
      </c>
      <c r="J93" s="49"/>
    </row>
    <row r="94" spans="2:12" ht="15">
      <c r="B94" s="49" t="s">
        <v>158</v>
      </c>
      <c r="C94" s="49"/>
      <c r="D94" s="49"/>
      <c r="E94" s="49"/>
      <c r="F94" s="49"/>
      <c r="G94" s="49"/>
      <c r="H94" s="73" t="s">
        <v>159</v>
      </c>
      <c r="I94" s="73" t="s">
        <v>173</v>
      </c>
      <c r="J94" s="49"/>
    </row>
    <row r="95" spans="2:12" ht="15">
      <c r="B95" s="49" t="s">
        <v>160</v>
      </c>
      <c r="C95" s="49"/>
      <c r="D95" s="49"/>
      <c r="E95" s="49"/>
      <c r="F95" s="49"/>
      <c r="G95" s="49"/>
      <c r="H95" s="49"/>
      <c r="I95" s="49"/>
      <c r="J95" s="49"/>
    </row>
    <row r="97" spans="2:16">
      <c r="B97" t="s">
        <v>125</v>
      </c>
    </row>
    <row r="98" spans="2:16">
      <c r="B98" t="s">
        <v>190</v>
      </c>
    </row>
    <row r="99" spans="2:16">
      <c r="B99" t="s">
        <v>191</v>
      </c>
    </row>
    <row r="100" spans="2:16" ht="15">
      <c r="B100" s="4" t="s">
        <v>192</v>
      </c>
      <c r="C100">
        <f>C81/D81</f>
        <v>-12.910168526339934</v>
      </c>
      <c r="D100" t="s">
        <v>199</v>
      </c>
      <c r="G100" s="72"/>
      <c r="K100" s="22"/>
      <c r="L100" s="22"/>
      <c r="M100" s="22"/>
      <c r="N100" s="22"/>
      <c r="O100" s="22"/>
      <c r="P100" s="22"/>
    </row>
    <row r="101" spans="2:16">
      <c r="B101" s="4" t="s">
        <v>198</v>
      </c>
      <c r="C101">
        <f>_xlfn.T.INV(1-0.05/2,11)</f>
        <v>2.2009851600916384</v>
      </c>
    </row>
    <row r="102" spans="2:16">
      <c r="B102" s="4" t="s">
        <v>202</v>
      </c>
      <c r="C102">
        <f>F81</f>
        <v>5.4680504799449514E-8</v>
      </c>
      <c r="D102" t="s">
        <v>155</v>
      </c>
      <c r="K102" s="48"/>
      <c r="L102" s="48"/>
      <c r="M102" s="48"/>
    </row>
    <row r="103" spans="2:16" ht="15">
      <c r="B103" s="4" t="s">
        <v>153</v>
      </c>
      <c r="C103">
        <f>I81</f>
        <v>-12.319350613061443</v>
      </c>
      <c r="D103">
        <f>J81</f>
        <v>-8.7306493869385715</v>
      </c>
      <c r="K103" s="49"/>
      <c r="L103" s="49"/>
    </row>
    <row r="105" spans="2:16" ht="15">
      <c r="B105" s="49" t="s">
        <v>109</v>
      </c>
      <c r="C105" s="49"/>
      <c r="D105" s="49"/>
      <c r="E105" s="49"/>
      <c r="F105" s="49"/>
      <c r="G105" s="49"/>
      <c r="H105" s="73" t="s">
        <v>193</v>
      </c>
      <c r="I105" s="73" t="s">
        <v>157</v>
      </c>
      <c r="J105" s="49"/>
    </row>
    <row r="106" spans="2:16" ht="15">
      <c r="B106" s="49" t="s">
        <v>200</v>
      </c>
      <c r="C106" s="49"/>
      <c r="D106" s="49"/>
      <c r="E106" s="49"/>
      <c r="F106" s="49"/>
      <c r="G106" s="49"/>
      <c r="H106" s="73" t="s">
        <v>194</v>
      </c>
      <c r="I106" s="73" t="s">
        <v>173</v>
      </c>
      <c r="J106" s="49"/>
    </row>
    <row r="107" spans="2:16" ht="15">
      <c r="B107" s="49" t="s">
        <v>201</v>
      </c>
      <c r="C107" s="49"/>
      <c r="D107" s="49"/>
      <c r="E107" s="49"/>
      <c r="F107" s="49"/>
      <c r="G107" s="49"/>
      <c r="H107" s="49"/>
      <c r="I107" s="49"/>
      <c r="J107" s="49"/>
    </row>
    <row r="108" spans="2:16">
      <c r="B108" s="4"/>
    </row>
    <row r="109" spans="2:16">
      <c r="B109" s="4"/>
    </row>
    <row r="110" spans="2:16">
      <c r="B110" t="s">
        <v>125</v>
      </c>
    </row>
    <row r="111" spans="2:16">
      <c r="B111" t="s">
        <v>195</v>
      </c>
    </row>
    <row r="112" spans="2:16">
      <c r="B112" t="s">
        <v>196</v>
      </c>
    </row>
    <row r="113" spans="2:15">
      <c r="B113" s="4" t="s">
        <v>197</v>
      </c>
      <c r="C113">
        <f>C82/D82</f>
        <v>7.4823779582587999</v>
      </c>
      <c r="D113" t="s">
        <v>161</v>
      </c>
      <c r="G113" s="72"/>
    </row>
    <row r="114" spans="2:15">
      <c r="B114" s="4" t="s">
        <v>198</v>
      </c>
      <c r="C114">
        <f>_xlfn.T.INV(1-0.05/2,11)</f>
        <v>2.2009851600916384</v>
      </c>
    </row>
    <row r="115" spans="2:15">
      <c r="B115" s="4" t="s">
        <v>203</v>
      </c>
      <c r="C115">
        <f>F82</f>
        <v>1.2266515328880824E-5</v>
      </c>
      <c r="D115" t="s">
        <v>155</v>
      </c>
    </row>
    <row r="116" spans="2:15">
      <c r="B116" s="4" t="s">
        <v>153</v>
      </c>
      <c r="C116">
        <f>I82</f>
        <v>4.3056493869385903</v>
      </c>
      <c r="D116">
        <f>J82</f>
        <v>7.8943506130614605</v>
      </c>
    </row>
    <row r="118" spans="2:15" ht="15">
      <c r="B118" s="49" t="s">
        <v>109</v>
      </c>
      <c r="C118" s="49"/>
      <c r="D118" s="49"/>
      <c r="E118" s="49"/>
      <c r="F118" s="49"/>
      <c r="G118" s="49"/>
      <c r="H118" s="73" t="s">
        <v>193</v>
      </c>
      <c r="I118" s="73" t="s">
        <v>157</v>
      </c>
      <c r="J118" s="49"/>
    </row>
    <row r="119" spans="2:15" ht="15">
      <c r="B119" s="49" t="s">
        <v>204</v>
      </c>
      <c r="C119" s="49"/>
      <c r="D119" s="49"/>
      <c r="E119" s="49"/>
      <c r="F119" s="49"/>
      <c r="G119" s="49"/>
      <c r="H119" s="73" t="s">
        <v>194</v>
      </c>
      <c r="I119" s="73" t="s">
        <v>173</v>
      </c>
      <c r="J119" s="49"/>
    </row>
    <row r="120" spans="2:15" ht="15">
      <c r="B120" s="49" t="s">
        <v>205</v>
      </c>
      <c r="C120" s="49"/>
      <c r="D120" s="49"/>
      <c r="E120" s="49"/>
      <c r="F120" s="49"/>
      <c r="G120" s="49"/>
      <c r="H120" s="49"/>
      <c r="I120" s="49"/>
      <c r="J120" s="49"/>
    </row>
    <row r="122" spans="2:15" ht="15">
      <c r="B122" s="22" t="s">
        <v>206</v>
      </c>
    </row>
    <row r="123" spans="2:15">
      <c r="B123" t="s">
        <v>125</v>
      </c>
    </row>
    <row r="124" spans="2:15">
      <c r="B124" t="s">
        <v>150</v>
      </c>
    </row>
    <row r="125" spans="2:15">
      <c r="B125" t="s">
        <v>151</v>
      </c>
    </row>
    <row r="126" spans="2:15">
      <c r="B126" s="4" t="s">
        <v>154</v>
      </c>
      <c r="C126">
        <f>E80</f>
        <v>40.953753128092529</v>
      </c>
      <c r="D126" t="s">
        <v>161</v>
      </c>
    </row>
    <row r="127" spans="2:15">
      <c r="B127" s="4" t="s">
        <v>207</v>
      </c>
      <c r="C127">
        <f>_xlfn.F.INV(1-0.05/2,3,17)</f>
        <v>4.0111631180738776</v>
      </c>
    </row>
    <row r="128" spans="2:15">
      <c r="B128" s="4" t="s">
        <v>152</v>
      </c>
      <c r="C128">
        <f>G136</f>
        <v>2.1030570417271462E-5</v>
      </c>
      <c r="D128" t="s">
        <v>155</v>
      </c>
      <c r="N128" s="85"/>
      <c r="O128" s="85"/>
    </row>
    <row r="129" spans="2:22">
      <c r="B129" s="4"/>
    </row>
    <row r="130" spans="2:22" ht="15">
      <c r="B130" s="49" t="s">
        <v>109</v>
      </c>
      <c r="C130" s="49"/>
      <c r="D130" s="49"/>
      <c r="E130" s="49"/>
      <c r="F130" s="49"/>
      <c r="G130" s="49"/>
      <c r="H130" s="73" t="s">
        <v>193</v>
      </c>
      <c r="I130" s="73" t="s">
        <v>157</v>
      </c>
    </row>
    <row r="131" spans="2:22" ht="15">
      <c r="B131" s="49" t="s">
        <v>158</v>
      </c>
      <c r="C131" s="49"/>
      <c r="D131" s="49"/>
      <c r="E131" s="49"/>
      <c r="F131" s="49"/>
      <c r="G131" s="49"/>
      <c r="H131" s="73" t="s">
        <v>194</v>
      </c>
      <c r="I131" s="73" t="s">
        <v>173</v>
      </c>
    </row>
    <row r="132" spans="2:22" ht="15">
      <c r="B132" s="49" t="s">
        <v>160</v>
      </c>
      <c r="C132" s="49"/>
      <c r="D132" s="49"/>
      <c r="E132" s="49"/>
      <c r="F132" s="49"/>
      <c r="G132" s="49"/>
      <c r="H132" s="49"/>
      <c r="I132" s="49"/>
    </row>
    <row r="134" spans="2:22" ht="15" thickBot="1">
      <c r="B134" t="s">
        <v>65</v>
      </c>
    </row>
    <row r="135" spans="2:22">
      <c r="B135" s="44"/>
      <c r="C135" s="44" t="s">
        <v>70</v>
      </c>
      <c r="D135" s="44" t="s">
        <v>71</v>
      </c>
      <c r="E135" s="44" t="s">
        <v>72</v>
      </c>
      <c r="F135" s="44" t="s">
        <v>73</v>
      </c>
      <c r="G135" s="44" t="s">
        <v>74</v>
      </c>
    </row>
    <row r="136" spans="2:22">
      <c r="B136" t="s">
        <v>66</v>
      </c>
      <c r="C136">
        <v>3</v>
      </c>
      <c r="D136">
        <v>20203.372499999998</v>
      </c>
      <c r="E136">
        <v>6734.4574999999995</v>
      </c>
      <c r="F136">
        <v>17.252554015427997</v>
      </c>
      <c r="G136">
        <v>2.1030570417271462E-5</v>
      </c>
      <c r="N136" s="72"/>
      <c r="O136" s="72"/>
      <c r="P136" s="72"/>
      <c r="Q136" s="72"/>
      <c r="R136" s="72"/>
      <c r="S136" s="72"/>
    </row>
    <row r="137" spans="2:22">
      <c r="B137" t="s">
        <v>67</v>
      </c>
      <c r="C137">
        <v>17</v>
      </c>
      <c r="D137">
        <v>6635.874166666672</v>
      </c>
      <c r="E137">
        <v>390.34553921568659</v>
      </c>
    </row>
    <row r="138" spans="2:22" ht="15" thickBot="1">
      <c r="B138" s="43" t="s">
        <v>68</v>
      </c>
      <c r="C138" s="43">
        <v>20</v>
      </c>
      <c r="D138" s="43">
        <v>26839.24666666667</v>
      </c>
      <c r="E138" s="43"/>
      <c r="F138" s="43"/>
      <c r="G138" s="43"/>
    </row>
    <row r="141" spans="2:22">
      <c r="N141" s="72"/>
      <c r="O141" s="72"/>
      <c r="P141" s="72"/>
      <c r="Q141" s="72"/>
      <c r="R141" s="72"/>
      <c r="S141" s="72"/>
      <c r="T141" s="72"/>
      <c r="U141" s="72"/>
      <c r="V141" s="7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72"/>
  <sheetViews>
    <sheetView workbookViewId="0">
      <selection activeCell="K27" sqref="K27"/>
    </sheetView>
  </sheetViews>
  <sheetFormatPr defaultRowHeight="14.25"/>
  <cols>
    <col min="1" max="1" width="8.875" customWidth="1"/>
    <col min="2" max="2" width="15.625" customWidth="1"/>
    <col min="9" max="9" width="16.5" customWidth="1"/>
    <col min="10" max="10" width="10.125" customWidth="1"/>
    <col min="11" max="11" width="16.125" customWidth="1"/>
    <col min="14" max="14" width="12" bestFit="1" customWidth="1"/>
    <col min="22" max="22" width="11.875" bestFit="1" customWidth="1"/>
    <col min="31" max="31" width="11" customWidth="1"/>
    <col min="40" max="40" width="12.625" customWidth="1"/>
  </cols>
  <sheetData>
    <row r="2" spans="2:45" ht="15.75" thickBot="1">
      <c r="B2" s="74" t="s">
        <v>162</v>
      </c>
    </row>
    <row r="3" spans="2:45">
      <c r="B3" s="44"/>
      <c r="C3" s="44" t="s">
        <v>75</v>
      </c>
      <c r="D3" s="44" t="s">
        <v>63</v>
      </c>
      <c r="E3" s="44" t="s">
        <v>76</v>
      </c>
      <c r="F3" s="44" t="s">
        <v>77</v>
      </c>
      <c r="G3" s="44" t="s">
        <v>78</v>
      </c>
      <c r="H3" s="44" t="s">
        <v>79</v>
      </c>
      <c r="I3" s="44" t="s">
        <v>80</v>
      </c>
      <c r="J3" s="44" t="s">
        <v>81</v>
      </c>
      <c r="N3" s="72" t="s">
        <v>208</v>
      </c>
      <c r="W3" s="72" t="s">
        <v>217</v>
      </c>
      <c r="AF3" s="72" t="s">
        <v>221</v>
      </c>
      <c r="AL3" t="s">
        <v>223</v>
      </c>
    </row>
    <row r="4" spans="2:45">
      <c r="B4" t="s">
        <v>55</v>
      </c>
      <c r="C4">
        <v>-6.625</v>
      </c>
      <c r="D4">
        <v>0.76775850695384573</v>
      </c>
      <c r="E4">
        <v>-8.6290154260684293</v>
      </c>
      <c r="F4">
        <v>2.5225369613510798E-5</v>
      </c>
      <c r="G4">
        <v>-8.3954542918737456</v>
      </c>
      <c r="H4">
        <v>-4.8545457081262544</v>
      </c>
      <c r="I4">
        <v>-8.3954542918737456</v>
      </c>
      <c r="J4">
        <v>-4.8545457081262544</v>
      </c>
      <c r="L4" s="112" t="s">
        <v>209</v>
      </c>
      <c r="M4" s="112"/>
      <c r="U4" s="112" t="s">
        <v>220</v>
      </c>
      <c r="V4" s="112"/>
      <c r="AD4" s="112" t="s">
        <v>222</v>
      </c>
      <c r="AE4" s="112"/>
      <c r="AM4" s="112" t="s">
        <v>224</v>
      </c>
      <c r="AN4" s="112"/>
    </row>
    <row r="5" spans="2:45">
      <c r="B5" t="s">
        <v>56</v>
      </c>
      <c r="C5">
        <v>0.29999999999997368</v>
      </c>
      <c r="D5">
        <v>0.76775850695384573</v>
      </c>
      <c r="E5">
        <v>0.39074786835023417</v>
      </c>
      <c r="F5" s="99">
        <v>0.70618330161937504</v>
      </c>
      <c r="G5">
        <v>-1.470454291873772</v>
      </c>
      <c r="H5">
        <v>2.0704542918737192</v>
      </c>
      <c r="I5">
        <v>-1.470454291873772</v>
      </c>
      <c r="J5">
        <v>2.0704542918737192</v>
      </c>
      <c r="M5" s="4" t="s">
        <v>210</v>
      </c>
      <c r="N5">
        <f>E4</f>
        <v>-8.6290154260684293</v>
      </c>
      <c r="O5" t="s">
        <v>199</v>
      </c>
      <c r="Q5" s="97" t="s">
        <v>211</v>
      </c>
      <c r="R5" s="97"/>
      <c r="V5" s="4" t="s">
        <v>218</v>
      </c>
      <c r="W5">
        <f>E5</f>
        <v>0.39074786835023417</v>
      </c>
      <c r="X5" t="s">
        <v>199</v>
      </c>
      <c r="Z5" s="97" t="s">
        <v>211</v>
      </c>
      <c r="AA5" s="97"/>
      <c r="AE5" s="4" t="s">
        <v>227</v>
      </c>
      <c r="AF5">
        <f>E6</f>
        <v>-0.86290154260686902</v>
      </c>
      <c r="AG5" t="s">
        <v>199</v>
      </c>
      <c r="AI5" s="97" t="s">
        <v>211</v>
      </c>
      <c r="AJ5" s="97"/>
      <c r="AN5" s="4" t="s">
        <v>225</v>
      </c>
      <c r="AO5">
        <f>E7</f>
        <v>1.8723335358450779</v>
      </c>
      <c r="AP5" t="s">
        <v>199</v>
      </c>
      <c r="AR5" s="97" t="s">
        <v>211</v>
      </c>
      <c r="AS5" s="97"/>
    </row>
    <row r="6" spans="2:45">
      <c r="B6" t="s">
        <v>57</v>
      </c>
      <c r="C6">
        <v>-0.66250000000002007</v>
      </c>
      <c r="D6">
        <v>0.76775850695384573</v>
      </c>
      <c r="E6">
        <v>-0.86290154260686902</v>
      </c>
      <c r="F6" s="99">
        <v>0.41331090044010743</v>
      </c>
      <c r="G6">
        <v>-2.4329542918737657</v>
      </c>
      <c r="H6">
        <v>1.1079542918737255</v>
      </c>
      <c r="I6">
        <v>-2.4329542918737657</v>
      </c>
      <c r="J6">
        <v>1.1079542918737255</v>
      </c>
      <c r="M6" s="4" t="s">
        <v>216</v>
      </c>
      <c r="N6">
        <f>_xlfn.T.INV(1-0.05/2,11)</f>
        <v>2.2009851600916384</v>
      </c>
      <c r="Q6" s="97" t="s">
        <v>212</v>
      </c>
      <c r="R6" s="97"/>
      <c r="V6" s="4" t="s">
        <v>216</v>
      </c>
      <c r="W6">
        <f>_xlfn.T.INV(1-0.05/2,11)</f>
        <v>2.2009851600916384</v>
      </c>
      <c r="Z6" s="97" t="s">
        <v>212</v>
      </c>
      <c r="AA6" s="97"/>
      <c r="AE6" s="4" t="s">
        <v>216</v>
      </c>
      <c r="AF6">
        <f>_xlfn.T.INV(1-0.05/2,11)</f>
        <v>2.2009851600916384</v>
      </c>
      <c r="AI6" s="97" t="s">
        <v>212</v>
      </c>
      <c r="AJ6" s="97"/>
      <c r="AN6" s="4" t="s">
        <v>216</v>
      </c>
      <c r="AO6">
        <f>_xlfn.T.INV(1-0.05/2,11)</f>
        <v>2.2009851600916384</v>
      </c>
      <c r="AR6" s="97" t="s">
        <v>212</v>
      </c>
      <c r="AS6" s="97"/>
    </row>
    <row r="7" spans="2:45" ht="15" thickBot="1">
      <c r="B7" s="43" t="s">
        <v>28</v>
      </c>
      <c r="C7" s="43">
        <v>1.4375000000000318</v>
      </c>
      <c r="D7" s="43">
        <v>0.76775850695384573</v>
      </c>
      <c r="E7" s="43">
        <v>1.8723335358450779</v>
      </c>
      <c r="F7" s="100">
        <v>9.8054652256954172E-2</v>
      </c>
      <c r="G7" s="43">
        <v>-0.33295429187371384</v>
      </c>
      <c r="H7" s="43">
        <v>3.2079542918737776</v>
      </c>
      <c r="I7" s="43">
        <v>-0.33295429187371384</v>
      </c>
      <c r="J7" s="43">
        <v>3.2079542918737776</v>
      </c>
      <c r="M7" s="4" t="s">
        <v>213</v>
      </c>
      <c r="N7">
        <f>F4</f>
        <v>2.5225369613510798E-5</v>
      </c>
      <c r="O7" t="s">
        <v>155</v>
      </c>
      <c r="V7" s="4" t="s">
        <v>219</v>
      </c>
      <c r="W7">
        <f>F5</f>
        <v>0.70618330161937504</v>
      </c>
      <c r="X7" t="s">
        <v>214</v>
      </c>
      <c r="AE7" s="4" t="s">
        <v>228</v>
      </c>
      <c r="AF7">
        <f>F6</f>
        <v>0.41331090044010743</v>
      </c>
      <c r="AG7" t="s">
        <v>214</v>
      </c>
      <c r="AN7" s="4" t="s">
        <v>226</v>
      </c>
      <c r="AO7">
        <f>F7</f>
        <v>9.8054652256954172E-2</v>
      </c>
      <c r="AP7" t="s">
        <v>214</v>
      </c>
    </row>
    <row r="8" spans="2:45">
      <c r="M8" s="4" t="s">
        <v>215</v>
      </c>
      <c r="N8">
        <f>I4</f>
        <v>-8.3954542918737456</v>
      </c>
      <c r="O8">
        <f>J4</f>
        <v>-4.8545457081262544</v>
      </c>
      <c r="V8" s="4" t="s">
        <v>215</v>
      </c>
      <c r="W8">
        <f>I5</f>
        <v>-1.470454291873772</v>
      </c>
      <c r="X8">
        <f>J5</f>
        <v>2.0704542918737192</v>
      </c>
      <c r="AE8" s="4" t="s">
        <v>215</v>
      </c>
      <c r="AF8">
        <f>I6</f>
        <v>-2.4329542918737657</v>
      </c>
      <c r="AG8">
        <f>J6</f>
        <v>1.1079542918737255</v>
      </c>
      <c r="AN8" s="4" t="s">
        <v>215</v>
      </c>
      <c r="AO8">
        <f>I7</f>
        <v>-0.33295429187371384</v>
      </c>
      <c r="AP8">
        <f>J7</f>
        <v>3.2079542918737776</v>
      </c>
    </row>
    <row r="15" spans="2:45" ht="15">
      <c r="B15" s="22" t="s">
        <v>163</v>
      </c>
    </row>
    <row r="16" spans="2:45" ht="15" thickBot="1"/>
    <row r="17" spans="2:19" ht="15">
      <c r="B17" s="8" t="s">
        <v>6</v>
      </c>
      <c r="C17" s="9" t="s">
        <v>7</v>
      </c>
      <c r="D17" s="77" t="s">
        <v>8</v>
      </c>
      <c r="E17" s="10" t="s">
        <v>5</v>
      </c>
      <c r="H17" t="s">
        <v>169</v>
      </c>
    </row>
    <row r="18" spans="2:19">
      <c r="B18" s="33">
        <v>-1</v>
      </c>
      <c r="C18" s="14">
        <v>-1</v>
      </c>
      <c r="D18" s="76">
        <v>-1</v>
      </c>
      <c r="E18" s="17">
        <v>1317.1</v>
      </c>
      <c r="H18">
        <v>-1</v>
      </c>
      <c r="I18">
        <f>AVERAGE(E18,E19,E20,E23,E25,E27,E31,E32)</f>
        <v>1320.1</v>
      </c>
    </row>
    <row r="19" spans="2:19">
      <c r="B19" s="33">
        <v>-1</v>
      </c>
      <c r="C19" s="14">
        <v>-1</v>
      </c>
      <c r="D19" s="76">
        <v>1</v>
      </c>
      <c r="E19" s="17">
        <v>1332.9</v>
      </c>
      <c r="H19">
        <v>1</v>
      </c>
      <c r="I19">
        <f>AVERAGE(E21,E22,E24,E26,E28,E29,E30,E33)</f>
        <v>1386.8749999999998</v>
      </c>
    </row>
    <row r="20" spans="2:19">
      <c r="B20" s="33">
        <v>-1</v>
      </c>
      <c r="C20" s="14">
        <v>1</v>
      </c>
      <c r="D20" s="76">
        <v>1</v>
      </c>
      <c r="E20" s="17">
        <v>1319.2</v>
      </c>
      <c r="H20" s="4" t="s">
        <v>165</v>
      </c>
      <c r="I20">
        <f>I19-I18</f>
        <v>66.774999999999864</v>
      </c>
    </row>
    <row r="21" spans="2:19">
      <c r="B21" s="33">
        <v>1</v>
      </c>
      <c r="C21" s="14">
        <v>1</v>
      </c>
      <c r="D21" s="76">
        <v>1</v>
      </c>
      <c r="E21" s="17">
        <v>1378.6</v>
      </c>
    </row>
    <row r="22" spans="2:19">
      <c r="B22" s="33">
        <v>1</v>
      </c>
      <c r="C22" s="14">
        <v>-1</v>
      </c>
      <c r="D22" s="76">
        <v>1</v>
      </c>
      <c r="E22" s="17">
        <v>1412.6</v>
      </c>
    </row>
    <row r="23" spans="2:19">
      <c r="B23" s="33">
        <v>-1</v>
      </c>
      <c r="C23" s="14">
        <v>1</v>
      </c>
      <c r="D23" s="76">
        <v>1</v>
      </c>
      <c r="E23" s="17">
        <v>1320.6</v>
      </c>
      <c r="H23" t="s">
        <v>168</v>
      </c>
    </row>
    <row r="24" spans="2:19" ht="15">
      <c r="B24" s="33">
        <v>1</v>
      </c>
      <c r="C24" s="14">
        <v>-1</v>
      </c>
      <c r="D24" s="76">
        <v>1</v>
      </c>
      <c r="E24" s="17">
        <v>1406.7</v>
      </c>
      <c r="H24">
        <v>-1</v>
      </c>
      <c r="I24">
        <f>AVERAGE(E18,E19,E22,E24,E25,E27,E28,E30)</f>
        <v>1364.0125000000003</v>
      </c>
      <c r="J24" s="75"/>
    </row>
    <row r="25" spans="2:19" ht="15">
      <c r="B25" s="33">
        <v>-1</v>
      </c>
      <c r="C25" s="14">
        <v>-1</v>
      </c>
      <c r="D25" s="76">
        <v>1</v>
      </c>
      <c r="E25" s="17">
        <v>1330.9</v>
      </c>
      <c r="H25">
        <v>1</v>
      </c>
      <c r="I25">
        <f>AVERAGE(E20,E21,E23,E26,E29,E31,E32,E33)</f>
        <v>1342.9625000000001</v>
      </c>
      <c r="J25" s="75"/>
    </row>
    <row r="26" spans="2:19" ht="15">
      <c r="B26" s="33">
        <v>1</v>
      </c>
      <c r="C26" s="14">
        <v>1</v>
      </c>
      <c r="D26" s="76">
        <v>1</v>
      </c>
      <c r="E26" s="17">
        <v>1375.2</v>
      </c>
      <c r="H26" s="4" t="s">
        <v>166</v>
      </c>
      <c r="I26">
        <f>I25-I24</f>
        <v>-21.050000000000182</v>
      </c>
      <c r="J26" s="75"/>
    </row>
    <row r="27" spans="2:19" ht="15">
      <c r="B27" s="33">
        <v>-1</v>
      </c>
      <c r="C27" s="14">
        <v>-1</v>
      </c>
      <c r="D27" s="76">
        <v>-1</v>
      </c>
      <c r="E27" s="17">
        <v>1315.1</v>
      </c>
      <c r="J27" s="75"/>
    </row>
    <row r="28" spans="2:19" ht="15">
      <c r="B28" s="33">
        <v>1</v>
      </c>
      <c r="C28" s="14">
        <v>-1</v>
      </c>
      <c r="D28" s="76">
        <v>-1</v>
      </c>
      <c r="E28" s="17">
        <v>1403.2</v>
      </c>
      <c r="J28" s="75"/>
    </row>
    <row r="29" spans="2:19">
      <c r="B29" s="33">
        <v>1</v>
      </c>
      <c r="C29" s="14">
        <v>1</v>
      </c>
      <c r="D29" s="76">
        <v>-1</v>
      </c>
      <c r="E29" s="17">
        <v>1363.3</v>
      </c>
      <c r="H29" t="s">
        <v>170</v>
      </c>
    </row>
    <row r="30" spans="2:19">
      <c r="B30" s="33">
        <v>1</v>
      </c>
      <c r="C30" s="14">
        <v>-1</v>
      </c>
      <c r="D30" s="76">
        <v>-1</v>
      </c>
      <c r="E30" s="17">
        <v>1393.6</v>
      </c>
      <c r="H30">
        <v>-1</v>
      </c>
      <c r="I30">
        <f>AVERAGE(E18,E27,E28,E29,E30,E31,E32,E33)</f>
        <v>1347.3874999999998</v>
      </c>
      <c r="S30" t="s">
        <v>238</v>
      </c>
    </row>
    <row r="31" spans="2:19">
      <c r="B31" s="33">
        <v>-1</v>
      </c>
      <c r="C31" s="14">
        <v>1</v>
      </c>
      <c r="D31" s="76">
        <v>-1</v>
      </c>
      <c r="E31" s="17">
        <v>1312.3</v>
      </c>
      <c r="H31">
        <v>1</v>
      </c>
      <c r="I31">
        <f>AVERAGE(E19,E20,E21,E22,E23,E24,E25,E26)</f>
        <v>1359.5875000000001</v>
      </c>
    </row>
    <row r="32" spans="2:19">
      <c r="B32" s="33">
        <v>-1</v>
      </c>
      <c r="C32" s="14">
        <v>1</v>
      </c>
      <c r="D32" s="76">
        <v>-1</v>
      </c>
      <c r="E32" s="17">
        <v>1312.7</v>
      </c>
      <c r="H32" s="4" t="s">
        <v>167</v>
      </c>
      <c r="I32">
        <f>I31-I30</f>
        <v>12.200000000000273</v>
      </c>
    </row>
    <row r="33" spans="2:5" ht="15" thickBot="1">
      <c r="B33" s="35">
        <v>1</v>
      </c>
      <c r="C33" s="30">
        <v>1</v>
      </c>
      <c r="D33" s="78">
        <v>-1</v>
      </c>
      <c r="E33" s="19">
        <v>1361.8</v>
      </c>
    </row>
    <row r="56" spans="2:10" ht="15">
      <c r="B56" s="22" t="s">
        <v>164</v>
      </c>
    </row>
    <row r="57" spans="2:10" ht="15" thickBot="1"/>
    <row r="58" spans="2:10" ht="15">
      <c r="B58" s="8" t="s">
        <v>6</v>
      </c>
      <c r="C58" s="9" t="s">
        <v>7</v>
      </c>
      <c r="D58" s="77" t="s">
        <v>8</v>
      </c>
      <c r="E58" s="10" t="s">
        <v>5</v>
      </c>
      <c r="H58" s="15"/>
      <c r="I58" s="79" t="s">
        <v>9</v>
      </c>
      <c r="J58" s="80" t="s">
        <v>10</v>
      </c>
    </row>
    <row r="59" spans="2:10" ht="15">
      <c r="B59" s="33">
        <v>-1</v>
      </c>
      <c r="C59" s="14">
        <v>-1</v>
      </c>
      <c r="D59" s="76">
        <v>-1</v>
      </c>
      <c r="E59" s="17">
        <v>1317.1</v>
      </c>
      <c r="H59" s="81" t="s">
        <v>2</v>
      </c>
      <c r="I59" s="7">
        <f>AVERAGE(80,85)</f>
        <v>82.5</v>
      </c>
      <c r="J59" s="17">
        <f>(85-80)/2</f>
        <v>2.5</v>
      </c>
    </row>
    <row r="60" spans="2:10" ht="15">
      <c r="B60" s="33">
        <v>-1</v>
      </c>
      <c r="C60" s="14">
        <v>-1</v>
      </c>
      <c r="D60" s="76">
        <v>1</v>
      </c>
      <c r="E60" s="17">
        <v>1332.9</v>
      </c>
      <c r="H60" s="81" t="s">
        <v>3</v>
      </c>
      <c r="I60" s="7">
        <f>AVERAGE(560,570)</f>
        <v>565</v>
      </c>
      <c r="J60" s="17">
        <f>(570-560)/2</f>
        <v>5</v>
      </c>
    </row>
    <row r="61" spans="2:10" ht="15.75" thickBot="1">
      <c r="B61" s="33">
        <v>-1</v>
      </c>
      <c r="C61" s="14">
        <v>1</v>
      </c>
      <c r="D61" s="76">
        <v>1</v>
      </c>
      <c r="E61" s="17">
        <v>1319.2</v>
      </c>
      <c r="H61" s="82" t="s">
        <v>4</v>
      </c>
      <c r="I61" s="13">
        <f>AVERAGE(31,28)</f>
        <v>29.5</v>
      </c>
      <c r="J61" s="19">
        <f>(31-28)/2</f>
        <v>1.5</v>
      </c>
    </row>
    <row r="62" spans="2:10">
      <c r="B62" s="33">
        <v>1</v>
      </c>
      <c r="C62" s="14">
        <v>1</v>
      </c>
      <c r="D62" s="76">
        <v>1</v>
      </c>
      <c r="E62" s="17">
        <v>1378.6</v>
      </c>
    </row>
    <row r="63" spans="2:10">
      <c r="B63" s="33">
        <v>1</v>
      </c>
      <c r="C63" s="14">
        <v>-1</v>
      </c>
      <c r="D63" s="76">
        <v>1</v>
      </c>
      <c r="E63" s="17">
        <v>1412.6</v>
      </c>
    </row>
    <row r="64" spans="2:10" ht="15">
      <c r="B64" s="33">
        <v>-1</v>
      </c>
      <c r="C64" s="14">
        <v>1</v>
      </c>
      <c r="D64" s="76">
        <v>1</v>
      </c>
      <c r="E64" s="17">
        <v>1320.6</v>
      </c>
      <c r="G64" s="5" t="s">
        <v>11</v>
      </c>
      <c r="H64" s="1" t="s">
        <v>15</v>
      </c>
      <c r="I64" t="s">
        <v>22</v>
      </c>
      <c r="J64" t="s">
        <v>14</v>
      </c>
    </row>
    <row r="65" spans="2:33" ht="15">
      <c r="B65" s="33">
        <v>1</v>
      </c>
      <c r="C65" s="14">
        <v>-1</v>
      </c>
      <c r="D65" s="76">
        <v>1</v>
      </c>
      <c r="E65" s="17">
        <v>1406.7</v>
      </c>
      <c r="G65" s="5" t="s">
        <v>12</v>
      </c>
      <c r="H65" s="1" t="s">
        <v>16</v>
      </c>
      <c r="I65" t="s">
        <v>23</v>
      </c>
      <c r="J65" t="s">
        <v>20</v>
      </c>
    </row>
    <row r="66" spans="2:33" ht="15">
      <c r="B66" s="33">
        <v>-1</v>
      </c>
      <c r="C66" s="14">
        <v>-1</v>
      </c>
      <c r="D66" s="76">
        <v>1</v>
      </c>
      <c r="E66" s="17">
        <v>1330.9</v>
      </c>
      <c r="G66" s="5" t="s">
        <v>13</v>
      </c>
      <c r="H66" s="1" t="s">
        <v>181</v>
      </c>
      <c r="I66" t="s">
        <v>24</v>
      </c>
      <c r="J66" t="s">
        <v>17</v>
      </c>
    </row>
    <row r="67" spans="2:33">
      <c r="B67" s="33">
        <v>1</v>
      </c>
      <c r="C67" s="14">
        <v>1</v>
      </c>
      <c r="D67" s="76">
        <v>1</v>
      </c>
      <c r="E67" s="17">
        <v>1375.2</v>
      </c>
      <c r="G67" s="4"/>
      <c r="H67" s="4" t="s">
        <v>19</v>
      </c>
      <c r="I67" t="s">
        <v>25</v>
      </c>
      <c r="J67" t="s">
        <v>18</v>
      </c>
    </row>
    <row r="68" spans="2:33">
      <c r="B68" s="33">
        <v>-1</v>
      </c>
      <c r="C68" s="14">
        <v>-1</v>
      </c>
      <c r="D68" s="76">
        <v>-1</v>
      </c>
      <c r="E68" s="17">
        <v>1315.1</v>
      </c>
    </row>
    <row r="69" spans="2:33">
      <c r="B69" s="33">
        <v>1</v>
      </c>
      <c r="C69" s="14">
        <v>-1</v>
      </c>
      <c r="D69" s="76">
        <v>-1</v>
      </c>
      <c r="E69" s="17">
        <v>1403.2</v>
      </c>
      <c r="AG69" t="s">
        <v>239</v>
      </c>
    </row>
    <row r="70" spans="2:33">
      <c r="B70" s="33">
        <v>1</v>
      </c>
      <c r="C70" s="14">
        <v>1</v>
      </c>
      <c r="D70" s="76">
        <v>-1</v>
      </c>
      <c r="E70" s="17">
        <v>1363.3</v>
      </c>
    </row>
    <row r="71" spans="2:33">
      <c r="B71" s="33">
        <v>1</v>
      </c>
      <c r="C71" s="14">
        <v>-1</v>
      </c>
      <c r="D71" s="76">
        <v>-1</v>
      </c>
      <c r="E71" s="17">
        <v>1393.6</v>
      </c>
    </row>
    <row r="72" spans="2:33">
      <c r="B72" s="33">
        <v>-1</v>
      </c>
      <c r="C72" s="14">
        <v>1</v>
      </c>
      <c r="D72" s="76">
        <v>-1</v>
      </c>
      <c r="E72" s="17">
        <v>1312.3</v>
      </c>
    </row>
    <row r="73" spans="2:33">
      <c r="B73" s="33">
        <v>-1</v>
      </c>
      <c r="C73" s="14">
        <v>1</v>
      </c>
      <c r="D73" s="76">
        <v>-1</v>
      </c>
      <c r="E73" s="17">
        <v>1312.7</v>
      </c>
    </row>
    <row r="74" spans="2:33" ht="15" thickBot="1">
      <c r="B74" s="35">
        <v>1</v>
      </c>
      <c r="C74" s="30">
        <v>1</v>
      </c>
      <c r="D74" s="78">
        <v>-1</v>
      </c>
      <c r="E74" s="19">
        <v>1361.8</v>
      </c>
    </row>
    <row r="78" spans="2:33">
      <c r="E78" s="115" t="s">
        <v>175</v>
      </c>
      <c r="F78" s="115"/>
    </row>
    <row r="79" spans="2:33">
      <c r="E79" s="7">
        <v>80</v>
      </c>
      <c r="F79" s="7">
        <v>85</v>
      </c>
    </row>
    <row r="80" spans="2:33">
      <c r="E80" s="7">
        <v>-1</v>
      </c>
      <c r="F80" s="7">
        <v>1</v>
      </c>
    </row>
    <row r="81" spans="2:7">
      <c r="B81" s="114" t="s">
        <v>176</v>
      </c>
      <c r="C81" s="7">
        <v>31</v>
      </c>
      <c r="D81" s="66">
        <v>-1</v>
      </c>
      <c r="E81" s="14">
        <f>AVERAGE(E59,E68,E72,E73)</f>
        <v>1314.3</v>
      </c>
      <c r="F81" s="14">
        <f>AVERAGE(E69,E70,E71,E74)</f>
        <v>1380.4750000000001</v>
      </c>
      <c r="G81">
        <f>AVERAGE(F82,E81)</f>
        <v>1353.7874999999999</v>
      </c>
    </row>
    <row r="82" spans="2:7">
      <c r="B82" s="114"/>
      <c r="C82" s="7">
        <v>28</v>
      </c>
      <c r="D82" s="66">
        <v>1</v>
      </c>
      <c r="E82" s="14">
        <f>AVERAGE(E60,E61,E64,E66)</f>
        <v>1325.9</v>
      </c>
      <c r="F82" s="14">
        <f>AVERAGE(E62,E63,E65,E67)</f>
        <v>1393.2749999999999</v>
      </c>
      <c r="G82">
        <f>AVERAGE(E82,F81)</f>
        <v>1353.1875</v>
      </c>
    </row>
    <row r="83" spans="2:7">
      <c r="F83" s="4" t="s">
        <v>178</v>
      </c>
      <c r="G83">
        <f>G81-G82</f>
        <v>0.59999999999990905</v>
      </c>
    </row>
    <row r="104" spans="2:7">
      <c r="B104" s="84"/>
      <c r="C104" s="2"/>
      <c r="D104" s="2"/>
    </row>
    <row r="105" spans="2:7">
      <c r="E105" s="115" t="s">
        <v>175</v>
      </c>
      <c r="F105" s="115"/>
    </row>
    <row r="106" spans="2:7">
      <c r="E106" s="7">
        <v>80</v>
      </c>
      <c r="F106" s="7">
        <v>85</v>
      </c>
    </row>
    <row r="107" spans="2:7">
      <c r="E107" s="7">
        <v>-1</v>
      </c>
      <c r="F107" s="7">
        <v>1</v>
      </c>
    </row>
    <row r="108" spans="2:7">
      <c r="B108" s="114" t="s">
        <v>177</v>
      </c>
      <c r="C108" s="7">
        <v>560</v>
      </c>
      <c r="D108" s="66">
        <v>-1</v>
      </c>
      <c r="E108" s="14">
        <f>AVERAGE(E59,E60,E66,E68)</f>
        <v>1324</v>
      </c>
      <c r="F108" s="14">
        <f>AVERAGE(E63,E65,E69,E71)</f>
        <v>1404.0250000000001</v>
      </c>
      <c r="G108">
        <f>AVERAGE(F109,E108)</f>
        <v>1346.8625000000002</v>
      </c>
    </row>
    <row r="109" spans="2:7">
      <c r="B109" s="114"/>
      <c r="C109" s="7">
        <v>570</v>
      </c>
      <c r="D109" s="66">
        <v>1</v>
      </c>
      <c r="E109" s="14">
        <f>AVERAGEA(E61,E64,E72,E73)</f>
        <v>1316.2</v>
      </c>
      <c r="F109" s="14">
        <f>AVERAGE(E62,E67,E70,E74)</f>
        <v>1369.7250000000001</v>
      </c>
      <c r="G109">
        <f>AVERAGE(E109,F108)</f>
        <v>1360.1125000000002</v>
      </c>
    </row>
    <row r="110" spans="2:7">
      <c r="B110" s="84"/>
      <c r="C110" s="2"/>
      <c r="D110" s="2"/>
      <c r="F110" s="4" t="s">
        <v>179</v>
      </c>
      <c r="G110">
        <f>G108-G109</f>
        <v>-13.25</v>
      </c>
    </row>
    <row r="133" spans="2:7" ht="15">
      <c r="B133" s="74"/>
    </row>
    <row r="134" spans="2:7">
      <c r="E134" s="115" t="s">
        <v>177</v>
      </c>
      <c r="F134" s="115"/>
    </row>
    <row r="135" spans="2:7">
      <c r="E135" s="7">
        <v>560</v>
      </c>
      <c r="F135" s="7">
        <v>570</v>
      </c>
    </row>
    <row r="136" spans="2:7">
      <c r="E136" s="7">
        <v>-1</v>
      </c>
      <c r="F136" s="7">
        <v>1</v>
      </c>
    </row>
    <row r="137" spans="2:7">
      <c r="B137" s="114" t="s">
        <v>176</v>
      </c>
      <c r="C137" s="7">
        <v>31</v>
      </c>
      <c r="D137" s="66">
        <v>-1</v>
      </c>
      <c r="E137" s="14">
        <f>AVERAGE(E18,E27,E28,E30)</f>
        <v>1357.25</v>
      </c>
      <c r="F137" s="14">
        <f>AVERAGE(E70,E72,E73,E74)</f>
        <v>1337.5250000000001</v>
      </c>
      <c r="G137">
        <f>AVERAGE(F138,E137)</f>
        <v>1352.825</v>
      </c>
    </row>
    <row r="138" spans="2:7">
      <c r="B138" s="114"/>
      <c r="C138" s="7">
        <v>28</v>
      </c>
      <c r="D138" s="66">
        <v>1</v>
      </c>
      <c r="E138" s="14">
        <f>AVERAGE(E60,E63,E65,E66)</f>
        <v>1370.7750000000001</v>
      </c>
      <c r="F138" s="14">
        <f>AVERAGE(E61,E62,E64,E67)</f>
        <v>1348.4</v>
      </c>
      <c r="G138">
        <f>AVERAGE(E138,F137)</f>
        <v>1354.15</v>
      </c>
    </row>
    <row r="139" spans="2:7">
      <c r="B139" s="84"/>
      <c r="C139" s="2"/>
      <c r="D139" s="2"/>
      <c r="F139" s="4" t="s">
        <v>180</v>
      </c>
      <c r="G139">
        <f>G137-G138</f>
        <v>-1.3250000000000455</v>
      </c>
    </row>
    <row r="152" spans="2:12" ht="15">
      <c r="B152" s="74" t="s">
        <v>171</v>
      </c>
    </row>
    <row r="153" spans="2:12" ht="15.75" thickBot="1">
      <c r="B153" s="22"/>
    </row>
    <row r="154" spans="2:12" ht="15">
      <c r="B154" s="104" t="s">
        <v>232</v>
      </c>
      <c r="C154" s="101">
        <f>(83-F155)/G155</f>
        <v>0.2</v>
      </c>
      <c r="F154" s="20" t="s">
        <v>9</v>
      </c>
      <c r="G154" s="21" t="s">
        <v>10</v>
      </c>
    </row>
    <row r="155" spans="2:12" ht="15">
      <c r="B155" s="105" t="s">
        <v>231</v>
      </c>
      <c r="C155" s="102">
        <f>(567-F156)/G156</f>
        <v>0.4</v>
      </c>
      <c r="F155" s="11">
        <f>AVERAGE(80,85)</f>
        <v>82.5</v>
      </c>
      <c r="G155" s="17">
        <f>(85-80)/2</f>
        <v>2.5</v>
      </c>
    </row>
    <row r="156" spans="2:12" ht="15">
      <c r="B156" s="105" t="s">
        <v>230</v>
      </c>
      <c r="C156" s="103">
        <f>(30-F157)/G157</f>
        <v>0.33333333333333331</v>
      </c>
      <c r="F156" s="11">
        <f>AVERAGE(560,570)</f>
        <v>565</v>
      </c>
      <c r="G156" s="17">
        <f>(570-560)/2</f>
        <v>5</v>
      </c>
    </row>
    <row r="157" spans="2:12" ht="15.75" thickBot="1">
      <c r="B157" s="106" t="s">
        <v>229</v>
      </c>
      <c r="C157" s="36">
        <f>(C159+E159*C154)-(G159*C155)+(I159*C156)-(K159*(C154*C155))</f>
        <v>1357.4583333333333</v>
      </c>
      <c r="F157" s="12">
        <f>AVERAGE(28,31)</f>
        <v>29.5</v>
      </c>
      <c r="G157" s="19">
        <f>(31-28)/2</f>
        <v>1.5</v>
      </c>
    </row>
    <row r="159" spans="2:12">
      <c r="B159" t="s">
        <v>233</v>
      </c>
      <c r="C159">
        <v>1353.4875</v>
      </c>
      <c r="D159" t="s">
        <v>84</v>
      </c>
      <c r="E159">
        <v>33.387499999999974</v>
      </c>
      <c r="F159" t="s">
        <v>85</v>
      </c>
      <c r="G159">
        <v>10.525</v>
      </c>
      <c r="H159" t="s">
        <v>86</v>
      </c>
      <c r="I159">
        <v>6.1000000000000254</v>
      </c>
      <c r="J159" t="s">
        <v>88</v>
      </c>
      <c r="K159">
        <v>6.625</v>
      </c>
      <c r="L159" t="s">
        <v>87</v>
      </c>
    </row>
    <row r="161" spans="2:12" ht="15">
      <c r="B161" s="5" t="s">
        <v>229</v>
      </c>
      <c r="C161" s="1">
        <f>C157</f>
        <v>1357.4583333333333</v>
      </c>
      <c r="D161" s="1" t="s">
        <v>236</v>
      </c>
      <c r="E161" s="1" t="s">
        <v>235</v>
      </c>
    </row>
    <row r="163" spans="2:12">
      <c r="B163" t="s">
        <v>90</v>
      </c>
      <c r="C163">
        <v>-23383.566666666666</v>
      </c>
      <c r="D163" t="s">
        <v>84</v>
      </c>
      <c r="E163">
        <v>13.35499999999999</v>
      </c>
      <c r="F163" t="s">
        <v>94</v>
      </c>
      <c r="G163">
        <v>2.105</v>
      </c>
      <c r="H163" t="s">
        <v>95</v>
      </c>
      <c r="I163">
        <v>4.0666666666666833</v>
      </c>
      <c r="J163" t="s">
        <v>96</v>
      </c>
      <c r="K163">
        <v>0.53</v>
      </c>
      <c r="L163" t="s">
        <v>97</v>
      </c>
    </row>
    <row r="165" spans="2:12" ht="15">
      <c r="B165" s="5" t="s">
        <v>234</v>
      </c>
      <c r="C165" s="1">
        <f>(C163+E163*83)-(G163*567)+(I163*30)-(K163*83*567)</f>
        <v>-48288.966666666667</v>
      </c>
      <c r="D165" s="1" t="s">
        <v>236</v>
      </c>
    </row>
    <row r="167" spans="2:12">
      <c r="B167" s="113" t="s">
        <v>237</v>
      </c>
      <c r="C167" s="113"/>
      <c r="D167" s="113"/>
      <c r="E167" s="113"/>
      <c r="F167" s="113"/>
      <c r="G167" s="113"/>
      <c r="H167" s="113"/>
      <c r="I167" s="113"/>
    </row>
    <row r="168" spans="2:12">
      <c r="B168" s="113"/>
      <c r="C168" s="113"/>
      <c r="D168" s="113"/>
      <c r="E168" s="113"/>
      <c r="F168" s="113"/>
      <c r="G168" s="113"/>
      <c r="H168" s="113"/>
      <c r="I168" s="113"/>
    </row>
    <row r="169" spans="2:12">
      <c r="B169" s="113"/>
      <c r="C169" s="113"/>
      <c r="D169" s="113"/>
      <c r="E169" s="113"/>
      <c r="F169" s="113"/>
      <c r="G169" s="113"/>
      <c r="H169" s="113"/>
      <c r="I169" s="113"/>
    </row>
    <row r="170" spans="2:12" ht="15">
      <c r="B170" s="74"/>
    </row>
    <row r="172" spans="2:12" ht="15">
      <c r="B172" s="74" t="s">
        <v>172</v>
      </c>
    </row>
  </sheetData>
  <mergeCells count="11">
    <mergeCell ref="L4:M4"/>
    <mergeCell ref="U4:V4"/>
    <mergeCell ref="AD4:AE4"/>
    <mergeCell ref="AM4:AN4"/>
    <mergeCell ref="B167:I169"/>
    <mergeCell ref="B137:B138"/>
    <mergeCell ref="E78:F78"/>
    <mergeCell ref="B81:B82"/>
    <mergeCell ref="E105:F105"/>
    <mergeCell ref="B108:B109"/>
    <mergeCell ref="E134:F1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ZADANIE_UVOD</vt:lpstr>
      <vt:lpstr>11-14</vt:lpstr>
      <vt:lpstr>15-20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Kulíšková</dc:creator>
  <cp:lastModifiedBy>Janette Kotianová</cp:lastModifiedBy>
  <dcterms:created xsi:type="dcterms:W3CDTF">2024-11-22T12:36:16Z</dcterms:created>
  <dcterms:modified xsi:type="dcterms:W3CDTF">2026-02-20T12:50:43Z</dcterms:modified>
</cp:coreProperties>
</file>