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otianova\Desktop\stranka mmpve\"/>
    </mc:Choice>
  </mc:AlternateContent>
  <bookViews>
    <workbookView xWindow="0" yWindow="0" windowWidth="28800" windowHeight="12330"/>
  </bookViews>
  <sheets>
    <sheet name="Úvod_10" sheetId="1" r:id="rId1"/>
    <sheet name="11_14" sheetId="4" r:id="rId2"/>
    <sheet name="15_21" sheetId="8"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1" i="1" l="1"/>
  <c r="L249" i="1"/>
  <c r="K251" i="1"/>
  <c r="D172" i="8"/>
  <c r="C159" i="8"/>
  <c r="C158" i="8"/>
  <c r="C157" i="8"/>
  <c r="C160" i="8" s="1"/>
  <c r="I118" i="8"/>
  <c r="H118" i="8"/>
  <c r="I117" i="8"/>
  <c r="H117" i="8"/>
  <c r="I116" i="8"/>
  <c r="H116" i="8"/>
  <c r="I86" i="8"/>
  <c r="I87" i="8"/>
  <c r="I80" i="8"/>
  <c r="I79" i="8"/>
  <c r="I73" i="8"/>
  <c r="I72" i="8"/>
  <c r="F57" i="8"/>
  <c r="E57" i="8"/>
  <c r="E56" i="8"/>
  <c r="E55" i="8"/>
  <c r="E54" i="8"/>
  <c r="E44" i="8"/>
  <c r="D44" i="8"/>
  <c r="D43" i="8"/>
  <c r="D42" i="8"/>
  <c r="D41" i="8"/>
  <c r="F30" i="8"/>
  <c r="E30" i="8"/>
  <c r="E29" i="8"/>
  <c r="E28" i="8"/>
  <c r="E27" i="8"/>
  <c r="E16" i="8"/>
  <c r="D16" i="8"/>
  <c r="D15" i="8"/>
  <c r="D14" i="8"/>
  <c r="D13" i="8"/>
  <c r="C192" i="4"/>
  <c r="C190" i="4"/>
  <c r="C191" i="4"/>
  <c r="D166" i="4"/>
  <c r="C166" i="4"/>
  <c r="C165" i="4"/>
  <c r="C164" i="4"/>
  <c r="C163" i="4"/>
  <c r="C140" i="4"/>
  <c r="D143" i="4"/>
  <c r="C143" i="4"/>
  <c r="C142" i="4"/>
  <c r="C141" i="4"/>
  <c r="C118" i="4"/>
  <c r="C119" i="4"/>
  <c r="D120" i="4"/>
  <c r="C120" i="4"/>
  <c r="C117" i="4"/>
  <c r="E46" i="4"/>
  <c r="E47" i="4"/>
  <c r="E48" i="4"/>
  <c r="E49" i="4"/>
  <c r="E50" i="4"/>
  <c r="E51" i="4"/>
  <c r="E52" i="4"/>
  <c r="E53" i="4"/>
  <c r="E54" i="4"/>
  <c r="E55" i="4"/>
  <c r="E56" i="4"/>
  <c r="E57" i="4"/>
  <c r="E58" i="4"/>
  <c r="E59" i="4"/>
  <c r="E60" i="4"/>
  <c r="E61" i="4"/>
  <c r="F61" i="4"/>
  <c r="F60" i="4"/>
  <c r="F59" i="4"/>
  <c r="F58" i="4"/>
  <c r="F57" i="4"/>
  <c r="F56" i="4"/>
  <c r="F55" i="4"/>
  <c r="F54" i="4"/>
  <c r="F53" i="4"/>
  <c r="F52" i="4"/>
  <c r="F51" i="4"/>
  <c r="F50" i="4"/>
  <c r="F49" i="4"/>
  <c r="F48" i="4"/>
  <c r="F47" i="4"/>
  <c r="F46" i="4"/>
  <c r="E20" i="4"/>
  <c r="K22" i="4"/>
  <c r="D12" i="4"/>
  <c r="G9" i="4" s="1"/>
  <c r="K298" i="1"/>
  <c r="K296" i="1"/>
  <c r="P291" i="1"/>
  <c r="O291" i="1"/>
  <c r="M296" i="1" s="1"/>
  <c r="M291" i="1"/>
  <c r="L291" i="1"/>
  <c r="K291" i="1"/>
  <c r="M292" i="1"/>
  <c r="L292" i="1"/>
  <c r="Q286" i="1"/>
  <c r="P286" i="1"/>
  <c r="P281" i="1"/>
  <c r="P278" i="1"/>
  <c r="P277" i="1"/>
  <c r="P274" i="1"/>
  <c r="P273" i="1"/>
  <c r="P270" i="1"/>
  <c r="P269" i="1"/>
  <c r="P266" i="1"/>
  <c r="P265"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L248" i="1"/>
  <c r="L247" i="1"/>
  <c r="L246" i="1"/>
  <c r="L245" i="1"/>
  <c r="Q187" i="1"/>
  <c r="P187" i="1"/>
  <c r="Q186" i="1"/>
  <c r="P186" i="1"/>
  <c r="Q185" i="1"/>
  <c r="P185" i="1"/>
  <c r="W182" i="1"/>
  <c r="W183" i="1" s="1"/>
  <c r="U182" i="1"/>
  <c r="U183" i="1" s="1"/>
  <c r="S182" i="1"/>
  <c r="Q182" i="1"/>
  <c r="Q183" i="1" s="1"/>
  <c r="O182" i="1"/>
  <c r="O183" i="1" s="1"/>
  <c r="M182" i="1"/>
  <c r="W181" i="1"/>
  <c r="U181" i="1"/>
  <c r="S181" i="1"/>
  <c r="Q181" i="1"/>
  <c r="O181" i="1"/>
  <c r="M181" i="1"/>
  <c r="V141" i="1"/>
  <c r="U141" i="1"/>
  <c r="V140" i="1"/>
  <c r="U140" i="1"/>
  <c r="V139" i="1"/>
  <c r="U139"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I74" i="8" l="1"/>
  <c r="I88" i="8"/>
  <c r="I81" i="8"/>
  <c r="F15" i="4"/>
  <c r="G7" i="4"/>
  <c r="G11" i="4"/>
  <c r="G8" i="4"/>
  <c r="G10" i="4"/>
  <c r="M183" i="1"/>
  <c r="S183" i="1"/>
  <c r="R103" i="1"/>
  <c r="Q103" i="1"/>
  <c r="P103" i="1"/>
  <c r="O103" i="1"/>
  <c r="R102" i="1"/>
  <c r="Q102" i="1"/>
  <c r="P102" i="1"/>
  <c r="O102" i="1"/>
  <c r="R101" i="1"/>
  <c r="Q101" i="1"/>
  <c r="P101" i="1"/>
  <c r="O101" i="1"/>
  <c r="R100" i="1"/>
  <c r="Q100" i="1"/>
  <c r="P100" i="1"/>
  <c r="O100" i="1"/>
  <c r="R99" i="1"/>
  <c r="Q99" i="1"/>
  <c r="P99" i="1"/>
  <c r="O99" i="1"/>
  <c r="R98" i="1"/>
  <c r="Q98" i="1"/>
  <c r="P98" i="1"/>
  <c r="O98" i="1"/>
  <c r="R97" i="1"/>
  <c r="Q97" i="1"/>
  <c r="P97" i="1"/>
  <c r="O97" i="1"/>
  <c r="R96" i="1"/>
  <c r="Q96" i="1"/>
  <c r="P96" i="1"/>
  <c r="O96" i="1"/>
  <c r="R95" i="1"/>
  <c r="Q95" i="1"/>
  <c r="P95" i="1"/>
  <c r="O95" i="1"/>
  <c r="R94" i="1"/>
  <c r="Q94" i="1"/>
  <c r="P94" i="1"/>
  <c r="O94" i="1"/>
  <c r="R93" i="1"/>
  <c r="Q93" i="1"/>
  <c r="P93" i="1"/>
  <c r="O93" i="1"/>
  <c r="R92" i="1"/>
  <c r="Q92" i="1"/>
  <c r="P92" i="1"/>
  <c r="O92" i="1"/>
  <c r="R91" i="1"/>
  <c r="Q91" i="1"/>
  <c r="P91" i="1"/>
  <c r="O91" i="1"/>
  <c r="R90" i="1"/>
  <c r="Q90" i="1"/>
  <c r="P90" i="1"/>
  <c r="O90" i="1"/>
  <c r="R89" i="1"/>
  <c r="Q89" i="1"/>
  <c r="P89" i="1"/>
  <c r="O89" i="1"/>
  <c r="R88" i="1"/>
  <c r="Q88" i="1"/>
  <c r="P88" i="1"/>
  <c r="O88" i="1"/>
  <c r="W49" i="1"/>
  <c r="W48" i="1"/>
  <c r="W47" i="1"/>
  <c r="W50" i="1"/>
  <c r="W51" i="1"/>
  <c r="W52" i="1"/>
  <c r="W53" i="1"/>
  <c r="W54" i="1"/>
  <c r="W55" i="1"/>
  <c r="W56" i="1"/>
  <c r="W57" i="1"/>
  <c r="W58" i="1"/>
  <c r="W59" i="1"/>
  <c r="W60" i="1"/>
  <c r="W61" i="1"/>
  <c r="W46" i="1"/>
  <c r="V48" i="1"/>
  <c r="V47" i="1"/>
  <c r="V46" i="1"/>
  <c r="V49" i="1"/>
  <c r="V50" i="1"/>
  <c r="V51" i="1"/>
  <c r="V52" i="1"/>
  <c r="V53" i="1"/>
  <c r="V54" i="1"/>
  <c r="V55" i="1"/>
  <c r="V56" i="1"/>
  <c r="V57" i="1"/>
  <c r="V58" i="1"/>
  <c r="V59" i="1"/>
  <c r="V60" i="1"/>
  <c r="V61" i="1"/>
  <c r="U50" i="1"/>
  <c r="U49" i="1"/>
  <c r="U47" i="1"/>
  <c r="U46" i="1"/>
  <c r="U48" i="1"/>
  <c r="U51" i="1"/>
  <c r="U52" i="1"/>
  <c r="U53" i="1"/>
  <c r="U54" i="1"/>
  <c r="U55" i="1"/>
  <c r="U56" i="1"/>
  <c r="U57" i="1"/>
  <c r="U58" i="1"/>
  <c r="U59" i="1"/>
  <c r="U60" i="1"/>
  <c r="U61" i="1"/>
  <c r="T51" i="1"/>
  <c r="T50" i="1"/>
  <c r="T48" i="1"/>
  <c r="T47" i="1"/>
  <c r="T49" i="1"/>
  <c r="T52" i="1"/>
  <c r="T53" i="1"/>
  <c r="T54" i="1"/>
  <c r="T55" i="1"/>
  <c r="T56" i="1"/>
  <c r="T57" i="1"/>
  <c r="T58" i="1"/>
  <c r="T59" i="1"/>
  <c r="T60" i="1"/>
  <c r="T61" i="1"/>
  <c r="T46" i="1"/>
  <c r="X35" i="1"/>
  <c r="X33" i="1"/>
  <c r="X31" i="1"/>
  <c r="X29" i="1"/>
  <c r="X27" i="1"/>
  <c r="X25" i="1"/>
  <c r="X23" i="1"/>
  <c r="X21" i="1"/>
  <c r="T9" i="1"/>
  <c r="T10" i="1"/>
  <c r="T11" i="1"/>
  <c r="T12" i="1"/>
  <c r="T13" i="1"/>
  <c r="T14" i="1"/>
  <c r="T15" i="1"/>
  <c r="T16" i="1"/>
  <c r="T17" i="1"/>
  <c r="T18" i="1"/>
  <c r="T19" i="1"/>
  <c r="T20" i="1"/>
  <c r="T21" i="1"/>
  <c r="T22" i="1"/>
  <c r="T23" i="1"/>
  <c r="T8" i="1"/>
  <c r="V4" i="1"/>
  <c r="V3" i="1"/>
  <c r="V2" i="1"/>
  <c r="U4" i="1"/>
  <c r="U3" i="1"/>
  <c r="U2" i="1"/>
  <c r="G12" i="4" l="1"/>
  <c r="C20" i="4" s="1"/>
  <c r="C21" i="4" s="1"/>
  <c r="Q18" i="1"/>
  <c r="L64" i="1" a="1"/>
  <c r="L64" i="1" s="1"/>
  <c r="L74" i="1" s="1" a="1"/>
  <c r="O76" i="1" s="1"/>
  <c r="R76" i="1" s="1"/>
  <c r="R10" i="1"/>
  <c r="S17" i="1"/>
  <c r="Q9" i="1"/>
  <c r="R18" i="1"/>
  <c r="Q10" i="1"/>
  <c r="R11" i="1"/>
  <c r="T24" i="1"/>
  <c r="R8" i="1"/>
  <c r="R19" i="1"/>
  <c r="Q14" i="1"/>
  <c r="Q19" i="1"/>
  <c r="S12" i="1"/>
  <c r="S8" i="1"/>
  <c r="S22" i="1"/>
  <c r="S16" i="1"/>
  <c r="S23" i="1"/>
  <c r="S9" i="1"/>
  <c r="Q17" i="1"/>
  <c r="R17" i="1"/>
  <c r="S11" i="1"/>
  <c r="Q16" i="1"/>
  <c r="Q13" i="1"/>
  <c r="S21" i="1"/>
  <c r="Q15" i="1"/>
  <c r="R15" i="1"/>
  <c r="S20" i="1"/>
  <c r="S10" i="1"/>
  <c r="Q22" i="1"/>
  <c r="R22" i="1"/>
  <c r="S19" i="1"/>
  <c r="Q21" i="1"/>
  <c r="Q8" i="1"/>
  <c r="R21" i="1"/>
  <c r="R13" i="1"/>
  <c r="S18" i="1"/>
  <c r="R9" i="1"/>
  <c r="Q11" i="1"/>
  <c r="S15" i="1"/>
  <c r="Q12" i="1"/>
  <c r="S14" i="1"/>
  <c r="R16" i="1"/>
  <c r="S13" i="1"/>
  <c r="Q23" i="1"/>
  <c r="R23" i="1"/>
  <c r="R14" i="1"/>
  <c r="Q20" i="1"/>
  <c r="R20" i="1"/>
  <c r="R12" i="1"/>
  <c r="O78" i="1" l="1"/>
  <c r="R78" i="1" s="1"/>
  <c r="O80" i="1"/>
  <c r="R80" i="1" s="1"/>
  <c r="O77" i="1"/>
  <c r="R77" i="1" s="1"/>
  <c r="O81" i="1"/>
  <c r="R81" i="1" s="1"/>
  <c r="O79" i="1"/>
  <c r="R79" i="1" s="1"/>
  <c r="L74" i="1"/>
  <c r="O74" i="1" s="1"/>
  <c r="R74" i="1" s="1"/>
  <c r="O75" i="1"/>
  <c r="R75" i="1" s="1"/>
  <c r="L81" i="1"/>
  <c r="L80" i="1"/>
  <c r="L79" i="1"/>
  <c r="L78" i="1"/>
  <c r="L77" i="1"/>
  <c r="L76" i="1"/>
  <c r="L75" i="1"/>
  <c r="AA71" i="1"/>
  <c r="Z71" i="1"/>
  <c r="Y71" i="1"/>
  <c r="X71" i="1"/>
  <c r="W71" i="1"/>
  <c r="V71" i="1"/>
  <c r="U71" i="1"/>
  <c r="T71" i="1"/>
  <c r="S71" i="1"/>
  <c r="R71" i="1"/>
  <c r="Q71" i="1"/>
  <c r="P71" i="1"/>
  <c r="O71" i="1"/>
  <c r="N71" i="1"/>
  <c r="M71" i="1"/>
  <c r="L71" i="1"/>
  <c r="AA70" i="1"/>
  <c r="Z70" i="1"/>
  <c r="Y70" i="1"/>
  <c r="X70" i="1"/>
  <c r="W70" i="1"/>
  <c r="V70" i="1"/>
  <c r="U70" i="1"/>
  <c r="T70" i="1"/>
  <c r="S70" i="1"/>
  <c r="R70" i="1"/>
  <c r="Q70" i="1"/>
  <c r="P70" i="1"/>
  <c r="O70" i="1"/>
  <c r="N70" i="1"/>
  <c r="M70" i="1"/>
  <c r="L70" i="1"/>
  <c r="AA69" i="1"/>
  <c r="Z69" i="1"/>
  <c r="Y69" i="1"/>
  <c r="X69" i="1"/>
  <c r="W69" i="1"/>
  <c r="V69" i="1"/>
  <c r="U69" i="1"/>
  <c r="T69" i="1"/>
  <c r="S69" i="1"/>
  <c r="R69" i="1"/>
  <c r="Q69" i="1"/>
  <c r="P69" i="1"/>
  <c r="O69" i="1"/>
  <c r="N69" i="1"/>
  <c r="M69" i="1"/>
  <c r="L69" i="1"/>
  <c r="AA68" i="1"/>
  <c r="Z68" i="1"/>
  <c r="Y68" i="1"/>
  <c r="X68" i="1"/>
  <c r="W68" i="1"/>
  <c r="V68" i="1"/>
  <c r="U68" i="1"/>
  <c r="T68" i="1"/>
  <c r="S68" i="1"/>
  <c r="R68" i="1"/>
  <c r="Q68" i="1"/>
  <c r="P68" i="1"/>
  <c r="O68" i="1"/>
  <c r="N68" i="1"/>
  <c r="M68" i="1"/>
  <c r="L68" i="1"/>
  <c r="AA67" i="1"/>
  <c r="Z67" i="1"/>
  <c r="Y67" i="1"/>
  <c r="X67" i="1"/>
  <c r="W67" i="1"/>
  <c r="V67" i="1"/>
  <c r="U67" i="1"/>
  <c r="T67" i="1"/>
  <c r="S67" i="1"/>
  <c r="R67" i="1"/>
  <c r="Q67" i="1"/>
  <c r="P67" i="1"/>
  <c r="O67" i="1"/>
  <c r="N67" i="1"/>
  <c r="M67" i="1"/>
  <c r="L67" i="1"/>
  <c r="AA66" i="1"/>
  <c r="Z66" i="1"/>
  <c r="Y66" i="1"/>
  <c r="X66" i="1"/>
  <c r="W66" i="1"/>
  <c r="V66" i="1"/>
  <c r="U66" i="1"/>
  <c r="T66" i="1"/>
  <c r="S66" i="1"/>
  <c r="R66" i="1"/>
  <c r="Q66" i="1"/>
  <c r="P66" i="1"/>
  <c r="O66" i="1"/>
  <c r="N66" i="1"/>
  <c r="M66" i="1"/>
  <c r="L66" i="1"/>
  <c r="AA65" i="1"/>
  <c r="Z65" i="1"/>
  <c r="Y65" i="1"/>
  <c r="X65" i="1"/>
  <c r="W65" i="1"/>
  <c r="V65" i="1"/>
  <c r="U65" i="1"/>
  <c r="T65" i="1"/>
  <c r="S65" i="1"/>
  <c r="R65" i="1"/>
  <c r="Q65" i="1"/>
  <c r="P65" i="1"/>
  <c r="O65" i="1"/>
  <c r="N65" i="1"/>
  <c r="M65" i="1"/>
  <c r="L65" i="1"/>
  <c r="AA64" i="1"/>
  <c r="Z64" i="1"/>
  <c r="Y64" i="1"/>
  <c r="X64" i="1"/>
  <c r="W64" i="1"/>
  <c r="V64" i="1"/>
  <c r="U64" i="1"/>
  <c r="T64" i="1"/>
  <c r="S64" i="1"/>
  <c r="R64" i="1"/>
  <c r="Q64" i="1"/>
  <c r="P64" i="1"/>
  <c r="O64" i="1"/>
  <c r="N64" i="1"/>
  <c r="M64" i="1"/>
</calcChain>
</file>

<file path=xl/comments1.xml><?xml version="1.0" encoding="utf-8"?>
<comments xmlns="http://schemas.openxmlformats.org/spreadsheetml/2006/main">
  <authors>
    <author>Janette Kotianová</author>
  </authors>
  <commentList>
    <comment ref="Q74" authorId="0" shapeId="0">
      <text>
        <r>
          <rPr>
            <b/>
            <sz val="9"/>
            <color indexed="81"/>
            <rFont val="Segoe UI"/>
            <family val="2"/>
            <charset val="238"/>
          </rPr>
          <t>bodove odhady koeficientov</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<sst xmlns="http://schemas.openxmlformats.org/spreadsheetml/2006/main" count="557" uniqueCount="271">
  <si>
    <t>Meranie</t>
  </si>
  <si>
    <t>x1 (°C)</t>
  </si>
  <si>
    <t>x2 (bar)</t>
  </si>
  <si>
    <t>x3 (mm/s)</t>
  </si>
  <si>
    <t>s</t>
  </si>
  <si>
    <t>lambda</t>
  </si>
  <si>
    <t>x1=</t>
  </si>
  <si>
    <t>x2=</t>
  </si>
  <si>
    <t>(°C)</t>
  </si>
  <si>
    <t>x3=</t>
  </si>
  <si>
    <t>Y=</t>
  </si>
  <si>
    <t>&lt;130;170&gt;</t>
  </si>
  <si>
    <t>&lt;600;1000&gt;</t>
  </si>
  <si>
    <t>&lt;40;80&gt;</t>
  </si>
  <si>
    <t>(mm/s)</t>
  </si>
  <si>
    <t>(bar)</t>
  </si>
  <si>
    <t>Teplota taveniny [T]</t>
  </si>
  <si>
    <t>Nastavená rýchlosť vstrekovania [V]</t>
  </si>
  <si>
    <t>Vstrekovací tlak [P]</t>
  </si>
  <si>
    <t>Skutočná rýchlosť vstrekovania [mm/s]</t>
  </si>
  <si>
    <t>Y (mm/s)</t>
  </si>
  <si>
    <t>t1</t>
  </si>
  <si>
    <t>t2</t>
  </si>
  <si>
    <t>t3</t>
  </si>
  <si>
    <t>Y</t>
  </si>
  <si>
    <t>priemer</t>
  </si>
  <si>
    <t>Priemer pre C-plot</t>
  </si>
  <si>
    <t>1. Zobrazenie priemerných odoziev pomocou CPLOT-u</t>
  </si>
  <si>
    <t>2. Metódou najmenších štvorcov odhadnite koeficienty transformovanej regresnej funkcie lineárneho typu.</t>
  </si>
  <si>
    <t>b0</t>
  </si>
  <si>
    <t>b1</t>
  </si>
  <si>
    <t>b2</t>
  </si>
  <si>
    <t>b3</t>
  </si>
  <si>
    <t>b12</t>
  </si>
  <si>
    <t>b13</t>
  </si>
  <si>
    <t>b23</t>
  </si>
  <si>
    <t>b123</t>
  </si>
  <si>
    <t>t0</t>
  </si>
  <si>
    <t>t12</t>
  </si>
  <si>
    <t>t13</t>
  </si>
  <si>
    <t>t23</t>
  </si>
  <si>
    <t>t123</t>
  </si>
  <si>
    <t>t1*t2</t>
  </si>
  <si>
    <t>t1*t3</t>
  </si>
  <si>
    <t>t2*t3</t>
  </si>
  <si>
    <t>t1*t2*t3</t>
  </si>
  <si>
    <t xml:space="preserve">x = </t>
  </si>
  <si>
    <t xml:space="preserve">y = </t>
  </si>
  <si>
    <t xml:space="preserve">XT = </t>
  </si>
  <si>
    <t>8x16</t>
  </si>
  <si>
    <t>16x1</t>
  </si>
  <si>
    <t xml:space="preserve">XT*Y = </t>
  </si>
  <si>
    <t xml:space="preserve">b = </t>
  </si>
  <si>
    <r>
      <t>b</t>
    </r>
    <r>
      <rPr>
        <vertAlign val="subscript"/>
        <sz val="11"/>
        <color rgb="FFC00000"/>
        <rFont val="Aptos Narrow"/>
        <family val="2"/>
        <charset val="238"/>
        <scheme val="minor"/>
      </rPr>
      <t>0</t>
    </r>
    <r>
      <rPr>
        <sz val="11"/>
        <color rgb="FFC00000"/>
        <rFont val="Aptos Narrow"/>
        <family val="2"/>
        <charset val="238"/>
        <scheme val="minor"/>
      </rPr>
      <t>=</t>
    </r>
  </si>
  <si>
    <r>
      <t>b</t>
    </r>
    <r>
      <rPr>
        <vertAlign val="subscript"/>
        <sz val="11"/>
        <color rgb="FFC00000"/>
        <rFont val="Aptos Narrow"/>
        <family val="2"/>
        <charset val="238"/>
        <scheme val="minor"/>
      </rPr>
      <t>1</t>
    </r>
    <r>
      <rPr>
        <sz val="11"/>
        <color rgb="FFC00000"/>
        <rFont val="Aptos Narrow"/>
        <family val="2"/>
        <charset val="238"/>
        <scheme val="minor"/>
      </rPr>
      <t>=</t>
    </r>
  </si>
  <si>
    <r>
      <t>b</t>
    </r>
    <r>
      <rPr>
        <vertAlign val="subscript"/>
        <sz val="11"/>
        <color rgb="FFC00000"/>
        <rFont val="Aptos Narrow"/>
        <family val="2"/>
        <charset val="238"/>
        <scheme val="minor"/>
      </rPr>
      <t>2</t>
    </r>
    <r>
      <rPr>
        <sz val="11"/>
        <color rgb="FFC00000"/>
        <rFont val="Aptos Narrow"/>
        <family val="2"/>
        <charset val="238"/>
        <scheme val="minor"/>
      </rPr>
      <t>=</t>
    </r>
  </si>
  <si>
    <r>
      <t>b</t>
    </r>
    <r>
      <rPr>
        <vertAlign val="subscript"/>
        <sz val="11"/>
        <color rgb="FFC00000"/>
        <rFont val="Aptos Narrow"/>
        <family val="2"/>
        <charset val="238"/>
        <scheme val="minor"/>
      </rPr>
      <t>3</t>
    </r>
    <r>
      <rPr>
        <sz val="11"/>
        <color rgb="FFC00000"/>
        <rFont val="Aptos Narrow"/>
        <family val="2"/>
        <charset val="238"/>
        <scheme val="minor"/>
      </rPr>
      <t>=</t>
    </r>
  </si>
  <si>
    <r>
      <t>b</t>
    </r>
    <r>
      <rPr>
        <vertAlign val="subscript"/>
        <sz val="11"/>
        <color rgb="FFC00000"/>
        <rFont val="Aptos Narrow"/>
        <family val="2"/>
        <charset val="238"/>
        <scheme val="minor"/>
      </rPr>
      <t>12</t>
    </r>
    <r>
      <rPr>
        <sz val="11"/>
        <color rgb="FFC00000"/>
        <rFont val="Aptos Narrow"/>
        <family val="2"/>
        <charset val="238"/>
        <scheme val="minor"/>
      </rPr>
      <t>=</t>
    </r>
  </si>
  <si>
    <r>
      <t>b</t>
    </r>
    <r>
      <rPr>
        <vertAlign val="subscript"/>
        <sz val="11"/>
        <color rgb="FFC00000"/>
        <rFont val="Aptos Narrow"/>
        <family val="2"/>
        <charset val="238"/>
        <scheme val="minor"/>
      </rPr>
      <t>13</t>
    </r>
    <r>
      <rPr>
        <sz val="11"/>
        <color rgb="FFC00000"/>
        <rFont val="Aptos Narrow"/>
        <family val="2"/>
        <charset val="238"/>
        <scheme val="minor"/>
      </rPr>
      <t>=</t>
    </r>
  </si>
  <si>
    <r>
      <t>b</t>
    </r>
    <r>
      <rPr>
        <vertAlign val="subscript"/>
        <sz val="11"/>
        <color rgb="FFC00000"/>
        <rFont val="Aptos Narrow"/>
        <family val="2"/>
        <charset val="238"/>
        <scheme val="minor"/>
      </rPr>
      <t>23</t>
    </r>
    <r>
      <rPr>
        <sz val="11"/>
        <color rgb="FFC00000"/>
        <rFont val="Aptos Narrow"/>
        <family val="2"/>
        <charset val="238"/>
        <scheme val="minor"/>
      </rPr>
      <t>=</t>
    </r>
  </si>
  <si>
    <r>
      <t>b</t>
    </r>
    <r>
      <rPr>
        <vertAlign val="subscript"/>
        <sz val="11"/>
        <color rgb="FFC00000"/>
        <rFont val="Aptos Narrow"/>
        <family val="2"/>
        <charset val="238"/>
        <scheme val="minor"/>
      </rPr>
      <t>123</t>
    </r>
    <r>
      <rPr>
        <sz val="11"/>
        <color rgb="FFC00000"/>
        <rFont val="Aptos Narrow"/>
        <family val="2"/>
        <charset val="238"/>
        <scheme val="minor"/>
      </rPr>
      <t>=</t>
    </r>
  </si>
  <si>
    <t>3. Na hladine významnosti 0,05 rozhodnite, ktoré z faktorov a interakcií nie sú štatisticky významné a možno ich vylúčiť, ak má zostať regresný model hierarchický.</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</si>
  <si>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</si>
  <si>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</si>
  <si>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</si>
  <si>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</si>
  <si>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</si>
  <si>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</si>
  <si>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</si>
  <si>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</si>
  <si>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</si>
  <si>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</si>
  <si>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</si>
  <si>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</si>
  <si>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</si>
  <si>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</si>
  <si>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</si>
  <si>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</si>
  <si>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</si>
  <si>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</si>
  <si>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</si>
  <si>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</si>
  <si>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</si>
  <si>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</si>
  <si>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</si>
  <si>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</si>
  <si>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(vylučujem hodnoty, ktoré sú &gt; ako α = 0,05)</t>
  </si>
  <si>
    <t xml:space="preserve">Na základe hladiny významnosti 0,05 vylučujem t1*t2 a t1*t2*t3. </t>
  </si>
  <si>
    <t>4. Napíšte bodový odhad transformovanej regresnej funkcie lineárneho typu, ktorý vznikne po vylúčení štatisticky nevýznamných členov. Ďalej pracujte s týmto modelom.</t>
  </si>
  <si>
    <t>x1</t>
  </si>
  <si>
    <t>x2</t>
  </si>
  <si>
    <t>x3</t>
  </si>
  <si>
    <t>5. Napíšte rovnicu pôvodnej regresnej funkcie lineárneho typu, t.j. rovnicu regresného modelu v nekódovaných hodnotách s upravenými koeficientami.</t>
  </si>
  <si>
    <t>yLt(t1,t2,t3,t1*t3, t2*t3)</t>
  </si>
  <si>
    <t>+</t>
  </si>
  <si>
    <t>*t1+</t>
  </si>
  <si>
    <t>*t2+</t>
  </si>
  <si>
    <t>*t3+</t>
  </si>
  <si>
    <t>*(t1*t3)+</t>
  </si>
  <si>
    <t>*(t2*t3)</t>
  </si>
  <si>
    <t>fL(x1,x2,x3,x1*x3,x2*x3)</t>
  </si>
  <si>
    <t>*(x1-150)/20+</t>
  </si>
  <si>
    <t>*(x2-800)/200+</t>
  </si>
  <si>
    <t>*(x3-60)/20+</t>
  </si>
  <si>
    <t>*((x1-150)/20)*((x3-60)/20)+</t>
  </si>
  <si>
    <t>*((x2-800)/200)*((x3-60)/20)+</t>
  </si>
  <si>
    <t>*x1+</t>
  </si>
  <si>
    <t>*x2+</t>
  </si>
  <si>
    <t>*x3+</t>
  </si>
  <si>
    <t>*(x1*x3)+</t>
  </si>
  <si>
    <t>*(x2*x3)</t>
  </si>
  <si>
    <t>6. Charakterizujte kvalitu získaného modelu pomocou indexu determinácie. Číselnú hodnotu interpretujte slovne.</t>
  </si>
  <si>
    <t>R^2=</t>
  </si>
  <si>
    <t>index determinácie</t>
  </si>
  <si>
    <t xml:space="preserve">99,98% variability sledovanej závislej premennej je vysvetlených navrhnutým modelom, zatiaľ čo len približne 0,02% variability zostáva nyévysvetlených a možno ju pripísať náhodným vplyvom alebo experimentálnej chybe. Z toho vyplýva, že je tam veľmi vysoká zhoda medzi nameranými hodnotami a modelom predikovanými hodnotami - je tam veľmi dobrá kvalita regresného / DOE modelu. Model je schopný takmer dokonale popísať správanie skúmaného procesu v rámci realizovaného experimentu. </t>
  </si>
  <si>
    <t xml:space="preserve">Odpoveď: </t>
  </si>
  <si>
    <t>7. Porovnajte upravený index determinácie pri modeli so všetkými pôvodnými premennými a pri modeli, ktorý dostanete po ich vylúčení. Výsledok interpretujte.</t>
  </si>
  <si>
    <t>upravene R^2=</t>
  </si>
  <si>
    <t>upravený index determinácie</t>
  </si>
  <si>
    <t>Model so všetkými pôvodnými premennými</t>
  </si>
  <si>
    <t>Model po vylúčení</t>
  </si>
  <si>
    <r>
      <t>ΔR2=0,999866−0,999782=</t>
    </r>
    <r>
      <rPr>
        <b/>
        <i/>
        <u/>
        <sz val="11"/>
        <color theme="1"/>
        <rFont val="Aptos Narrow"/>
        <family val="2"/>
        <scheme val="minor"/>
      </rPr>
      <t>0,000084</t>
    </r>
  </si>
  <si>
    <t xml:space="preserve">Rozdiel medzi hodnotami indexu determinácie je 0, 999866 - 0,999782 = 0,000084, čo predstavuje iba 0,0084% vysvetlenej variability. To znamená, že tento rozdiel je zanedbateľný z praktického aj štatistického hľadiska. Z toho vyplýva, že po vylúčení určitých parametrov došlo ku veľmi miernemu poklesu indexu determinácie. Redukovaný model si zachoval takmer rovnakú vysvetľovaciu schonosť ako pôvodný model so všetkými premennými, pričom je jednoduchší a prehľadnejší. </t>
  </si>
  <si>
    <t xml:space="preserve">8. Charakterizujte kvalitu modelu z hľadiska jeho predikcie. </t>
  </si>
  <si>
    <t xml:space="preserve">Keďže index determinácie je hodnota, ktorá sa veľmi približuje k 1-tke, znamená to veľmi dobrú kvalitu modelu z pohľadu predikcie. I keď nám index determinácie pri vylúčení premenných klesol, takto malý rozdiel poklesu nemá prakticky žiadny význam pre predikčnú schopnosť modelu. Preto sa predikčnosť modelu zachovala na veľmi dobrej úrovni. Keďže len 0,0084% variability zostáva nevysvetlenej. Redukovaný model je preto vhodnejší pre praktické použitie. </t>
  </si>
  <si>
    <t>9. Otestujte celkovú štatistickú významnosť regresného modelu pomocou F testu.</t>
  </si>
  <si>
    <t>MSR=</t>
  </si>
  <si>
    <t>MSE=</t>
  </si>
  <si>
    <t>p=</t>
  </si>
  <si>
    <r>
      <t>F</t>
    </r>
    <r>
      <rPr>
        <sz val="8"/>
        <color theme="1"/>
        <rFont val="Aptos Narrow"/>
        <family val="2"/>
        <scheme val="minor"/>
      </rPr>
      <t>0</t>
    </r>
    <r>
      <rPr>
        <sz val="11"/>
        <color theme="1"/>
        <rFont val="Aptos Narrow"/>
        <family val="2"/>
        <charset val="238"/>
        <scheme val="minor"/>
      </rPr>
      <t>=</t>
    </r>
  </si>
  <si>
    <t>W=</t>
  </si>
  <si>
    <t>α = 0,05</t>
  </si>
  <si>
    <t>H0: b1=b2=b3=b12=b13=b23=b123=0 &gt;&lt; H1:minimálne jeden koeficient je nenulový</t>
  </si>
  <si>
    <t>(3,33;∞)</t>
  </si>
  <si>
    <t>H0: b1=b2=b3=b12=b13=b23=b123=0 zamietame</t>
  </si>
  <si>
    <t>10. Otestujte kvalitu modelu testom Lack of Fit.</t>
  </si>
  <si>
    <t>SUMA</t>
  </si>
  <si>
    <t>PE</t>
  </si>
  <si>
    <t>df pre PE</t>
  </si>
  <si>
    <t>X Variable 1</t>
  </si>
  <si>
    <t>X Variable 2</t>
  </si>
  <si>
    <t>X Variable 3</t>
  </si>
  <si>
    <t>X Variable 4</t>
  </si>
  <si>
    <t>X Variable 5</t>
  </si>
  <si>
    <t>test Lack of Fit (LOF)</t>
  </si>
  <si>
    <t>Fkrit</t>
  </si>
  <si>
    <t>p hodnota</t>
  </si>
  <si>
    <t>Lack of fit</t>
  </si>
  <si>
    <t>Pure error</t>
  </si>
  <si>
    <t>H0: SSLF=SSPE &gt;&lt; H1: SSLF≠SSPE</t>
  </si>
  <si>
    <t>F=</t>
  </si>
  <si>
    <t>&lt;</t>
  </si>
  <si>
    <t>nepatrí do W, preto H0 nezamietame</t>
  </si>
  <si>
    <t>Na hladine významnosti 0,05 môžeme konštatovať že lineárny model je nedostatočný.</t>
  </si>
  <si>
    <t>11.Testom krivosti overte, či nie je potrebné do modelu zaradiť kvadratické členy.</t>
  </si>
  <si>
    <t>y priemer:</t>
  </si>
  <si>
    <t>nC(počet hodôt):</t>
  </si>
  <si>
    <t>odhadnuté stredné hodnoty</t>
  </si>
  <si>
    <t>central points</t>
  </si>
  <si>
    <t>hodnoty/priemer</t>
  </si>
  <si>
    <t>sum</t>
  </si>
  <si>
    <t>factorial point</t>
  </si>
  <si>
    <t>16 nameraných hodnôt</t>
  </si>
  <si>
    <t>y priem:</t>
  </si>
  <si>
    <t>nF:</t>
  </si>
  <si>
    <t>SSCPQ=</t>
  </si>
  <si>
    <t>testovacie kritérium:</t>
  </si>
  <si>
    <t>T=</t>
  </si>
  <si>
    <t>&lt;- Fkv(0,95;1;4)</t>
  </si>
  <si>
    <t>&gt;</t>
  </si>
  <si>
    <t>H0 prijímame.</t>
  </si>
  <si>
    <t>Na základe testu krivosti možno konštatovať, že nie je potrebné zaradiť kvadratické členy.</t>
  </si>
  <si>
    <t>12.Analyzujte reziduá graficky a overte, či spĺňajú požadované podmienky aj pomocou testov.</t>
  </si>
  <si>
    <t>RESIDUAL OUTPUT</t>
  </si>
  <si>
    <t>Observation</t>
  </si>
  <si>
    <t>Predicted Y</t>
  </si>
  <si>
    <t>Residuals</t>
  </si>
  <si>
    <t>Standard Residuals</t>
  </si>
  <si>
    <t>13.Určte, či je samostatný vplyv faktorov na hodnotu regresnej funkcie lineárneho typu štatisticky významný. Použite t test nulovosti regresného koeficientu.</t>
  </si>
  <si>
    <t>α=0,05</t>
  </si>
  <si>
    <t>samostatný vplyv faktora t1 na hodnotu regresnej funkcie fLT</t>
  </si>
  <si>
    <t>H0:b1=0&gt;&lt;H1:b1≠0</t>
  </si>
  <si>
    <t>tstat(b1) =</t>
  </si>
  <si>
    <t>patri do W</t>
  </si>
  <si>
    <t>p(b1)  =</t>
  </si>
  <si>
    <t>&lt;0,05</t>
  </si>
  <si>
    <t xml:space="preserve">pre 0 </t>
  </si>
  <si>
    <t xml:space="preserve">H0:b1=0 </t>
  </si>
  <si>
    <t>zamietame</t>
  </si>
  <si>
    <t>samostatny vplyv faktora t1 na hodnotu regresnej funkcie fLT</t>
  </si>
  <si>
    <t xml:space="preserve">H1:b1=0 </t>
  </si>
  <si>
    <t>nezamietame</t>
  </si>
  <si>
    <t>H0: b1=0 &gt;&lt; H1:b1 nerovná sa 0</t>
  </si>
  <si>
    <t>samostatný vplyv faktora t2 na hodnotu regresnej funkcie fLT</t>
  </si>
  <si>
    <t>H0:b2=0&gt;&lt;H1:b2≠0</t>
  </si>
  <si>
    <t>tstat(b2) =</t>
  </si>
  <si>
    <t>nepatri do W</t>
  </si>
  <si>
    <t>p(b2)  =</t>
  </si>
  <si>
    <t xml:space="preserve">H0:b2=0 </t>
  </si>
  <si>
    <t>samostatny vplyv faktora t2 na hodnotu regresnej funkcie fLT</t>
  </si>
  <si>
    <t xml:space="preserve">H1:b2=0 </t>
  </si>
  <si>
    <t>H0: b2=0 &gt;&lt; H1:b2 nerovná sa 0</t>
  </si>
  <si>
    <t>samostatný vplyv faktora t3 na hodnotu regresnej funkcie fLT</t>
  </si>
  <si>
    <t>H0:b3=0&gt;&lt;H1:b3≠0</t>
  </si>
  <si>
    <t>tstat(b3) =</t>
  </si>
  <si>
    <t>p(b3)  =</t>
  </si>
  <si>
    <t>samostatny vplyv faktora t3 na hodnotu regresnej funkcie fLT</t>
  </si>
  <si>
    <t>H0: b3=0 &gt;&lt; H1:b3 nerovná sa 0</t>
  </si>
  <si>
    <t xml:space="preserve">    tkv 12(0,95) = </t>
  </si>
  <si>
    <t>Na hladine významnosti α=0,05 možno povedať, že koeficient b1 je statisticky vyznamny, to znamená, že samostatný vplyv faktora t1 na hodnotu transformovanej regresnej funkcie fLT(t1, t2, t3) je štatisticky významný, to znamená, že ho nemožno zanedbať.</t>
  </si>
  <si>
    <t>Odpoveď:</t>
  </si>
  <si>
    <t>Na hladine významnosti α=0,05 možno povedať, že koeficient b2 je statisticky vyznamny, to znamená, že samostatný vplyv faktora t1 na hodnotu transformovanej regresnej funkcie fLT(t1, t2, t3) je štatisticky významný, to znamená, že ho nemožno zanedbať.</t>
  </si>
  <si>
    <t>Na hladine významnosti α=0,05 možno povedať, že koeficient b3 je statisticky vyznamny, to znamená, že samostatný vplyv faktora t3 na hodnotu transformovanej regresnej funkcie fLT(t1, t2, t3) je štatisticky významný, to znamená, že ho nemožno zanedbať.</t>
  </si>
  <si>
    <t>14. Určte, či je samostatný vplyv vybraného faktoru na hodnotu regresnej funkcie lineárneho typu štatisticky významný. Použite F test dodatočného príspevku vybraného faktora na vysvetlenie variability závislej premennej.</t>
  </si>
  <si>
    <t xml:space="preserve">    Fkv3; 17(0,95) = </t>
  </si>
  <si>
    <t>samostatný  vybraného faktora t1 na hodnotu regresnej funkcie flt</t>
  </si>
  <si>
    <t xml:space="preserve">Na hladine významnosti α =0,05 možno definovať, že koeficient b1 je statisticky vyznamny, to znamená, že samostatný vplyv faktora t1 na hodnotu transformovanej regresnej funkcie =  flt(t1, t2, t3) je štatisticky významný, to znamená, že ho nemožno zanedbať. </t>
  </si>
  <si>
    <t>15. Určte, či je vybraná interakcia faktorov na hodnotu regresnej funkcie lineárneho typu štatisticky významná. Použite t test nulovosti regresného koeficientu.</t>
  </si>
  <si>
    <t>1. spoločný vplyv faktorov t1 a t2 na hodnotu regresnej funkcie fLT</t>
  </si>
  <si>
    <t>H0: b12=0 &gt;&lt; H1:b12≠0</t>
  </si>
  <si>
    <t>t stat(b12)=</t>
  </si>
  <si>
    <t>H0:b12=0 prijimame</t>
  </si>
  <si>
    <t>H1:b12≠0  zamietame</t>
  </si>
  <si>
    <t>p(b12)=</t>
  </si>
  <si>
    <t xml:space="preserve">0 patri </t>
  </si>
  <si>
    <t>t kv 12 (0,95)=</t>
  </si>
  <si>
    <t>&gt;0,05</t>
  </si>
  <si>
    <t>2. spoločný vplyv faktorov t1 a t3 na hodnotu regresnej funkcie fLT</t>
  </si>
  <si>
    <t>H0: b13=0 &gt;&lt; H1:b13≠0</t>
  </si>
  <si>
    <t>t stat(b13)=</t>
  </si>
  <si>
    <t>p(b13)=</t>
  </si>
  <si>
    <t>Na hladine významnosti α=0,05 možno definovať, že koeficient b12  nie je statisticky vyznamny, to znamená, že spoločny vplyv faktorov t1 a t2 na hodnotu transformovanej regresnej funkcie flt (t1, t2, t3)  nie je štatisticky významný, to znamená, že ho možno zanedbať.</t>
  </si>
  <si>
    <t>Na hladine významnosti α=0,05 možno definovať, že koeficient b13  je statisticky vyznamny, to znamená, že spoločny vplyv faktorov t1 a t3 na hodnotu transformovanej regresnej funkcie flt (t1, t2, t3)  je štatisticky významný, to znamená, že ho nemožno zanedbať.</t>
  </si>
  <si>
    <t>3. spoločný vplyv faktorov t2 a t3 na hodnotu regresnej funkcie fLT</t>
  </si>
  <si>
    <t>H0: b23=0 &gt;&lt; H1:b23≠0</t>
  </si>
  <si>
    <t>t stat(b23)=</t>
  </si>
  <si>
    <t>p(b23)=</t>
  </si>
  <si>
    <t>patrí do W</t>
  </si>
  <si>
    <t>Na hladine významnosti α=0,05 možno definovať, že koeficient b23  je statisticky vyznamny, to znamená, že spoločny vplyv faktorov t2 a t3 na hodnotu transformovanej regresnej funkcie flt (t1, t2, t3)  je štatisticky významný, to znamená, že ho nemožno zanedbať.</t>
  </si>
  <si>
    <t>4. spoločný vplyv faktorov t1, t2 a t3 na hodnotu regresnej funkcie fLT</t>
  </si>
  <si>
    <t>H0: b123=0 &gt;&lt; H1:b123≠0</t>
  </si>
  <si>
    <t>t stat(b123)=</t>
  </si>
  <si>
    <t>p(b123)=</t>
  </si>
  <si>
    <t>Na hladine významnosti α=0,05 možno definovať, že koeficient b123  nie je statisticky vyznamny, to znamená, že spoločny vplyv faktorov t1, t2 a t3 na hodnotu transformovanej regresnej funkcie flt (t1, t2, t3)  nie je štatisticky významný, to znamená, že ho možno zanedbať.</t>
  </si>
  <si>
    <t>16. Vypočítajte a zobrazte grafy hlavných efektov sledovaných faktorov (main effect plots). Grafy porovnajte a interpretujte.</t>
  </si>
  <si>
    <t>ef(A)=</t>
  </si>
  <si>
    <t>ef(B)=</t>
  </si>
  <si>
    <t>ef(C)=</t>
  </si>
  <si>
    <t>hlavny efekt sledovaného faktora A</t>
  </si>
  <si>
    <t>hlavny efekt sledovaného faktora B</t>
  </si>
  <si>
    <t>hlavny efekt sledovaného faktora C</t>
  </si>
  <si>
    <t xml:space="preserve">Keď nastavíme efekt faktora A, B, C na hornú úroveň, odozva sa zvyšuje, pri všetkých premenných.  Čo znamená: väčšia teplota taveniny = väčší vstrekovací tlak = vyššia nastavená rýchlosť, to všetko vyústi do procesu lepšieho vstrekovania vstrekolisu. </t>
  </si>
  <si>
    <t>17. Zobrazte efekt interakcií sledovaných faktorov (interaction plots) a interpretujte ich.</t>
  </si>
  <si>
    <t xml:space="preserve">Pri každej zobrazenej interakcií, je interakcia medzi jednotlivými premennými prítomná. Keďže pri prvej a druhej interakcií úsečky nie sú rovnobežné, interakcia je malá. Pri tretej interakcií je už interakcia silnejšia. </t>
  </si>
  <si>
    <t>18. Pomocou nájdeného regresného modelu predikujte hodnotu odozvy pre zvolené úrovne faktorov. Správnosť výsledku overte výpočtom cez model v pôvodných aj kódovaných jednotkách.</t>
  </si>
  <si>
    <t>*(t1*t3)</t>
  </si>
  <si>
    <t>*(x1*x3)</t>
  </si>
  <si>
    <t xml:space="preserve">x1=83 →t1=  </t>
  </si>
  <si>
    <t xml:space="preserve">x2=567 →t2=  </t>
  </si>
  <si>
    <t xml:space="preserve">x3=30 →t3=  </t>
  </si>
  <si>
    <t>yLt(t1,t2,t3)=</t>
  </si>
  <si>
    <t>Predikované</t>
  </si>
  <si>
    <t>=</t>
  </si>
  <si>
    <t>mm/s</t>
  </si>
  <si>
    <t>fLt(t1,t2,t3)</t>
  </si>
  <si>
    <t xml:space="preserve">F = 9173,22-&gt; patrí do intervalu W (3,33;∞)    Na hladine významnosti 0,05 môžeme tvrdiť, že regresný model je štatisticky významný - je na hranici významnosti. </t>
  </si>
  <si>
    <t>α (0,05)</t>
  </si>
  <si>
    <t>F kv5,10(0,95)=</t>
  </si>
  <si>
    <t>H1: aspoň jedno bi≠0 príjmame</t>
  </si>
  <si>
    <t>H1 zamietame</t>
  </si>
  <si>
    <t xml:space="preserve">Hodnoty pre tento experiment DOE boli namerané mojimi kompetentnými kolegami, ktoré boli zapísané len v písomnej podobe, preto nemám k dispozícií fotografiu z daných zariadení (vstrekolisov).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</si>
</sst>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4">
    <font>
      <sz val="11"/>
      <color theme="1"/>
      <name val="Aptos Narrow"/>
      <family val="2"/>
      <charset val="238"/>
      <scheme val="minor"/>
    </font>
    <font>
      <b/>
      <sz val="11"/>
      <color theme="1"/>
      <name val="Aptos Narrow"/>
      <family val="2"/>
      <charset val="238"/>
      <scheme val="minor"/>
    </font>
    <font>
      <b/>
      <sz val="11"/>
      <color theme="1"/>
      <name val="Aptos Narrow"/>
      <family val="2"/>
      <scheme val="minor"/>
    </font>
    <font>
      <sz val="11"/>
      <color rgb="FFFF0000"/>
      <name val="Aptos Narrow"/>
      <family val="2"/>
      <charset val="238"/>
      <scheme val="minor"/>
    </font>
    <font>
      <sz val="10"/>
      <color rgb="FF000000"/>
      <name val="Aptos Narrow"/>
      <family val="2"/>
      <scheme val="minor"/>
    </font>
    <font>
      <b/>
      <i/>
      <sz val="11"/>
      <color theme="3" tint="0.499984740745262"/>
      <name val="Aptos Narrow"/>
      <family val="2"/>
      <scheme val="minor"/>
    </font>
    <font>
      <sz val="11"/>
      <color rgb="FFC00000"/>
      <name val="Aptos Narrow"/>
      <family val="2"/>
      <charset val="238"/>
      <scheme val="minor"/>
    </font>
    <font>
      <vertAlign val="subscript"/>
      <sz val="11"/>
      <color rgb="FFC00000"/>
      <name val="Aptos Narrow"/>
      <family val="2"/>
      <charset val="238"/>
      <scheme val="minor"/>
    </font>
    <font>
      <b/>
      <sz val="9"/>
      <color indexed="81"/>
      <name val="Segoe UI"/>
      <family val="2"/>
      <charset val="238"/>
    </font>
    <font>
      <i/>
      <sz val="11"/>
      <color theme="1"/>
      <name val="Aptos Narrow"/>
      <family val="2"/>
      <charset val="238"/>
      <scheme val="minor"/>
    </font>
    <font>
      <sz val="11"/>
      <color rgb="FF00B0F0"/>
      <name val="Aptos Narrow"/>
      <family val="2"/>
      <charset val="238"/>
      <scheme val="minor"/>
    </font>
    <font>
      <b/>
      <i/>
      <u/>
      <sz val="11"/>
      <color theme="1"/>
      <name val="Aptos Narrow"/>
      <family val="2"/>
      <scheme val="minor"/>
    </font>
    <font>
      <sz val="11"/>
      <color theme="1"/>
      <name val="Aptos Narrow"/>
      <family val="2"/>
      <charset val="238"/>
      <scheme val="minor"/>
    </font>
    <font>
      <b/>
      <sz val="11"/>
      <color theme="3"/>
      <name val="Aptos Narrow"/>
      <family val="2"/>
      <charset val="238"/>
      <scheme val="minor"/>
    </font>
    <font>
      <sz val="8"/>
      <color theme="1"/>
      <name val="Aptos Narrow"/>
      <family val="2"/>
      <scheme val="minor"/>
    </font>
    <font>
      <b/>
      <sz val="11"/>
      <color rgb="FF000000"/>
      <name val="Aptos Narrow"/>
      <family val="2"/>
      <scheme val="minor"/>
    </font>
    <font>
      <b/>
      <sz val="11"/>
      <color theme="1"/>
      <name val="Calibri"/>
      <family val="2"/>
      <charset val="238"/>
    </font>
    <font>
      <sz val="11"/>
      <color theme="1"/>
      <name val="Aptos Narrow"/>
      <family val="2"/>
      <scheme val="minor"/>
    </font>
    <font>
      <b/>
      <sz val="11"/>
      <color rgb="FF00B0F0"/>
      <name val="Aptos Narrow"/>
      <family val="2"/>
      <scheme val="minor"/>
    </font>
    <font>
      <b/>
      <sz val="11"/>
      <color theme="3" tint="0.499984740745262"/>
      <name val="Aptos Narrow"/>
      <family val="2"/>
      <scheme val="minor"/>
    </font>
    <font>
      <b/>
      <u/>
      <sz val="11"/>
      <color theme="3" tint="0.499984740745262"/>
      <name val="Aptos Narrow"/>
      <family val="2"/>
      <scheme val="minor"/>
    </font>
    <font>
      <b/>
      <i/>
      <sz val="11"/>
      <color theme="1"/>
      <name val="Aptos Narrow"/>
      <family val="2"/>
      <scheme val="minor"/>
    </font>
    <font>
      <sz val="11"/>
      <color rgb="FF000000"/>
      <name val="Aptos Narrow"/>
      <family val="2"/>
      <scheme val="minor"/>
    </font>
    <font>
      <b/>
      <sz val="11"/>
      <name val="Aptos Narrow"/>
      <family val="2"/>
      <charset val="238"/>
      <scheme val="minor"/>
    </font>
  </fonts>
  <fills count="6">
    <fill>
      <patternFill patternType="none"/>
    </fill>
    <fill>
      <patternFill patternType="gray125"/>
    </fill>
    <fill>
      <patternFill patternType="solid">
        <fgColor rgb="FFFFFF00"/>
        <bgColor indexed="64"/>
      </patternFill>
    </fill>
    <fill>
      <patternFill patternType="solid">
        <fgColor theme="3" tint="0.749992370372631"/>
        <bgColor indexed="64"/>
      </patternFill>
    </fill>
    <fill>
      <patternFill patternType="solid">
        <fgColor theme="4" tint="0.79998168889431442"/>
        <bgColor indexed="65"/>
      </patternFill>
    </fill>
    <fill>
      <patternFill patternType="solid">
        <fgColor rgb="FFFF00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medium">
        <color theme="4" tint="0.3999755851924192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s>
  <cellStyleXfs count="3">
    <xf numFmtId="0" fontId="0" fillId="0" borderId="0"/>
    <xf numFmtId="0" fontId="13" fillId="0" borderId="50" applyNumberFormat="0" applyFill="0" applyAlignment="0" applyProtection="0"/>
    <xf numFmtId="0" fontId="12" fillId="4" borderId="0" applyNumberFormat="0" applyBorder="0" applyAlignment="0" applyProtection="0"/>
  </cellStyleXfs>
  <cellXfs count="267">
    <xf numFmtId="0" fontId="0" fillId="0" borderId="0" xfId="0"/>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2" fillId="0" borderId="0" xfId="0" applyFont="1" applyAlignment="1">
      <alignment horizontal="right"/>
    </xf>
    <xf numFmtId="0" fontId="2" fillId="0" borderId="0" xfId="0" applyFont="1"/>
    <xf numFmtId="0" fontId="0" fillId="0" borderId="0" xfId="0" applyAlignment="1">
      <alignment horizontal="right"/>
    </xf>
    <xf numFmtId="0" fontId="0" fillId="0" borderId="0" xfId="0" applyAlignment="1">
      <alignment horizontal="center" wrapText="1"/>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9" xfId="0" applyBorder="1"/>
    <xf numFmtId="0" fontId="0" fillId="0" borderId="20"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0" fillId="0" borderId="19" xfId="0" applyBorder="1" applyAlignment="1">
      <alignment horizontal="center"/>
    </xf>
    <xf numFmtId="0" fontId="0" fillId="0" borderId="27" xfId="0" applyBorder="1" applyAlignment="1">
      <alignment horizontal="center"/>
    </xf>
    <xf numFmtId="0" fontId="4" fillId="0" borderId="28" xfId="0" applyFont="1" applyBorder="1"/>
    <xf numFmtId="0" fontId="4" fillId="0" borderId="29" xfId="0" applyFont="1" applyBorder="1"/>
    <xf numFmtId="0" fontId="0" fillId="0" borderId="30" xfId="0" applyBorder="1" applyAlignment="1">
      <alignment horizontal="center" wrapText="1"/>
    </xf>
    <xf numFmtId="0" fontId="0" fillId="0" borderId="31" xfId="0" applyBorder="1" applyAlignment="1">
      <alignment horizontal="center"/>
    </xf>
    <xf numFmtId="0" fontId="5" fillId="0" borderId="0" xfId="0" applyFont="1"/>
    <xf numFmtId="0" fontId="0" fillId="0" borderId="1" xfId="0" applyBorder="1"/>
    <xf numFmtId="0" fontId="0" fillId="0" borderId="5" xfId="0" applyBorder="1"/>
    <xf numFmtId="0" fontId="2" fillId="0" borderId="21" xfId="0" applyFont="1"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32" xfId="0" applyBorder="1" applyAlignment="1">
      <alignment horizontal="center"/>
    </xf>
    <xf numFmtId="0" fontId="0" fillId="0" borderId="23" xfId="0" applyBorder="1" applyAlignment="1">
      <alignment horizontal="center"/>
    </xf>
    <xf numFmtId="0" fontId="2" fillId="0" borderId="0" xfId="0" applyFont="1" applyAlignment="1">
      <alignment horizontal="center"/>
    </xf>
    <xf numFmtId="0" fontId="0" fillId="0" borderId="25" xfId="0" applyBorder="1"/>
    <xf numFmtId="0" fontId="0" fillId="0" borderId="38" xfId="0" applyBorder="1"/>
    <xf numFmtId="0" fontId="0" fillId="0" borderId="26" xfId="0" applyBorder="1"/>
    <xf numFmtId="0" fontId="0" fillId="0" borderId="22" xfId="0" applyBorder="1"/>
    <xf numFmtId="0" fontId="0" fillId="0" borderId="32" xfId="0" applyBorder="1"/>
    <xf numFmtId="0" fontId="0" fillId="0" borderId="23" xfId="0" applyBorder="1"/>
    <xf numFmtId="0" fontId="0" fillId="0" borderId="2" xfId="0" applyBorder="1"/>
    <xf numFmtId="0" fontId="0" fillId="0" borderId="3" xfId="0" applyBorder="1"/>
    <xf numFmtId="0" fontId="0" fillId="0" borderId="4" xfId="0" applyBorder="1"/>
    <xf numFmtId="0" fontId="0" fillId="0" borderId="6" xfId="0" applyBorder="1"/>
    <xf numFmtId="0" fontId="6" fillId="0" borderId="0" xfId="0" applyFont="1" applyAlignment="1">
      <alignment horizontal="right"/>
    </xf>
    <xf numFmtId="0" fontId="0" fillId="0" borderId="30" xfId="0" applyBorder="1"/>
    <xf numFmtId="0" fontId="0" fillId="0" borderId="34" xfId="0" applyBorder="1"/>
    <xf numFmtId="0" fontId="0" fillId="0" borderId="31" xfId="0" applyBorder="1"/>
    <xf numFmtId="0" fontId="2" fillId="0" borderId="11" xfId="0" applyFont="1" applyBorder="1"/>
    <xf numFmtId="0" fontId="0" fillId="0" borderId="24" xfId="0" applyBorder="1"/>
    <xf numFmtId="0" fontId="9" fillId="0" borderId="44" xfId="0" applyFont="1" applyBorder="1" applyAlignment="1">
      <alignment horizontal="center"/>
    </xf>
    <xf numFmtId="0" fontId="3" fillId="0" borderId="24" xfId="0" applyFont="1" applyBorder="1"/>
    <xf numFmtId="0" fontId="9" fillId="0" borderId="28" xfId="0" applyFont="1" applyBorder="1" applyAlignment="1">
      <alignment horizontal="center"/>
    </xf>
    <xf numFmtId="0" fontId="9" fillId="0" borderId="45" xfId="0" applyFont="1" applyBorder="1" applyAlignment="1">
      <alignment horizontal="center"/>
    </xf>
    <xf numFmtId="0" fontId="0" fillId="0" borderId="39" xfId="0" applyBorder="1"/>
    <xf numFmtId="0" fontId="3" fillId="0" borderId="0" xfId="0" applyFont="1"/>
    <xf numFmtId="0" fontId="0" fillId="0" borderId="40" xfId="0" applyBorder="1"/>
    <xf numFmtId="0" fontId="0" fillId="0" borderId="27" xfId="0" applyBorder="1"/>
    <xf numFmtId="0" fontId="9" fillId="0" borderId="28" xfId="0" applyFont="1" applyBorder="1" applyAlignment="1">
      <alignment horizontal="centerContinuous"/>
    </xf>
    <xf numFmtId="0" fontId="9" fillId="0" borderId="45" xfId="0" applyFont="1" applyBorder="1" applyAlignment="1">
      <alignment horizontal="centerContinuous"/>
    </xf>
    <xf numFmtId="0" fontId="0" fillId="0" borderId="39" xfId="0" applyBorder="1" applyAlignment="1">
      <alignment wrapText="1"/>
    </xf>
    <xf numFmtId="0" fontId="3" fillId="0" borderId="38" xfId="0" applyFont="1" applyBorder="1"/>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xf>
    <xf numFmtId="0" fontId="9" fillId="2" borderId="21" xfId="0" applyFont="1" applyFill="1" applyBorder="1" applyAlignment="1">
      <alignment horizontal="center"/>
    </xf>
    <xf numFmtId="0" fontId="0" fillId="2" borderId="41" xfId="0" applyFill="1" applyBorder="1"/>
    <xf numFmtId="0" fontId="0" fillId="2" borderId="42" xfId="0" applyFill="1" applyBorder="1"/>
    <xf numFmtId="0" fontId="2" fillId="2" borderId="42" xfId="0" applyFont="1" applyFill="1" applyBorder="1"/>
    <xf numFmtId="0" fontId="2" fillId="2" borderId="43" xfId="0" applyFont="1" applyFill="1" applyBorder="1"/>
    <xf numFmtId="0" fontId="0" fillId="0" borderId="39" xfId="0" applyBorder="1" applyAlignment="1">
      <alignment horizontal="center"/>
    </xf>
    <xf numFmtId="0" fontId="0" fillId="0" borderId="40" xfId="0" applyBorder="1" applyAlignment="1">
      <alignment horizontal="center"/>
    </xf>
    <xf numFmtId="0" fontId="2" fillId="0" borderId="46" xfId="0" applyFont="1" applyBorder="1" applyAlignment="1">
      <alignment horizontal="center"/>
    </xf>
    <xf numFmtId="0" fontId="2" fillId="0" borderId="48" xfId="0" applyFont="1" applyBorder="1" applyAlignment="1">
      <alignment horizontal="center"/>
    </xf>
    <xf numFmtId="0" fontId="1" fillId="0" borderId="49" xfId="0" applyFont="1" applyBorder="1"/>
    <xf numFmtId="0" fontId="1" fillId="0" borderId="29" xfId="0" applyFont="1" applyBorder="1"/>
    <xf numFmtId="0" fontId="1" fillId="0" borderId="0" xfId="0" applyFont="1"/>
    <xf numFmtId="0" fontId="10" fillId="0" borderId="0" xfId="0" applyFont="1" applyAlignment="1">
      <alignment horizontal="right"/>
    </xf>
    <xf numFmtId="10" fontId="0" fillId="0" borderId="0" xfId="0" applyNumberFormat="1"/>
    <xf numFmtId="0" fontId="0" fillId="3" borderId="39" xfId="0" applyFill="1" applyBorder="1"/>
    <xf numFmtId="0" fontId="0" fillId="3" borderId="40" xfId="0" applyFill="1" applyBorder="1"/>
    <xf numFmtId="0" fontId="2" fillId="0" borderId="0" xfId="0" applyFont="1" applyAlignment="1">
      <alignment horizontal="center" wrapText="1"/>
    </xf>
    <xf numFmtId="0" fontId="2" fillId="0" borderId="21" xfId="0" applyFont="1" applyBorder="1"/>
    <xf numFmtId="0" fontId="10" fillId="0" borderId="0" xfId="0" applyFont="1"/>
    <xf numFmtId="0" fontId="0" fillId="0" borderId="0" xfId="0" applyAlignment="1"/>
    <xf numFmtId="0" fontId="0" fillId="0" borderId="0" xfId="0" applyBorder="1" applyAlignment="1">
      <alignment horizontal="center" wrapText="1"/>
    </xf>
    <xf numFmtId="0" fontId="0" fillId="0" borderId="0" xfId="0" applyBorder="1"/>
    <xf numFmtId="0" fontId="0" fillId="0" borderId="51" xfId="0" applyBorder="1" applyAlignment="1">
      <alignment horizontal="center"/>
    </xf>
    <xf numFmtId="0" fontId="0" fillId="0" borderId="52" xfId="0" applyBorder="1" applyAlignment="1">
      <alignment horizontal="center"/>
    </xf>
    <xf numFmtId="0" fontId="0" fillId="0" borderId="1" xfId="0" applyFill="1" applyBorder="1" applyAlignment="1">
      <alignment horizontal="center"/>
    </xf>
    <xf numFmtId="0" fontId="0" fillId="0" borderId="22" xfId="0" applyFill="1" applyBorder="1" applyAlignment="1">
      <alignment horizontal="center"/>
    </xf>
    <xf numFmtId="0" fontId="0" fillId="0" borderId="32" xfId="0" applyFill="1" applyBorder="1" applyAlignment="1">
      <alignment horizontal="center"/>
    </xf>
    <xf numFmtId="0" fontId="0" fillId="0" borderId="23"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0" borderId="6" xfId="0" applyFill="1" applyBorder="1" applyAlignment="1">
      <alignment horizontal="center"/>
    </xf>
    <xf numFmtId="0" fontId="2" fillId="0" borderId="53" xfId="0" applyFont="1" applyBorder="1" applyAlignment="1">
      <alignment horizontal="center"/>
    </xf>
    <xf numFmtId="0" fontId="0" fillId="5" borderId="17"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0" borderId="56" xfId="0" applyFill="1" applyBorder="1" applyAlignment="1">
      <alignment horizontal="center"/>
    </xf>
    <xf numFmtId="0" fontId="0" fillId="0" borderId="54" xfId="0" applyFill="1" applyBorder="1" applyAlignment="1">
      <alignment horizontal="center"/>
    </xf>
    <xf numFmtId="0" fontId="0" fillId="0" borderId="13" xfId="0" applyFill="1" applyBorder="1" applyAlignment="1">
      <alignment horizontal="center"/>
    </xf>
    <xf numFmtId="0" fontId="0" fillId="0" borderId="57" xfId="0" applyBorder="1"/>
    <xf numFmtId="0" fontId="0" fillId="0" borderId="10" xfId="0" applyBorder="1"/>
    <xf numFmtId="0" fontId="0" fillId="0" borderId="49" xfId="0" applyBorder="1"/>
    <xf numFmtId="0" fontId="0" fillId="0" borderId="58" xfId="0" applyBorder="1"/>
    <xf numFmtId="0" fontId="0" fillId="0" borderId="53" xfId="0" applyBorder="1"/>
    <xf numFmtId="0" fontId="0" fillId="0" borderId="34" xfId="0" applyFill="1" applyBorder="1" applyAlignment="1">
      <alignment horizontal="center"/>
    </xf>
    <xf numFmtId="0" fontId="0" fillId="0" borderId="59" xfId="0" applyBorder="1"/>
    <xf numFmtId="0" fontId="0" fillId="0" borderId="33" xfId="0" applyBorder="1"/>
    <xf numFmtId="0" fontId="2" fillId="0" borderId="46" xfId="0" applyFont="1" applyFill="1" applyBorder="1" applyAlignment="1">
      <alignment horizontal="center"/>
    </xf>
    <xf numFmtId="0" fontId="2" fillId="0" borderId="21" xfId="0" applyFont="1" applyFill="1" applyBorder="1" applyAlignment="1">
      <alignment horizontal="center"/>
    </xf>
    <xf numFmtId="0" fontId="0" fillId="0" borderId="21" xfId="0" applyBorder="1"/>
    <xf numFmtId="0" fontId="0" fillId="0" borderId="38" xfId="0" applyFill="1" applyBorder="1" applyAlignment="1"/>
    <xf numFmtId="0" fontId="0" fillId="0" borderId="0" xfId="0" applyFill="1" applyBorder="1" applyAlignment="1"/>
    <xf numFmtId="0" fontId="0" fillId="0" borderId="24" xfId="0" applyFill="1" applyBorder="1" applyAlignment="1"/>
    <xf numFmtId="0" fontId="9" fillId="0" borderId="44" xfId="0" applyFont="1" applyFill="1" applyBorder="1" applyAlignment="1">
      <alignment horizontal="center"/>
    </xf>
    <xf numFmtId="0" fontId="9" fillId="0" borderId="44" xfId="0" applyFont="1" applyFill="1" applyBorder="1" applyAlignment="1">
      <alignment horizontal="centerContinuous"/>
    </xf>
    <xf numFmtId="0" fontId="16" fillId="0" borderId="0" xfId="0" applyFont="1"/>
    <xf numFmtId="0" fontId="0" fillId="0" borderId="0" xfId="0" applyAlignment="1">
      <alignment horizontal="left"/>
    </xf>
    <xf numFmtId="0" fontId="0" fillId="0" borderId="30" xfId="0" applyFill="1" applyBorder="1" applyAlignment="1">
      <alignment horizontal="center" vertical="center"/>
    </xf>
    <xf numFmtId="0" fontId="0" fillId="0" borderId="34" xfId="0" applyFill="1" applyBorder="1" applyAlignment="1">
      <alignment horizontal="center" vertical="center"/>
    </xf>
    <xf numFmtId="0" fontId="0" fillId="0" borderId="34" xfId="0" applyBorder="1" applyAlignment="1">
      <alignment horizontal="center" vertical="center"/>
    </xf>
    <xf numFmtId="0" fontId="0" fillId="0" borderId="31" xfId="0" applyFill="1" applyBorder="1" applyAlignment="1">
      <alignment horizontal="center" vertical="center"/>
    </xf>
    <xf numFmtId="0" fontId="18" fillId="0" borderId="0" xfId="0" applyFont="1"/>
    <xf numFmtId="0" fontId="19" fillId="0" borderId="0" xfId="0" applyFont="1"/>
    <xf numFmtId="0" fontId="9" fillId="0" borderId="28" xfId="0" applyFont="1" applyFill="1" applyBorder="1" applyAlignment="1">
      <alignment horizontal="center"/>
    </xf>
    <xf numFmtId="0" fontId="9" fillId="0" borderId="45" xfId="0" applyFont="1" applyFill="1" applyBorder="1" applyAlignment="1">
      <alignment horizontal="center"/>
    </xf>
    <xf numFmtId="0" fontId="0" fillId="0" borderId="39" xfId="0" applyFill="1" applyBorder="1" applyAlignment="1"/>
    <xf numFmtId="0" fontId="0" fillId="0" borderId="40" xfId="0" applyFill="1" applyBorder="1" applyAlignment="1"/>
    <xf numFmtId="0" fontId="0" fillId="0" borderId="19" xfId="0" applyFill="1" applyBorder="1" applyAlignment="1"/>
    <xf numFmtId="0" fontId="0" fillId="0" borderId="27" xfId="0" applyFill="1" applyBorder="1" applyAlignment="1"/>
    <xf numFmtId="0" fontId="21" fillId="0" borderId="0" xfId="0" applyFont="1"/>
    <xf numFmtId="0" fontId="15" fillId="0" borderId="0" xfId="0" applyFont="1"/>
    <xf numFmtId="0" fontId="0" fillId="0" borderId="26" xfId="0" applyFill="1" applyBorder="1" applyAlignment="1"/>
    <xf numFmtId="0" fontId="19" fillId="0" borderId="0" xfId="0" applyFont="1" applyBorder="1"/>
    <xf numFmtId="0" fontId="2" fillId="0" borderId="0" xfId="0" applyFont="1" applyBorder="1"/>
    <xf numFmtId="0" fontId="0" fillId="0" borderId="39" xfId="0" applyBorder="1" applyAlignment="1">
      <alignment horizontal="right"/>
    </xf>
    <xf numFmtId="0" fontId="9" fillId="0" borderId="0" xfId="0" applyFont="1" applyBorder="1" applyAlignment="1">
      <alignment horizontal="center"/>
    </xf>
    <xf numFmtId="0" fontId="17" fillId="0" borderId="39" xfId="0" applyFont="1" applyBorder="1"/>
    <xf numFmtId="0" fontId="17" fillId="0" borderId="0" xfId="0" applyFont="1" applyBorder="1"/>
    <xf numFmtId="0" fontId="2" fillId="0" borderId="39" xfId="0" applyFont="1" applyBorder="1"/>
    <xf numFmtId="0" fontId="21" fillId="0" borderId="0" xfId="0" applyFont="1" applyBorder="1"/>
    <xf numFmtId="0" fontId="18" fillId="0" borderId="38" xfId="0" applyFont="1" applyBorder="1"/>
    <xf numFmtId="0" fontId="18" fillId="0" borderId="0" xfId="0" applyFont="1" applyBorder="1"/>
    <xf numFmtId="0" fontId="17" fillId="0" borderId="39" xfId="0" applyFont="1" applyBorder="1" applyAlignment="1">
      <alignment horizontal="right"/>
    </xf>
    <xf numFmtId="0" fontId="19" fillId="0" borderId="0" xfId="0" applyFont="1" applyAlignment="1">
      <alignment horizontal="center"/>
    </xf>
    <xf numFmtId="0" fontId="15" fillId="0" borderId="0" xfId="0" applyFont="1" applyBorder="1" applyAlignment="1">
      <alignment horizontal="center" vertical="center" wrapText="1"/>
    </xf>
    <xf numFmtId="0" fontId="1" fillId="0" borderId="0" xfId="0" applyFont="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0" fillId="0" borderId="46" xfId="0" applyBorder="1" applyAlignment="1">
      <alignment horizontal="center"/>
    </xf>
    <xf numFmtId="0" fontId="0" fillId="0" borderId="48" xfId="0" applyBorder="1" applyAlignment="1">
      <alignment horizontal="center"/>
    </xf>
    <xf numFmtId="0" fontId="23" fillId="0" borderId="22" xfId="1" applyFont="1" applyFill="1" applyBorder="1" applyAlignment="1">
      <alignment horizontal="right"/>
    </xf>
    <xf numFmtId="0" fontId="12" fillId="0" borderId="23" xfId="2" applyFill="1" applyBorder="1"/>
    <xf numFmtId="0" fontId="23" fillId="0" borderId="2" xfId="1" applyFont="1" applyFill="1" applyBorder="1" applyAlignment="1">
      <alignment horizontal="right"/>
    </xf>
    <xf numFmtId="0" fontId="12" fillId="0" borderId="3" xfId="2" applyFill="1" applyBorder="1"/>
    <xf numFmtId="164" fontId="12" fillId="0" borderId="3" xfId="2" applyNumberFormat="1" applyFill="1" applyBorder="1"/>
    <xf numFmtId="0" fontId="23" fillId="0" borderId="4" xfId="1" applyFont="1" applyFill="1" applyBorder="1" applyAlignment="1">
      <alignment horizontal="right"/>
    </xf>
    <xf numFmtId="11" fontId="2" fillId="0" borderId="0" xfId="0" applyNumberFormat="1" applyFont="1"/>
    <xf numFmtId="0" fontId="0" fillId="0" borderId="0" xfId="0" applyFill="1" applyAlignment="1"/>
    <xf numFmtId="0" fontId="0" fillId="0" borderId="0" xfId="0" applyFill="1" applyAlignment="1">
      <alignment vertical="center"/>
    </xf>
    <xf numFmtId="0" fontId="0" fillId="0" borderId="25" xfId="0" applyBorder="1" applyAlignment="1">
      <alignment horizontal="center" wrapText="1"/>
    </xf>
    <xf numFmtId="0" fontId="0" fillId="0" borderId="38" xfId="0" applyBorder="1" applyAlignment="1">
      <alignment horizontal="center" wrapText="1"/>
    </xf>
    <xf numFmtId="0" fontId="0" fillId="0" borderId="26" xfId="0" applyBorder="1" applyAlignment="1">
      <alignment horizontal="center" wrapText="1"/>
    </xf>
    <xf numFmtId="0" fontId="0" fillId="0" borderId="39" xfId="0" applyBorder="1" applyAlignment="1">
      <alignment horizontal="center" wrapText="1"/>
    </xf>
    <xf numFmtId="0" fontId="0" fillId="0" borderId="0" xfId="0" applyBorder="1" applyAlignment="1">
      <alignment horizontal="center" wrapText="1"/>
    </xf>
    <xf numFmtId="0" fontId="0" fillId="0" borderId="40" xfId="0" applyBorder="1" applyAlignment="1">
      <alignment horizontal="center" wrapText="1"/>
    </xf>
    <xf numFmtId="0" fontId="0" fillId="0" borderId="19" xfId="0" applyBorder="1" applyAlignment="1">
      <alignment horizontal="center" wrapText="1"/>
    </xf>
    <xf numFmtId="0" fontId="0" fillId="0" borderId="24" xfId="0" applyBorder="1" applyAlignment="1">
      <alignment horizontal="center" wrapText="1"/>
    </xf>
    <xf numFmtId="0" fontId="0" fillId="0" borderId="27" xfId="0" applyBorder="1" applyAlignment="1">
      <alignment horizontal="center" wrapText="1"/>
    </xf>
    <xf numFmtId="0" fontId="0" fillId="0" borderId="25" xfId="0" applyBorder="1" applyAlignment="1">
      <alignment horizontal="center" vertical="center" wrapText="1"/>
    </xf>
    <xf numFmtId="0" fontId="0" fillId="0" borderId="38" xfId="0" applyBorder="1" applyAlignment="1">
      <alignment horizontal="center" vertical="center" wrapText="1"/>
    </xf>
    <xf numFmtId="0" fontId="0" fillId="0" borderId="26" xfId="0" applyBorder="1" applyAlignment="1">
      <alignment horizontal="center" vertical="center" wrapText="1"/>
    </xf>
    <xf numFmtId="0" fontId="0" fillId="0" borderId="39" xfId="0" applyBorder="1" applyAlignment="1">
      <alignment horizontal="center" vertical="center" wrapText="1"/>
    </xf>
    <xf numFmtId="0" fontId="0" fillId="0" borderId="0" xfId="0" applyBorder="1" applyAlignment="1">
      <alignment horizontal="center" vertical="center" wrapText="1"/>
    </xf>
    <xf numFmtId="0" fontId="0" fillId="0" borderId="40" xfId="0" applyBorder="1" applyAlignment="1">
      <alignment horizontal="center" vertical="center" wrapText="1"/>
    </xf>
    <xf numFmtId="0" fontId="0" fillId="0" borderId="19" xfId="0" applyBorder="1" applyAlignment="1">
      <alignment horizontal="center" vertical="center" wrapText="1"/>
    </xf>
    <xf numFmtId="0" fontId="0" fillId="0" borderId="24" xfId="0" applyBorder="1" applyAlignment="1">
      <alignment horizontal="center" vertical="center" wrapText="1"/>
    </xf>
    <xf numFmtId="0" fontId="0" fillId="0" borderId="27" xfId="0" applyBorder="1" applyAlignment="1">
      <alignment horizontal="center" vertical="center" wrapText="1"/>
    </xf>
    <xf numFmtId="0" fontId="2" fillId="0" borderId="46" xfId="0" applyFont="1" applyBorder="1" applyAlignment="1">
      <alignment horizontal="center"/>
    </xf>
    <xf numFmtId="0" fontId="2" fillId="0" borderId="47" xfId="0" applyFont="1" applyBorder="1" applyAlignment="1">
      <alignment horizontal="center"/>
    </xf>
    <xf numFmtId="0" fontId="2" fillId="0" borderId="48" xfId="0" applyFont="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9" xfId="0" applyBorder="1" applyAlignment="1">
      <alignment horizontal="center"/>
    </xf>
    <xf numFmtId="0" fontId="0" fillId="0" borderId="27" xfId="0" applyBorder="1" applyAlignment="1">
      <alignment horizontal="center"/>
    </xf>
    <xf numFmtId="0" fontId="2" fillId="0" borderId="25" xfId="0" applyFont="1" applyBorder="1" applyAlignment="1">
      <alignment horizontal="center" wrapText="1"/>
    </xf>
    <xf numFmtId="0" fontId="2" fillId="0" borderId="38" xfId="0" applyFont="1" applyBorder="1" applyAlignment="1">
      <alignment horizontal="center" wrapText="1"/>
    </xf>
    <xf numFmtId="0" fontId="2" fillId="0" borderId="26" xfId="0" applyFont="1" applyBorder="1" applyAlignment="1">
      <alignment horizontal="center" wrapText="1"/>
    </xf>
    <xf numFmtId="0" fontId="2" fillId="0" borderId="39" xfId="0" applyFont="1" applyBorder="1" applyAlignment="1">
      <alignment horizontal="center" wrapText="1"/>
    </xf>
    <xf numFmtId="0" fontId="2" fillId="0" borderId="0" xfId="0" applyFont="1" applyAlignment="1">
      <alignment horizontal="center" wrapText="1"/>
    </xf>
    <xf numFmtId="0" fontId="2" fillId="0" borderId="40" xfId="0" applyFont="1" applyBorder="1" applyAlignment="1">
      <alignment horizontal="center" wrapText="1"/>
    </xf>
    <xf numFmtId="0" fontId="2" fillId="0" borderId="19" xfId="0" applyFont="1" applyBorder="1" applyAlignment="1">
      <alignment horizontal="center" wrapText="1"/>
    </xf>
    <xf numFmtId="0" fontId="2" fillId="0" borderId="24" xfId="0" applyFont="1" applyBorder="1" applyAlignment="1">
      <alignment horizontal="center" wrapText="1"/>
    </xf>
    <xf numFmtId="0" fontId="2" fillId="0" borderId="27" xfId="0" applyFont="1" applyBorder="1" applyAlignment="1">
      <alignment horizontal="center" wrapText="1"/>
    </xf>
    <xf numFmtId="0" fontId="0" fillId="0" borderId="0" xfId="0" applyAlignment="1">
      <alignment horizontal="center" wrapText="1"/>
    </xf>
    <xf numFmtId="0" fontId="0" fillId="0" borderId="0" xfId="0" applyAlignment="1">
      <alignment horizontal="center"/>
    </xf>
    <xf numFmtId="0" fontId="2" fillId="0" borderId="25"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4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7" xfId="0" applyFont="1" applyBorder="1" applyAlignment="1">
      <alignment horizontal="center" vertical="center" wrapText="1"/>
    </xf>
    <xf numFmtId="0" fontId="0" fillId="0" borderId="30" xfId="0" applyBorder="1" applyAlignment="1">
      <alignment horizontal="center" wrapText="1"/>
    </xf>
    <xf numFmtId="0" fontId="0" fillId="0" borderId="31" xfId="0" applyBorder="1" applyAlignment="1">
      <alignment horizontal="center" wrapText="1"/>
    </xf>
    <xf numFmtId="0" fontId="20" fillId="0" borderId="25" xfId="0" applyFont="1" applyBorder="1" applyAlignment="1">
      <alignment horizontal="center" vertical="center"/>
    </xf>
    <xf numFmtId="0" fontId="20" fillId="0" borderId="38" xfId="0" applyFont="1" applyBorder="1" applyAlignment="1">
      <alignment horizontal="center" vertical="center"/>
    </xf>
    <xf numFmtId="0" fontId="20" fillId="0" borderId="26" xfId="0" applyFont="1" applyBorder="1" applyAlignment="1">
      <alignment horizontal="center" vertical="center"/>
    </xf>
    <xf numFmtId="0" fontId="20" fillId="0" borderId="39" xfId="0" applyFont="1" applyBorder="1" applyAlignment="1">
      <alignment horizontal="center" vertical="center"/>
    </xf>
    <xf numFmtId="0" fontId="20" fillId="0" borderId="0" xfId="0" applyFont="1" applyBorder="1" applyAlignment="1">
      <alignment horizontal="center" vertical="center"/>
    </xf>
    <xf numFmtId="0" fontId="20" fillId="0" borderId="40" xfId="0" applyFont="1" applyBorder="1" applyAlignment="1">
      <alignment horizontal="center" vertical="center"/>
    </xf>
    <xf numFmtId="0" fontId="20" fillId="0" borderId="19" xfId="0" applyFont="1" applyBorder="1" applyAlignment="1">
      <alignment horizontal="center" vertical="center"/>
    </xf>
    <xf numFmtId="0" fontId="20" fillId="0" borderId="24" xfId="0" applyFont="1" applyBorder="1" applyAlignment="1">
      <alignment horizontal="center" vertical="center"/>
    </xf>
    <xf numFmtId="0" fontId="20" fillId="0" borderId="27" xfId="0" applyFont="1" applyBorder="1" applyAlignment="1">
      <alignment horizontal="center" vertical="center"/>
    </xf>
    <xf numFmtId="0" fontId="2" fillId="0" borderId="0"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7" xfId="0" applyFont="1" applyBorder="1" applyAlignment="1">
      <alignment horizontal="center" vertical="center" wrapText="1"/>
    </xf>
    <xf numFmtId="0" fontId="0" fillId="0" borderId="0" xfId="0" applyAlignment="1">
      <alignment horizontal="left"/>
    </xf>
    <xf numFmtId="0" fontId="2" fillId="0" borderId="0" xfId="0" applyFont="1" applyAlignment="1">
      <alignment horizontal="left"/>
    </xf>
    <xf numFmtId="0" fontId="15" fillId="0" borderId="25"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7" xfId="0" applyFont="1" applyBorder="1" applyAlignment="1">
      <alignment horizontal="center" vertical="center" wrapText="1"/>
    </xf>
  </cellXfs>
  <cellStyles count="3">
    <cellStyle name="20 % - zvýraznenie1 2" xfId="2"/>
    <cellStyle name="Nadpis 3 2" xfId="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t1</a:t>
            </a:r>
            <a:r>
              <a:rPr lang="sk-SK" baseline="0"/>
              <a:t> residual plot</a:t>
            </a:r>
            <a:endParaRPr lang="sk-SK"/>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lineMarker"/>
        <c:varyColors val="0"/>
        <c:ser>
          <c:idx val="0"/>
          <c:order val="0"/>
          <c:tx>
            <c:strRef>
              <c:f>'11_14'!$B$45</c:f>
              <c:strCache>
                <c:ptCount val="1"/>
                <c:pt idx="0">
                  <c:v>t1</c:v>
                </c:pt>
              </c:strCache>
            </c:strRef>
          </c:tx>
          <c:spPr>
            <a:ln w="38100" cap="rnd">
              <a:noFill/>
              <a:round/>
            </a:ln>
            <a:effectLst/>
          </c:spPr>
          <c:marker>
            <c:symbol val="circle"/>
            <c:size val="5"/>
            <c:spPr>
              <a:solidFill>
                <a:schemeClr val="accent1"/>
              </a:solidFill>
              <a:ln w="9525">
                <a:solidFill>
                  <a:schemeClr val="accent1"/>
                </a:solidFill>
              </a:ln>
              <a:effectLst/>
            </c:spPr>
          </c:marker>
          <c:xVal>
            <c:numRef>
              <c:f>'11_14'!$L$79:$L$99</c:f>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xVal>
          <c:yVal>
            <c:numRef>
              <c:f>'11_14'!$B$46:$B$66</c:f>
              <c:numCache>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0</c:v>
                </c:pt>
                <c:pt idx="17">
                  <c:v>0</c:v>
                </c:pt>
                <c:pt idx="18">
                  <c:v>0</c:v>
                </c:pt>
                <c:pt idx="19">
                  <c:v>0</c:v>
                </c:pt>
                <c:pt idx="20">
                  <c:v>0</c:v>
                </c:pt>
              </c:numCache>
            </c:numRef>
          </c:yVal>
          <c:smooth val="0"/>
          <c:extLst>
            <c:ext xmlns:c16="http://schemas.microsoft.com/office/drawing/2014/chart" uri="{C3380CC4-5D6E-409C-BE32-E72D297353CC}">
              <c16:uniqueId val="{00000000-5884-4460-A9A2-A4881CD56AC3}"/>
            </c:ext>
          </c:extLst>
        </c:ser>
        <c:dLbls>
          <c:showLegendKey val="0"/>
          <c:showVal val="0"/>
          <c:showCatName val="0"/>
          <c:showSerName val="0"/>
          <c:showPercent val="0"/>
          <c:showBubbleSize val="0"/>
        </c:dLbls>
        <c:axId val="153354991"/>
        <c:axId val="1260489663"/>
        <c:extLst>
          <c:ext xmlns:c15="http://schemas.microsoft.com/office/drawing/2012/chart" uri="{02D57815-91ED-43cb-92C2-25804820EDAC}">
            <c15:filteredScatterSeries>
              <c15:ser>
                <c:idx val="1"/>
                <c:order val="1"/>
                <c:spPr>
                  <a:ln w="38100" cap="rnd">
                    <a:noFill/>
                    <a:round/>
                  </a:ln>
                  <a:effectLst/>
                </c:spPr>
                <c:marker>
                  <c:symbol val="circle"/>
                  <c:size val="5"/>
                  <c:spPr>
                    <a:solidFill>
                      <a:schemeClr val="accent2"/>
                    </a:solidFill>
                    <a:ln w="9525">
                      <a:solidFill>
                        <a:schemeClr val="accent2"/>
                      </a:solidFill>
                    </a:ln>
                    <a:effectLst/>
                  </c:spPr>
                </c:marker>
                <c:yVal>
                  <c:numRef>
                    <c:extLst>
                      <c:ext uri="{02D57815-91ED-43cb-92C2-25804820EDAC}">
                        <c15:formulaRef>
                          <c15:sqref>'11_14'!$L$79:$L$99</c15:sqref>
                        </c15:formulaRef>
                      </c:ext>
                    </c:extLst>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yVal>
                <c:smooth val="0"/>
                <c:extLst>
                  <c:ext xmlns:c16="http://schemas.microsoft.com/office/drawing/2014/chart" uri="{C3380CC4-5D6E-409C-BE32-E72D297353CC}">
                    <c16:uniqueId val="{00000001-5884-4460-A9A2-A4881CD56AC3}"/>
                  </c:ext>
                </c:extLst>
              </c15:ser>
            </c15:filteredScatterSeries>
          </c:ext>
        </c:extLst>
      </c:scatterChart>
      <c:valAx>
        <c:axId val="1533549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t1</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260489663"/>
        <c:crosses val="autoZero"/>
        <c:crossBetween val="midCat"/>
      </c:valAx>
      <c:valAx>
        <c:axId val="1260489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Residuals</a:t>
                </a:r>
              </a:p>
            </c:rich>
          </c:tx>
          <c:layout>
            <c:manualLayout>
              <c:xMode val="edge"/>
              <c:yMode val="edge"/>
              <c:x val="1.3888888888888888E-2"/>
              <c:y val="0.420914260717410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5335499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Interakcia teploty a rýchlosti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'15_21'!$H$72:$H$73</c:f>
              <c:numCache>
                <c:formatCode>General</c:formatCode>
                <c:ptCount val="2"/>
                <c:pt idx="0">
                  <c:v>-1</c:v>
                </c:pt>
                <c:pt idx="1">
                  <c:v>1</c:v>
                </c:pt>
              </c:numCache>
            </c:numRef>
          </c:xVal>
          <c:yVal>
            <c:numRef>
              <c:f>'15_21'!$I$72:$I$73</c:f>
              <c:numCache>
                <c:formatCode>General</c:formatCode>
                <c:ptCount val="2"/>
                <c:pt idx="0">
                  <c:v>57.487500000000004</c:v>
                </c:pt>
                <c:pt idx="1">
                  <c:v>57.912500000000009</c:v>
                </c:pt>
              </c:numCache>
            </c:numRef>
          </c:yVal>
          <c:smooth val="1"/>
          <c:extLst>
            <c:ext xmlns:c16="http://schemas.microsoft.com/office/drawing/2014/chart" uri="{C3380CC4-5D6E-409C-BE32-E72D297353CC}">
              <c16:uniqueId val="{00000000-D588-4083-ACB3-4DE5E2BDABD1}"/>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'15_21'!$H$86:$H$87</c:f>
              <c:numCache>
                <c:formatCode>General</c:formatCode>
                <c:ptCount val="2"/>
                <c:pt idx="0">
                  <c:v>-1</c:v>
                </c:pt>
                <c:pt idx="1">
                  <c:v>1</c:v>
                </c:pt>
              </c:numCache>
            </c:numRef>
          </c:xVal>
          <c:yVal>
            <c:numRef>
              <c:f>'15_21'!$I$86:$I$87</c:f>
              <c:numCache>
                <c:formatCode>General</c:formatCode>
                <c:ptCount val="2"/>
                <c:pt idx="0">
                  <c:v>56.037500000000001</c:v>
                </c:pt>
                <c:pt idx="1">
                  <c:v>59.362499999999997</c:v>
                </c:pt>
              </c:numCache>
            </c:numRef>
          </c:yVal>
          <c:smooth val="1"/>
          <c:extLst>
            <c:ext xmlns:c16="http://schemas.microsoft.com/office/drawing/2014/chart" uri="{C3380CC4-5D6E-409C-BE32-E72D297353CC}">
              <c16:uniqueId val="{00000001-D588-4083-ACB3-4DE5E2BDABD1}"/>
            </c:ext>
          </c:extLst>
        </c:ser>
        <c:dLbls>
          <c:showLegendKey val="0"/>
          <c:showVal val="0"/>
          <c:showCatName val="0"/>
          <c:showSerName val="0"/>
          <c:showPercent val="0"/>
          <c:showBubbleSize val="0"/>
        </c:dLbls>
        <c:axId val="681760287"/>
        <c:axId val="681759327"/>
      </c:scatterChart>
      <c:valAx>
        <c:axId val="6817602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681759327"/>
        <c:crosses val="autoZero"/>
        <c:crossBetween val="midCat"/>
      </c:valAx>
      <c:valAx>
        <c:axId val="681759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68176028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Interakcia</a:t>
            </a:r>
            <a:r>
              <a:rPr lang="sk-SK" baseline="0"/>
              <a:t> tlaku a rýchlosti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'15_21'!$H$79:$H$80</c:f>
              <c:numCache>
                <c:formatCode>General</c:formatCode>
                <c:ptCount val="2"/>
                <c:pt idx="0">
                  <c:v>-1</c:v>
                </c:pt>
                <c:pt idx="1">
                  <c:v>1</c:v>
                </c:pt>
              </c:numCache>
            </c:numRef>
          </c:xVal>
          <c:yVal>
            <c:numRef>
              <c:f>'15_21'!$I$79:$I$80</c:f>
              <c:numCache>
                <c:formatCode>General</c:formatCode>
                <c:ptCount val="2"/>
                <c:pt idx="0">
                  <c:v>56.112499999999997</c:v>
                </c:pt>
                <c:pt idx="1">
                  <c:v>59.287500000000001</c:v>
                </c:pt>
              </c:numCache>
            </c:numRef>
          </c:yVal>
          <c:smooth val="1"/>
          <c:extLst>
            <c:ext xmlns:c16="http://schemas.microsoft.com/office/drawing/2014/chart" uri="{C3380CC4-5D6E-409C-BE32-E72D297353CC}">
              <c16:uniqueId val="{00000000-ED2C-4BA2-AAC1-CA9603CEE1E7}"/>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'15_21'!$H$86:$H$87</c:f>
              <c:numCache>
                <c:formatCode>General</c:formatCode>
                <c:ptCount val="2"/>
                <c:pt idx="0">
                  <c:v>-1</c:v>
                </c:pt>
                <c:pt idx="1">
                  <c:v>1</c:v>
                </c:pt>
              </c:numCache>
            </c:numRef>
          </c:xVal>
          <c:yVal>
            <c:numRef>
              <c:f>'15_21'!$I$86:$I$87</c:f>
              <c:numCache>
                <c:formatCode>General</c:formatCode>
                <c:ptCount val="2"/>
                <c:pt idx="0">
                  <c:v>56.037500000000001</c:v>
                </c:pt>
                <c:pt idx="1">
                  <c:v>59.362499999999997</c:v>
                </c:pt>
              </c:numCache>
            </c:numRef>
          </c:yVal>
          <c:smooth val="1"/>
          <c:extLst>
            <c:ext xmlns:c16="http://schemas.microsoft.com/office/drawing/2014/chart" uri="{C3380CC4-5D6E-409C-BE32-E72D297353CC}">
              <c16:uniqueId val="{00000001-ED2C-4BA2-AAC1-CA9603CEE1E7}"/>
            </c:ext>
          </c:extLst>
        </c:ser>
        <c:dLbls>
          <c:showLegendKey val="0"/>
          <c:showVal val="0"/>
          <c:showCatName val="0"/>
          <c:showSerName val="0"/>
          <c:showPercent val="0"/>
          <c:showBubbleSize val="0"/>
        </c:dLbls>
        <c:axId val="1094104623"/>
        <c:axId val="1094105583"/>
      </c:scatterChart>
      <c:valAx>
        <c:axId val="1094104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094105583"/>
        <c:crosses val="autoZero"/>
        <c:crossBetween val="midCat"/>
      </c:valAx>
      <c:valAx>
        <c:axId val="1094105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094104623"/>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t2 residual plot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lineMarker"/>
        <c:varyColors val="0"/>
        <c:ser>
          <c:idx val="0"/>
          <c:order val="0"/>
          <c:tx>
            <c:strRef>
              <c:f>'11_14'!$C$45</c:f>
              <c:strCache>
                <c:ptCount val="1"/>
                <c:pt idx="0">
                  <c:v>t2</c:v>
                </c:pt>
              </c:strCache>
            </c:strRef>
          </c:tx>
          <c:spPr>
            <a:ln w="38100" cap="rnd">
              <a:noFill/>
              <a:round/>
            </a:ln>
            <a:effectLst/>
          </c:spPr>
          <c:marker>
            <c:symbol val="circle"/>
            <c:size val="5"/>
            <c:spPr>
              <a:solidFill>
                <a:schemeClr val="accent1"/>
              </a:solidFill>
              <a:ln w="9525">
                <a:solidFill>
                  <a:schemeClr val="accent1"/>
                </a:solidFill>
              </a:ln>
              <a:effectLst/>
            </c:spPr>
          </c:marker>
          <c:xVal>
            <c:numRef>
              <c:f>'11_14'!$L$79:$L$99</c:f>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xVal>
          <c:yVal>
            <c:numRef>
              <c:f>'11_14'!$C$46:$C$66</c:f>
              <c:numCache>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0</c:v>
                </c:pt>
                <c:pt idx="17">
                  <c:v>0</c:v>
                </c:pt>
                <c:pt idx="18">
                  <c:v>0</c:v>
                </c:pt>
                <c:pt idx="19">
                  <c:v>0</c:v>
                </c:pt>
                <c:pt idx="20">
                  <c:v>0</c:v>
                </c:pt>
              </c:numCache>
            </c:numRef>
          </c:yVal>
          <c:smooth val="0"/>
          <c:extLst>
            <c:ext xmlns:c16="http://schemas.microsoft.com/office/drawing/2014/chart" uri="{C3380CC4-5D6E-409C-BE32-E72D297353CC}">
              <c16:uniqueId val="{00000000-A537-44BF-AF6C-6AE31D717992}"/>
            </c:ext>
          </c:extLst>
        </c:ser>
        <c:dLbls>
          <c:showLegendKey val="0"/>
          <c:showVal val="0"/>
          <c:showCatName val="0"/>
          <c:showSerName val="0"/>
          <c:showPercent val="0"/>
          <c:showBubbleSize val="0"/>
        </c:dLbls>
        <c:axId val="796704287"/>
        <c:axId val="796705247"/>
        <c:extLst>
          <c:ext xmlns:c15="http://schemas.microsoft.com/office/drawing/2012/chart" uri="{02D57815-91ED-43cb-92C2-25804820EDAC}">
            <c15:filteredScatterSeries>
              <c15:ser>
                <c:idx val="1"/>
                <c:order val="1"/>
                <c:spPr>
                  <a:ln w="38100" cap="rnd">
                    <a:noFill/>
                    <a:round/>
                  </a:ln>
                  <a:effectLst/>
                </c:spPr>
                <c:marker>
                  <c:symbol val="circle"/>
                  <c:size val="5"/>
                  <c:spPr>
                    <a:solidFill>
                      <a:schemeClr val="accent2"/>
                    </a:solidFill>
                    <a:ln w="9525">
                      <a:solidFill>
                        <a:schemeClr val="accent2"/>
                      </a:solidFill>
                    </a:ln>
                    <a:effectLst/>
                  </c:spPr>
                </c:marker>
                <c:yVal>
                  <c:numRef>
                    <c:extLst>
                      <c:ext uri="{02D57815-91ED-43cb-92C2-25804820EDAC}">
                        <c15:formulaRef>
                          <c15:sqref>'11_14'!$L$79:$L$99</c15:sqref>
                        </c15:formulaRef>
                      </c:ext>
                    </c:extLst>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yVal>
                <c:smooth val="0"/>
                <c:extLst>
                  <c:ext xmlns:c16="http://schemas.microsoft.com/office/drawing/2014/chart" uri="{C3380CC4-5D6E-409C-BE32-E72D297353CC}">
                    <c16:uniqueId val="{00000001-A537-44BF-AF6C-6AE31D717992}"/>
                  </c:ext>
                </c:extLst>
              </c15:ser>
            </c15:filteredScatterSeries>
          </c:ext>
        </c:extLst>
      </c:scatterChart>
      <c:valAx>
        <c:axId val="7967042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t2</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796705247"/>
        <c:crosses val="autoZero"/>
        <c:crossBetween val="midCat"/>
      </c:valAx>
      <c:valAx>
        <c:axId val="7967052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Residuals</a:t>
                </a:r>
              </a:p>
            </c:rich>
          </c:tx>
          <c:layout>
            <c:manualLayout>
              <c:xMode val="edge"/>
              <c:yMode val="edge"/>
              <c:x val="2.2222222222222223E-2"/>
              <c:y val="0.3679625984251968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79670428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t3</a:t>
            </a:r>
            <a:r>
              <a:rPr lang="sk-SK"/>
              <a:t> residual plot</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lineMarker"/>
        <c:varyColors val="0"/>
        <c:ser>
          <c:idx val="0"/>
          <c:order val="0"/>
          <c:tx>
            <c:strRef>
              <c:f>'11_14'!$D$45</c:f>
              <c:strCache>
                <c:ptCount val="1"/>
                <c:pt idx="0">
                  <c:v>t3</c:v>
                </c:pt>
              </c:strCache>
            </c:strRef>
          </c:tx>
          <c:spPr>
            <a:ln w="38100" cap="rnd">
              <a:noFill/>
              <a:round/>
            </a:ln>
            <a:effectLst/>
          </c:spPr>
          <c:marker>
            <c:symbol val="circle"/>
            <c:size val="5"/>
            <c:spPr>
              <a:solidFill>
                <a:schemeClr val="accent1"/>
              </a:solidFill>
              <a:ln w="9525">
                <a:solidFill>
                  <a:schemeClr val="accent1"/>
                </a:solidFill>
              </a:ln>
              <a:effectLst/>
            </c:spPr>
          </c:marker>
          <c:xVal>
            <c:numRef>
              <c:f>'11_14'!$L$79:$L$99</c:f>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xVal>
          <c:yVal>
            <c:numRef>
              <c:f>'11_14'!$D$46:$D$66</c:f>
              <c:numCache>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0</c:v>
                </c:pt>
                <c:pt idx="17">
                  <c:v>0</c:v>
                </c:pt>
                <c:pt idx="18">
                  <c:v>0</c:v>
                </c:pt>
                <c:pt idx="19">
                  <c:v>0</c:v>
                </c:pt>
                <c:pt idx="20">
                  <c:v>0</c:v>
                </c:pt>
              </c:numCache>
            </c:numRef>
          </c:yVal>
          <c:smooth val="0"/>
          <c:extLst>
            <c:ext xmlns:c16="http://schemas.microsoft.com/office/drawing/2014/chart" uri="{C3380CC4-5D6E-409C-BE32-E72D297353CC}">
              <c16:uniqueId val="{00000000-330F-4761-8528-29A90D2EBF54}"/>
            </c:ext>
          </c:extLst>
        </c:ser>
        <c:dLbls>
          <c:showLegendKey val="0"/>
          <c:showVal val="0"/>
          <c:showCatName val="0"/>
          <c:showSerName val="0"/>
          <c:showPercent val="0"/>
          <c:showBubbleSize val="0"/>
        </c:dLbls>
        <c:axId val="128130544"/>
        <c:axId val="128128624"/>
        <c:extLst>
          <c:ext xmlns:c15="http://schemas.microsoft.com/office/drawing/2012/chart" uri="{02D57815-91ED-43cb-92C2-25804820EDAC}">
            <c15:filteredScatterSeries>
              <c15:ser>
                <c:idx val="1"/>
                <c:order val="1"/>
                <c:spPr>
                  <a:ln w="38100" cap="rnd">
                    <a:noFill/>
                    <a:round/>
                  </a:ln>
                  <a:effectLst/>
                </c:spPr>
                <c:marker>
                  <c:symbol val="circle"/>
                  <c:size val="5"/>
                  <c:spPr>
                    <a:solidFill>
                      <a:schemeClr val="accent2"/>
                    </a:solidFill>
                    <a:ln w="9525">
                      <a:solidFill>
                        <a:schemeClr val="accent2"/>
                      </a:solidFill>
                    </a:ln>
                    <a:effectLst/>
                  </c:spPr>
                </c:marker>
                <c:yVal>
                  <c:numRef>
                    <c:extLst>
                      <c:ext uri="{02D57815-91ED-43cb-92C2-25804820EDAC}">
                        <c15:formulaRef>
                          <c15:sqref>'11_14'!$L$79:$L$99</c15:sqref>
                        </c15:formulaRef>
                      </c:ext>
                    </c:extLst>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yVal>
                <c:smooth val="0"/>
                <c:extLst>
                  <c:ext xmlns:c16="http://schemas.microsoft.com/office/drawing/2014/chart" uri="{C3380CC4-5D6E-409C-BE32-E72D297353CC}">
                    <c16:uniqueId val="{00000001-330F-4761-8528-29A90D2EBF54}"/>
                  </c:ext>
                </c:extLst>
              </c15:ser>
            </c15:filteredScatterSeries>
          </c:ext>
        </c:extLst>
      </c:scatterChart>
      <c:valAx>
        <c:axId val="128130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t3</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28128624"/>
        <c:crosses val="autoZero"/>
        <c:crossBetween val="midCat"/>
      </c:valAx>
      <c:valAx>
        <c:axId val="128128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Residuals</a:t>
                </a:r>
              </a:p>
            </c:rich>
          </c:tx>
          <c:layout>
            <c:manualLayout>
              <c:xMode val="edge"/>
              <c:yMode val="edge"/>
              <c:x val="1.921229586935639E-2"/>
              <c:y val="0.3939632545931758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2813054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t1*t3</a:t>
            </a:r>
            <a:r>
              <a:rPr lang="sk-SK"/>
              <a:t> residual</a:t>
            </a:r>
            <a:r>
              <a:rPr lang="sk-SK" baseline="0"/>
              <a:t> plot</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lineMarker"/>
        <c:varyColors val="0"/>
        <c:ser>
          <c:idx val="0"/>
          <c:order val="0"/>
          <c:tx>
            <c:strRef>
              <c:f>'11_14'!$E$45</c:f>
              <c:strCache>
                <c:ptCount val="1"/>
                <c:pt idx="0">
                  <c:v>t1*t3</c:v>
                </c:pt>
              </c:strCache>
            </c:strRef>
          </c:tx>
          <c:spPr>
            <a:ln w="38100" cap="rnd">
              <a:noFill/>
              <a:round/>
            </a:ln>
            <a:effectLst/>
          </c:spPr>
          <c:marker>
            <c:symbol val="circle"/>
            <c:size val="5"/>
            <c:spPr>
              <a:solidFill>
                <a:schemeClr val="accent1"/>
              </a:solidFill>
              <a:ln w="9525">
                <a:solidFill>
                  <a:schemeClr val="accent1"/>
                </a:solidFill>
              </a:ln>
              <a:effectLst/>
            </c:spPr>
          </c:marker>
          <c:xVal>
            <c:numRef>
              <c:f>'11_14'!$L$79:$L$99</c:f>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xVal>
          <c:yVal>
            <c:numRef>
              <c:f>'11_14'!$E$46:$E$66</c:f>
              <c:numCache>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0</c:v>
                </c:pt>
                <c:pt idx="17">
                  <c:v>0</c:v>
                </c:pt>
                <c:pt idx="18">
                  <c:v>0</c:v>
                </c:pt>
                <c:pt idx="19">
                  <c:v>0</c:v>
                </c:pt>
                <c:pt idx="20">
                  <c:v>0</c:v>
                </c:pt>
              </c:numCache>
            </c:numRef>
          </c:yVal>
          <c:smooth val="0"/>
          <c:extLst>
            <c:ext xmlns:c16="http://schemas.microsoft.com/office/drawing/2014/chart" uri="{C3380CC4-5D6E-409C-BE32-E72D297353CC}">
              <c16:uniqueId val="{00000000-87A8-4045-B04A-47EDB28AD765}"/>
            </c:ext>
          </c:extLst>
        </c:ser>
        <c:dLbls>
          <c:showLegendKey val="0"/>
          <c:showVal val="0"/>
          <c:showCatName val="0"/>
          <c:showSerName val="0"/>
          <c:showPercent val="0"/>
          <c:showBubbleSize val="0"/>
        </c:dLbls>
        <c:axId val="796712447"/>
        <c:axId val="796712927"/>
        <c:extLst>
          <c:ext xmlns:c15="http://schemas.microsoft.com/office/drawing/2012/chart" uri="{02D57815-91ED-43cb-92C2-25804820EDAC}">
            <c15:filteredScatterSeries>
              <c15:ser>
                <c:idx val="1"/>
                <c:order val="1"/>
                <c:spPr>
                  <a:ln w="38100" cap="rnd">
                    <a:noFill/>
                    <a:round/>
                  </a:ln>
                  <a:effectLst/>
                </c:spPr>
                <c:marker>
                  <c:symbol val="circle"/>
                  <c:size val="5"/>
                  <c:spPr>
                    <a:solidFill>
                      <a:schemeClr val="accent2"/>
                    </a:solidFill>
                    <a:ln w="9525">
                      <a:solidFill>
                        <a:schemeClr val="accent2"/>
                      </a:solidFill>
                    </a:ln>
                    <a:effectLst/>
                  </c:spPr>
                </c:marker>
                <c:yVal>
                  <c:numRef>
                    <c:extLst>
                      <c:ext uri="{02D57815-91ED-43cb-92C2-25804820EDAC}">
                        <c15:formulaRef>
                          <c15:sqref>'11_14'!$L$79:$L$99</c15:sqref>
                        </c15:formulaRef>
                      </c:ext>
                    </c:extLst>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yVal>
                <c:smooth val="0"/>
                <c:extLst>
                  <c:ext xmlns:c16="http://schemas.microsoft.com/office/drawing/2014/chart" uri="{C3380CC4-5D6E-409C-BE32-E72D297353CC}">
                    <c16:uniqueId val="{00000001-87A8-4045-B04A-47EDB28AD765}"/>
                  </c:ext>
                </c:extLst>
              </c15:ser>
            </c15:filteredScatterSeries>
          </c:ext>
        </c:extLst>
      </c:scatterChart>
      <c:valAx>
        <c:axId val="7967124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t1*t3</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796712927"/>
        <c:crosses val="autoZero"/>
        <c:crossBetween val="midCat"/>
      </c:valAx>
      <c:valAx>
        <c:axId val="7967129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Residuals</a:t>
                </a:r>
              </a:p>
            </c:rich>
          </c:tx>
          <c:layout>
            <c:manualLayout>
              <c:xMode val="edge"/>
              <c:yMode val="edge"/>
              <c:x val="1.6666666666666666E-2"/>
              <c:y val="0.420914260717410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79671244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t2*t3</a:t>
            </a:r>
            <a:r>
              <a:rPr lang="sk-SK"/>
              <a:t> residual plot</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lineMarker"/>
        <c:varyColors val="0"/>
        <c:ser>
          <c:idx val="0"/>
          <c:order val="0"/>
          <c:tx>
            <c:strRef>
              <c:f>'11_14'!$F$45</c:f>
              <c:strCache>
                <c:ptCount val="1"/>
                <c:pt idx="0">
                  <c:v>t2*t3</c:v>
                </c:pt>
              </c:strCache>
            </c:strRef>
          </c:tx>
          <c:spPr>
            <a:ln w="38100" cap="rnd">
              <a:noFill/>
              <a:round/>
            </a:ln>
            <a:effectLst/>
          </c:spPr>
          <c:marker>
            <c:symbol val="circle"/>
            <c:size val="5"/>
            <c:spPr>
              <a:solidFill>
                <a:schemeClr val="accent1"/>
              </a:solidFill>
              <a:ln w="9525">
                <a:solidFill>
                  <a:schemeClr val="accent1"/>
                </a:solidFill>
              </a:ln>
              <a:effectLst/>
            </c:spPr>
          </c:marker>
          <c:xVal>
            <c:numRef>
              <c:f>'11_14'!$L$79:$L$99</c:f>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xVal>
          <c:yVal>
            <c:numRef>
              <c:f>'11_14'!$F$46:$F$66</c:f>
              <c:numCache>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0</c:v>
                </c:pt>
                <c:pt idx="17">
                  <c:v>0</c:v>
                </c:pt>
                <c:pt idx="18">
                  <c:v>0</c:v>
                </c:pt>
                <c:pt idx="19">
                  <c:v>0</c:v>
                </c:pt>
                <c:pt idx="20">
                  <c:v>0</c:v>
                </c:pt>
              </c:numCache>
            </c:numRef>
          </c:yVal>
          <c:smooth val="0"/>
          <c:extLst>
            <c:ext xmlns:c16="http://schemas.microsoft.com/office/drawing/2014/chart" uri="{C3380CC4-5D6E-409C-BE32-E72D297353CC}">
              <c16:uniqueId val="{00000000-A67A-4FE0-9C0A-C4B37833C362}"/>
            </c:ext>
          </c:extLst>
        </c:ser>
        <c:dLbls>
          <c:showLegendKey val="0"/>
          <c:showVal val="0"/>
          <c:showCatName val="0"/>
          <c:showSerName val="0"/>
          <c:showPercent val="0"/>
          <c:showBubbleSize val="0"/>
        </c:dLbls>
        <c:axId val="796714367"/>
        <c:axId val="796698047"/>
        <c:extLst>
          <c:ext xmlns:c15="http://schemas.microsoft.com/office/drawing/2012/chart" uri="{02D57815-91ED-43cb-92C2-25804820EDAC}">
            <c15:filteredScatterSeries>
              <c15:ser>
                <c:idx val="1"/>
                <c:order val="1"/>
                <c:spPr>
                  <a:ln w="38100" cap="rnd">
                    <a:noFill/>
                    <a:round/>
                  </a:ln>
                  <a:effectLst/>
                </c:spPr>
                <c:marker>
                  <c:symbol val="circle"/>
                  <c:size val="5"/>
                  <c:spPr>
                    <a:solidFill>
                      <a:schemeClr val="accent2"/>
                    </a:solidFill>
                    <a:ln w="9525">
                      <a:solidFill>
                        <a:schemeClr val="accent2"/>
                      </a:solidFill>
                    </a:ln>
                    <a:effectLst/>
                  </c:spPr>
                </c:marker>
                <c:yVal>
                  <c:numRef>
                    <c:extLst>
                      <c:ext uri="{02D57815-91ED-43cb-92C2-25804820EDAC}">
                        <c15:formulaRef>
                          <c15:sqref>'11_14'!$L$79:$L$99</c15:sqref>
                        </c15:formulaRef>
                      </c:ext>
                    </c:extLst>
                    <c:numCache>
                      <c:formatCode>General</c:formatCode>
                      <c:ptCount val="21"/>
                      <c:pt idx="0">
                        <c:v>-0.16011904761904816</c:v>
                      </c:pt>
                      <c:pt idx="1">
                        <c:v>0.1398809523809561</c:v>
                      </c:pt>
                      <c:pt idx="2">
                        <c:v>-0.53511904761903395</c:v>
                      </c:pt>
                      <c:pt idx="3">
                        <c:v>-3.511904761903395E-2</c:v>
                      </c:pt>
                      <c:pt idx="4">
                        <c:v>-0.28511904761904816</c:v>
                      </c:pt>
                      <c:pt idx="5">
                        <c:v>0.11488095238095042</c:v>
                      </c:pt>
                      <c:pt idx="6">
                        <c:v>-6.0119047619039634E-2</c:v>
                      </c:pt>
                      <c:pt idx="7">
                        <c:v>0.43988095238096037</c:v>
                      </c:pt>
                      <c:pt idx="8">
                        <c:v>-0.28511904761904105</c:v>
                      </c:pt>
                      <c:pt idx="9">
                        <c:v>0.11488095238095752</c:v>
                      </c:pt>
                      <c:pt idx="10">
                        <c:v>-6.0119047619025423E-2</c:v>
                      </c:pt>
                      <c:pt idx="11">
                        <c:v>0.43988095238097458</c:v>
                      </c:pt>
                      <c:pt idx="12">
                        <c:v>-0.21011904761904532</c:v>
                      </c:pt>
                      <c:pt idx="13">
                        <c:v>0.18988095238095326</c:v>
                      </c:pt>
                      <c:pt idx="14">
                        <c:v>-0.48511904761903679</c:v>
                      </c:pt>
                      <c:pt idx="15">
                        <c:v>-8.5119047619031107E-2</c:v>
                      </c:pt>
                      <c:pt idx="16">
                        <c:v>-0.34761904761904105</c:v>
                      </c:pt>
                      <c:pt idx="17">
                        <c:v>1.3523809523809618</c:v>
                      </c:pt>
                      <c:pt idx="18">
                        <c:v>-0.94761904761904248</c:v>
                      </c:pt>
                      <c:pt idx="19">
                        <c:v>0.55238095238095752</c:v>
                      </c:pt>
                      <c:pt idx="20">
                        <c:v>0.15238095238095895</c:v>
                      </c:pt>
                    </c:numCache>
                  </c:numRef>
                </c:yVal>
                <c:smooth val="0"/>
                <c:extLst>
                  <c:ext xmlns:c16="http://schemas.microsoft.com/office/drawing/2014/chart" uri="{C3380CC4-5D6E-409C-BE32-E72D297353CC}">
                    <c16:uniqueId val="{00000001-A67A-4FE0-9C0A-C4B37833C362}"/>
                  </c:ext>
                </c:extLst>
              </c15:ser>
            </c15:filteredScatterSeries>
          </c:ext>
        </c:extLst>
      </c:scatterChart>
      <c:valAx>
        <c:axId val="7967143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t2*t3</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796698047"/>
        <c:crosses val="autoZero"/>
        <c:crossBetween val="midCat"/>
      </c:valAx>
      <c:valAx>
        <c:axId val="796698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Residauls</a:t>
                </a:r>
              </a:p>
            </c:rich>
          </c:tx>
          <c:layout>
            <c:manualLayout>
              <c:xMode val="edge"/>
              <c:yMode val="edge"/>
              <c:x val="1.9444444444444445E-2"/>
              <c:y val="0.420914260717410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79671436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Teplota taveniny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'15_21'!$H$72:$H$73</c:f>
              <c:numCache>
                <c:formatCode>General</c:formatCode>
                <c:ptCount val="2"/>
                <c:pt idx="0">
                  <c:v>-1</c:v>
                </c:pt>
                <c:pt idx="1">
                  <c:v>1</c:v>
                </c:pt>
              </c:numCache>
            </c:numRef>
          </c:xVal>
          <c:yVal>
            <c:numRef>
              <c:f>'15_21'!$I$72:$I$73</c:f>
              <c:numCache>
                <c:formatCode>General</c:formatCode>
                <c:ptCount val="2"/>
                <c:pt idx="0">
                  <c:v>57.487500000000004</c:v>
                </c:pt>
                <c:pt idx="1">
                  <c:v>57.912500000000009</c:v>
                </c:pt>
              </c:numCache>
            </c:numRef>
          </c:yVal>
          <c:smooth val="1"/>
          <c:extLst>
            <c:ext xmlns:c16="http://schemas.microsoft.com/office/drawing/2014/chart" uri="{C3380CC4-5D6E-409C-BE32-E72D297353CC}">
              <c16:uniqueId val="{00000000-12D1-487D-B9DB-497233B41F6E}"/>
            </c:ext>
          </c:extLst>
        </c:ser>
        <c:dLbls>
          <c:showLegendKey val="0"/>
          <c:showVal val="0"/>
          <c:showCatName val="0"/>
          <c:showSerName val="0"/>
          <c:showPercent val="0"/>
          <c:showBubbleSize val="0"/>
        </c:dLbls>
        <c:axId val="130275872"/>
        <c:axId val="130278272"/>
      </c:scatterChart>
      <c:valAx>
        <c:axId val="130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30278272"/>
        <c:crosses val="autoZero"/>
        <c:crossBetween val="midCat"/>
      </c:valAx>
      <c:valAx>
        <c:axId val="130278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3027587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Vstrekovací tlak [P]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'15_21'!$H$79:$H$80</c:f>
              <c:numCache>
                <c:formatCode>General</c:formatCode>
                <c:ptCount val="2"/>
                <c:pt idx="0">
                  <c:v>-1</c:v>
                </c:pt>
                <c:pt idx="1">
                  <c:v>1</c:v>
                </c:pt>
              </c:numCache>
            </c:numRef>
          </c:xVal>
          <c:yVal>
            <c:numRef>
              <c:f>'15_21'!$I$79:$I$80</c:f>
              <c:numCache>
                <c:formatCode>General</c:formatCode>
                <c:ptCount val="2"/>
                <c:pt idx="0">
                  <c:v>56.112499999999997</c:v>
                </c:pt>
                <c:pt idx="1">
                  <c:v>59.287500000000001</c:v>
                </c:pt>
              </c:numCache>
            </c:numRef>
          </c:yVal>
          <c:smooth val="1"/>
          <c:extLst>
            <c:ext xmlns:c16="http://schemas.microsoft.com/office/drawing/2014/chart" uri="{C3380CC4-5D6E-409C-BE32-E72D297353CC}">
              <c16:uniqueId val="{00000000-F9E7-4435-903B-5049C6325E4C}"/>
            </c:ext>
          </c:extLst>
        </c:ser>
        <c:dLbls>
          <c:showLegendKey val="0"/>
          <c:showVal val="0"/>
          <c:showCatName val="0"/>
          <c:showSerName val="0"/>
          <c:showPercent val="0"/>
          <c:showBubbleSize val="0"/>
        </c:dLbls>
        <c:axId val="173396864"/>
        <c:axId val="173397344"/>
      </c:scatterChart>
      <c:valAx>
        <c:axId val="173396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73397344"/>
        <c:crosses val="autoZero"/>
        <c:crossBetween val="midCat"/>
      </c:valAx>
      <c:valAx>
        <c:axId val="173397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7339686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Nastavená rýchlosť vstrekovania [V] grafu</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'15_21'!$H$86:$H$87</c:f>
              <c:numCache>
                <c:formatCode>General</c:formatCode>
                <c:ptCount val="2"/>
                <c:pt idx="0">
                  <c:v>-1</c:v>
                </c:pt>
                <c:pt idx="1">
                  <c:v>1</c:v>
                </c:pt>
              </c:numCache>
            </c:numRef>
          </c:xVal>
          <c:yVal>
            <c:numRef>
              <c:f>'15_21'!$I$86:$I$87</c:f>
              <c:numCache>
                <c:formatCode>General</c:formatCode>
                <c:ptCount val="2"/>
                <c:pt idx="0">
                  <c:v>56.037500000000001</c:v>
                </c:pt>
                <c:pt idx="1">
                  <c:v>59.362499999999997</c:v>
                </c:pt>
              </c:numCache>
            </c:numRef>
          </c:yVal>
          <c:smooth val="1"/>
          <c:extLst>
            <c:ext xmlns:c16="http://schemas.microsoft.com/office/drawing/2014/chart" uri="{C3380CC4-5D6E-409C-BE32-E72D297353CC}">
              <c16:uniqueId val="{00000000-5EC3-44A3-8F4A-C8B83878AC51}"/>
            </c:ext>
          </c:extLst>
        </c:ser>
        <c:dLbls>
          <c:showLegendKey val="0"/>
          <c:showVal val="0"/>
          <c:showCatName val="0"/>
          <c:showSerName val="0"/>
          <c:showPercent val="0"/>
          <c:showBubbleSize val="0"/>
        </c:dLbls>
        <c:axId val="1374532175"/>
        <c:axId val="1374519695"/>
      </c:scatterChart>
      <c:valAx>
        <c:axId val="13745321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374519695"/>
        <c:crosses val="autoZero"/>
        <c:crossBetween val="midCat"/>
      </c:valAx>
      <c:valAx>
        <c:axId val="13745196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37453217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Interakcia teploty a tlaku</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'15_21'!$H$72:$H$73</c:f>
              <c:numCache>
                <c:formatCode>General</c:formatCode>
                <c:ptCount val="2"/>
                <c:pt idx="0">
                  <c:v>-1</c:v>
                </c:pt>
                <c:pt idx="1">
                  <c:v>1</c:v>
                </c:pt>
              </c:numCache>
            </c:numRef>
          </c:xVal>
          <c:yVal>
            <c:numRef>
              <c:f>'15_21'!$I$72:$I$73</c:f>
              <c:numCache>
                <c:formatCode>General</c:formatCode>
                <c:ptCount val="2"/>
                <c:pt idx="0">
                  <c:v>57.487500000000004</c:v>
                </c:pt>
                <c:pt idx="1">
                  <c:v>57.912500000000009</c:v>
                </c:pt>
              </c:numCache>
            </c:numRef>
          </c:yVal>
          <c:smooth val="1"/>
          <c:extLst>
            <c:ext xmlns:c16="http://schemas.microsoft.com/office/drawing/2014/chart" uri="{C3380CC4-5D6E-409C-BE32-E72D297353CC}">
              <c16:uniqueId val="{00000000-67EC-42BD-8AD1-177956C40B1E}"/>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'15_21'!$H$79:$H$80</c:f>
              <c:numCache>
                <c:formatCode>General</c:formatCode>
                <c:ptCount val="2"/>
                <c:pt idx="0">
                  <c:v>-1</c:v>
                </c:pt>
                <c:pt idx="1">
                  <c:v>1</c:v>
                </c:pt>
              </c:numCache>
            </c:numRef>
          </c:xVal>
          <c:yVal>
            <c:numRef>
              <c:f>'15_21'!$I$79:$I$80</c:f>
              <c:numCache>
                <c:formatCode>General</c:formatCode>
                <c:ptCount val="2"/>
                <c:pt idx="0">
                  <c:v>56.112499999999997</c:v>
                </c:pt>
                <c:pt idx="1">
                  <c:v>59.287500000000001</c:v>
                </c:pt>
              </c:numCache>
            </c:numRef>
          </c:yVal>
          <c:smooth val="1"/>
          <c:extLst>
            <c:ext xmlns:c16="http://schemas.microsoft.com/office/drawing/2014/chart" uri="{C3380CC4-5D6E-409C-BE32-E72D297353CC}">
              <c16:uniqueId val="{00000001-67EC-42BD-8AD1-177956C40B1E}"/>
            </c:ext>
          </c:extLst>
        </c:ser>
        <c:dLbls>
          <c:showLegendKey val="0"/>
          <c:showVal val="0"/>
          <c:showCatName val="0"/>
          <c:showSerName val="0"/>
          <c:showPercent val="0"/>
          <c:showBubbleSize val="0"/>
        </c:dLbls>
        <c:axId val="128150224"/>
        <c:axId val="128150704"/>
      </c:scatterChart>
      <c:valAx>
        <c:axId val="128150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28150704"/>
        <c:crosses val="autoZero"/>
        <c:crossBetween val="midCat"/>
      </c:valAx>
      <c:valAx>
        <c:axId val="12815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2815022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image" Target="../media/image8.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10</xdr:col>
      <xdr:colOff>464344</xdr:colOff>
      <xdr:row>27</xdr:row>
      <xdr:rowOff>41673</xdr:rowOff>
    </xdr:from>
    <xdr:to>
      <xdr:col>12</xdr:col>
      <xdr:colOff>535781</xdr:colOff>
      <xdr:row>33</xdr:row>
      <xdr:rowOff>47626</xdr:rowOff>
    </xdr:to>
    <xdr:sp macro="" textlink="">
      <xdr:nvSpPr>
        <xdr:cNvPr id="2" name="Obdĺžnik 1">
          <a:extLst>
            <a:ext uri="{FF2B5EF4-FFF2-40B4-BE49-F238E27FC236}">
              <a16:creationId xmlns:a16="http://schemas.microsoft.com/office/drawing/2014/main" id="{B1E6F2FE-C74C-4CE1-8A2E-21CF6565D18C}"/>
            </a:ext>
          </a:extLst>
        </xdr:cNvPr>
        <xdr:cNvSpPr/>
      </xdr:nvSpPr>
      <xdr:spPr>
        <a:xfrm>
          <a:off x="7185184" y="3882153"/>
          <a:ext cx="1321117" cy="110323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10</xdr:col>
      <xdr:colOff>0</xdr:colOff>
      <xdr:row>27</xdr:row>
      <xdr:rowOff>41672</xdr:rowOff>
    </xdr:from>
    <xdr:to>
      <xdr:col>10</xdr:col>
      <xdr:colOff>458391</xdr:colOff>
      <xdr:row>28</xdr:row>
      <xdr:rowOff>142875</xdr:rowOff>
    </xdr:to>
    <xdr:cxnSp macro="">
      <xdr:nvCxnSpPr>
        <xdr:cNvPr id="3" name="Rovná spojnica 2">
          <a:extLst>
            <a:ext uri="{FF2B5EF4-FFF2-40B4-BE49-F238E27FC236}">
              <a16:creationId xmlns:a16="http://schemas.microsoft.com/office/drawing/2014/main" id="{E5D259E8-3F2F-418B-8F19-84A225FC3ABE}"/>
            </a:ext>
          </a:extLst>
        </xdr:cNvPr>
        <xdr:cNvCxnSpPr/>
      </xdr:nvCxnSpPr>
      <xdr:spPr>
        <a:xfrm flipV="1">
          <a:off x="6720840" y="3882152"/>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69056</xdr:colOff>
      <xdr:row>27</xdr:row>
      <xdr:rowOff>51197</xdr:rowOff>
    </xdr:from>
    <xdr:to>
      <xdr:col>12</xdr:col>
      <xdr:colOff>527447</xdr:colOff>
      <xdr:row>28</xdr:row>
      <xdr:rowOff>152400</xdr:rowOff>
    </xdr:to>
    <xdr:cxnSp macro="">
      <xdr:nvCxnSpPr>
        <xdr:cNvPr id="4" name="Rovná spojnica 3">
          <a:extLst>
            <a:ext uri="{FF2B5EF4-FFF2-40B4-BE49-F238E27FC236}">
              <a16:creationId xmlns:a16="http://schemas.microsoft.com/office/drawing/2014/main" id="{6E47D663-85F6-455A-831B-5A45D84EE6E2}"/>
            </a:ext>
          </a:extLst>
        </xdr:cNvPr>
        <xdr:cNvCxnSpPr/>
      </xdr:nvCxnSpPr>
      <xdr:spPr>
        <a:xfrm flipV="1">
          <a:off x="8039576" y="3891677"/>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71438</xdr:colOff>
      <xdr:row>33</xdr:row>
      <xdr:rowOff>47625</xdr:rowOff>
    </xdr:from>
    <xdr:to>
      <xdr:col>12</xdr:col>
      <xdr:colOff>529829</xdr:colOff>
      <xdr:row>34</xdr:row>
      <xdr:rowOff>148828</xdr:rowOff>
    </xdr:to>
    <xdr:cxnSp macro="">
      <xdr:nvCxnSpPr>
        <xdr:cNvPr id="5" name="Rovná spojnica 4">
          <a:extLst>
            <a:ext uri="{FF2B5EF4-FFF2-40B4-BE49-F238E27FC236}">
              <a16:creationId xmlns:a16="http://schemas.microsoft.com/office/drawing/2014/main" id="{09DE3BDF-9006-4F28-9DD0-BE0991103722}"/>
            </a:ext>
          </a:extLst>
        </xdr:cNvPr>
        <xdr:cNvCxnSpPr/>
      </xdr:nvCxnSpPr>
      <xdr:spPr>
        <a:xfrm flipV="1">
          <a:off x="8041958" y="4985385"/>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17860</xdr:colOff>
      <xdr:row>33</xdr:row>
      <xdr:rowOff>29766</xdr:rowOff>
    </xdr:from>
    <xdr:to>
      <xdr:col>10</xdr:col>
      <xdr:colOff>476251</xdr:colOff>
      <xdr:row>34</xdr:row>
      <xdr:rowOff>130969</xdr:rowOff>
    </xdr:to>
    <xdr:cxnSp macro="">
      <xdr:nvCxnSpPr>
        <xdr:cNvPr id="6" name="Rovná spojnica 5">
          <a:extLst>
            <a:ext uri="{FF2B5EF4-FFF2-40B4-BE49-F238E27FC236}">
              <a16:creationId xmlns:a16="http://schemas.microsoft.com/office/drawing/2014/main" id="{99BED730-294F-424F-A347-2C9B6720F573}"/>
            </a:ext>
          </a:extLst>
        </xdr:cNvPr>
        <xdr:cNvCxnSpPr/>
      </xdr:nvCxnSpPr>
      <xdr:spPr>
        <a:xfrm flipV="1">
          <a:off x="6738700" y="4967526"/>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321468</xdr:colOff>
      <xdr:row>35</xdr:row>
      <xdr:rowOff>184547</xdr:rowOff>
    </xdr:from>
    <xdr:to>
      <xdr:col>11</xdr:col>
      <xdr:colOff>523874</xdr:colOff>
      <xdr:row>36</xdr:row>
      <xdr:rowOff>5954</xdr:rowOff>
    </xdr:to>
    <xdr:cxnSp macro="">
      <xdr:nvCxnSpPr>
        <xdr:cNvPr id="7" name="Rovná spojovacia šípka 6">
          <a:extLst>
            <a:ext uri="{FF2B5EF4-FFF2-40B4-BE49-F238E27FC236}">
              <a16:creationId xmlns:a16="http://schemas.microsoft.com/office/drawing/2014/main" id="{98BCAD93-7612-4F04-9C3B-60EB0C477783}"/>
            </a:ext>
          </a:extLst>
        </xdr:cNvPr>
        <xdr:cNvCxnSpPr/>
      </xdr:nvCxnSpPr>
      <xdr:spPr>
        <a:xfrm flipV="1">
          <a:off x="7042308" y="5488067"/>
          <a:ext cx="827246" cy="4287"/>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309561</xdr:colOff>
      <xdr:row>36</xdr:row>
      <xdr:rowOff>65484</xdr:rowOff>
    </xdr:from>
    <xdr:to>
      <xdr:col>12</xdr:col>
      <xdr:colOff>464342</xdr:colOff>
      <xdr:row>37</xdr:row>
      <xdr:rowOff>172640</xdr:rowOff>
    </xdr:to>
    <xdr:sp macro="" textlink="">
      <xdr:nvSpPr>
        <xdr:cNvPr id="8" name="BlokTextu 7">
          <a:extLst>
            <a:ext uri="{FF2B5EF4-FFF2-40B4-BE49-F238E27FC236}">
              <a16:creationId xmlns:a16="http://schemas.microsoft.com/office/drawing/2014/main" id="{4DA54D4C-7D40-4749-A273-8B6887CB2752}"/>
            </a:ext>
          </a:extLst>
        </xdr:cNvPr>
        <xdr:cNvSpPr txBox="1"/>
      </xdr:nvSpPr>
      <xdr:spPr>
        <a:xfrm>
          <a:off x="7030401" y="5551884"/>
          <a:ext cx="1404461"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t>teplota taveniny</a:t>
          </a:r>
        </a:p>
      </xdr:txBody>
    </xdr:sp>
    <xdr:clientData/>
  </xdr:twoCellAnchor>
  <xdr:twoCellAnchor>
    <xdr:from>
      <xdr:col>12</xdr:col>
      <xdr:colOff>440531</xdr:colOff>
      <xdr:row>33</xdr:row>
      <xdr:rowOff>178595</xdr:rowOff>
    </xdr:from>
    <xdr:to>
      <xdr:col>13</xdr:col>
      <xdr:colOff>202406</xdr:colOff>
      <xdr:row>35</xdr:row>
      <xdr:rowOff>47625</xdr:rowOff>
    </xdr:to>
    <xdr:cxnSp macro="">
      <xdr:nvCxnSpPr>
        <xdr:cNvPr id="9" name="Rovná spojovacia šípka 8">
          <a:extLst>
            <a:ext uri="{FF2B5EF4-FFF2-40B4-BE49-F238E27FC236}">
              <a16:creationId xmlns:a16="http://schemas.microsoft.com/office/drawing/2014/main" id="{2558FAF8-382D-4A75-9B3A-7E5C8D1DDE6E}"/>
            </a:ext>
          </a:extLst>
        </xdr:cNvPr>
        <xdr:cNvCxnSpPr/>
      </xdr:nvCxnSpPr>
      <xdr:spPr>
        <a:xfrm flipV="1">
          <a:off x="8411051" y="5116355"/>
          <a:ext cx="386715" cy="23479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77390</xdr:colOff>
      <xdr:row>34</xdr:row>
      <xdr:rowOff>23812</xdr:rowOff>
    </xdr:from>
    <xdr:to>
      <xdr:col>15</xdr:col>
      <xdr:colOff>232172</xdr:colOff>
      <xdr:row>35</xdr:row>
      <xdr:rowOff>130968</xdr:rowOff>
    </xdr:to>
    <xdr:sp macro="" textlink="">
      <xdr:nvSpPr>
        <xdr:cNvPr id="10" name="BlokTextu 9">
          <a:extLst>
            <a:ext uri="{FF2B5EF4-FFF2-40B4-BE49-F238E27FC236}">
              <a16:creationId xmlns:a16="http://schemas.microsoft.com/office/drawing/2014/main" id="{6A780DF0-8976-4237-BEFA-208FF1E4AE3E}"/>
            </a:ext>
          </a:extLst>
        </xdr:cNvPr>
        <xdr:cNvSpPr txBox="1"/>
      </xdr:nvSpPr>
      <xdr:spPr>
        <a:xfrm>
          <a:off x="8672750" y="5144452"/>
          <a:ext cx="1373982"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t>vstrekovací</a:t>
          </a:r>
          <a:r>
            <a:rPr lang="sk-SK" sz="1100" baseline="0"/>
            <a:t> tlak</a:t>
          </a:r>
          <a:endParaRPr lang="sk-SK" sz="1100"/>
        </a:p>
      </xdr:txBody>
    </xdr:sp>
    <xdr:clientData/>
  </xdr:twoCellAnchor>
  <xdr:twoCellAnchor>
    <xdr:from>
      <xdr:col>13</xdr:col>
      <xdr:colOff>273843</xdr:colOff>
      <xdr:row>28</xdr:row>
      <xdr:rowOff>71440</xdr:rowOff>
    </xdr:from>
    <xdr:to>
      <xdr:col>13</xdr:col>
      <xdr:colOff>285749</xdr:colOff>
      <xdr:row>31</xdr:row>
      <xdr:rowOff>125016</xdr:rowOff>
    </xdr:to>
    <xdr:cxnSp macro="">
      <xdr:nvCxnSpPr>
        <xdr:cNvPr id="11" name="Rovná spojovacia šípka 10">
          <a:extLst>
            <a:ext uri="{FF2B5EF4-FFF2-40B4-BE49-F238E27FC236}">
              <a16:creationId xmlns:a16="http://schemas.microsoft.com/office/drawing/2014/main" id="{C2FFF0ED-70AA-4EC9-B2E3-675EF5B0BADD}"/>
            </a:ext>
          </a:extLst>
        </xdr:cNvPr>
        <xdr:cNvCxnSpPr/>
      </xdr:nvCxnSpPr>
      <xdr:spPr>
        <a:xfrm>
          <a:off x="8869203" y="4094800"/>
          <a:ext cx="11906" cy="602216"/>
        </a:xfrm>
        <a:prstGeom prst="straightConnector1">
          <a:avLst/>
        </a:prstGeom>
        <a:ln>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308610</xdr:colOff>
      <xdr:row>28</xdr:row>
      <xdr:rowOff>90963</xdr:rowOff>
    </xdr:from>
    <xdr:to>
      <xdr:col>14</xdr:col>
      <xdr:colOff>270509</xdr:colOff>
      <xdr:row>31</xdr:row>
      <xdr:rowOff>152400</xdr:rowOff>
    </xdr:to>
    <xdr:sp macro="" textlink="">
      <xdr:nvSpPr>
        <xdr:cNvPr id="12" name="BlokTextu 11">
          <a:extLst>
            <a:ext uri="{FF2B5EF4-FFF2-40B4-BE49-F238E27FC236}">
              <a16:creationId xmlns:a16="http://schemas.microsoft.com/office/drawing/2014/main" id="{F955C50C-4091-4FBD-8430-B22154213283}"/>
            </a:ext>
          </a:extLst>
        </xdr:cNvPr>
        <xdr:cNvSpPr txBox="1"/>
      </xdr:nvSpPr>
      <xdr:spPr>
        <a:xfrm>
          <a:off x="8233410" y="5798343"/>
          <a:ext cx="1097279" cy="61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t>nastavená rýchlosť vstrekovania</a:t>
          </a:r>
        </a:p>
      </xdr:txBody>
    </xdr:sp>
    <xdr:clientData/>
  </xdr:twoCellAnchor>
  <xdr:twoCellAnchor>
    <xdr:from>
      <xdr:col>13</xdr:col>
      <xdr:colOff>166687</xdr:colOff>
      <xdr:row>31</xdr:row>
      <xdr:rowOff>23813</xdr:rowOff>
    </xdr:from>
    <xdr:to>
      <xdr:col>15</xdr:col>
      <xdr:colOff>321469</xdr:colOff>
      <xdr:row>32</xdr:row>
      <xdr:rowOff>101203</xdr:rowOff>
    </xdr:to>
    <xdr:sp macro="" textlink="">
      <xdr:nvSpPr>
        <xdr:cNvPr id="13" name="BlokTextu 12">
          <a:extLst>
            <a:ext uri="{FF2B5EF4-FFF2-40B4-BE49-F238E27FC236}">
              <a16:creationId xmlns:a16="http://schemas.microsoft.com/office/drawing/2014/main" id="{AF70017A-DC2F-45D5-B129-6DB88FFA04A4}"/>
            </a:ext>
          </a:extLst>
        </xdr:cNvPr>
        <xdr:cNvSpPr txBox="1"/>
      </xdr:nvSpPr>
      <xdr:spPr>
        <a:xfrm>
          <a:off x="8762047" y="4595813"/>
          <a:ext cx="1373982" cy="260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12</xdr:col>
      <xdr:colOff>208359</xdr:colOff>
      <xdr:row>34</xdr:row>
      <xdr:rowOff>107156</xdr:rowOff>
    </xdr:from>
    <xdr:to>
      <xdr:col>12</xdr:col>
      <xdr:colOff>485775</xdr:colOff>
      <xdr:row>36</xdr:row>
      <xdr:rowOff>23812</xdr:rowOff>
    </xdr:to>
    <xdr:sp macro="" textlink="">
      <xdr:nvSpPr>
        <xdr:cNvPr id="14" name="BlokTextu 13">
          <a:extLst>
            <a:ext uri="{FF2B5EF4-FFF2-40B4-BE49-F238E27FC236}">
              <a16:creationId xmlns:a16="http://schemas.microsoft.com/office/drawing/2014/main" id="{7D6501C8-D88A-4DC8-B7EE-157854CDA67D}"/>
            </a:ext>
          </a:extLst>
        </xdr:cNvPr>
        <xdr:cNvSpPr txBox="1"/>
      </xdr:nvSpPr>
      <xdr:spPr>
        <a:xfrm>
          <a:off x="8178879" y="5227796"/>
          <a:ext cx="277416" cy="28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10</xdr:col>
      <xdr:colOff>23813</xdr:colOff>
      <xdr:row>34</xdr:row>
      <xdr:rowOff>182165</xdr:rowOff>
    </xdr:from>
    <xdr:to>
      <xdr:col>10</xdr:col>
      <xdr:colOff>304800</xdr:colOff>
      <xdr:row>36</xdr:row>
      <xdr:rowOff>98821</xdr:rowOff>
    </xdr:to>
    <xdr:sp macro="" textlink="">
      <xdr:nvSpPr>
        <xdr:cNvPr id="15" name="BlokTextu 14">
          <a:extLst>
            <a:ext uri="{FF2B5EF4-FFF2-40B4-BE49-F238E27FC236}">
              <a16:creationId xmlns:a16="http://schemas.microsoft.com/office/drawing/2014/main" id="{AB3B60FA-783D-49AC-BD66-BC28E66E885A}"/>
            </a:ext>
          </a:extLst>
        </xdr:cNvPr>
        <xdr:cNvSpPr txBox="1"/>
      </xdr:nvSpPr>
      <xdr:spPr>
        <a:xfrm>
          <a:off x="6744653" y="5302805"/>
          <a:ext cx="280987" cy="28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11</xdr:col>
      <xdr:colOff>506015</xdr:colOff>
      <xdr:row>35</xdr:row>
      <xdr:rowOff>35719</xdr:rowOff>
    </xdr:from>
    <xdr:to>
      <xdr:col>12</xdr:col>
      <xdr:colOff>285750</xdr:colOff>
      <xdr:row>36</xdr:row>
      <xdr:rowOff>142875</xdr:rowOff>
    </xdr:to>
    <xdr:sp macro="" textlink="">
      <xdr:nvSpPr>
        <xdr:cNvPr id="16" name="BlokTextu 15">
          <a:extLst>
            <a:ext uri="{FF2B5EF4-FFF2-40B4-BE49-F238E27FC236}">
              <a16:creationId xmlns:a16="http://schemas.microsoft.com/office/drawing/2014/main" id="{F015436A-3ADF-4688-B27E-18790B0EB8EF}"/>
            </a:ext>
          </a:extLst>
        </xdr:cNvPr>
        <xdr:cNvSpPr txBox="1"/>
      </xdr:nvSpPr>
      <xdr:spPr>
        <a:xfrm>
          <a:off x="7851695" y="5339239"/>
          <a:ext cx="404575"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13</xdr:col>
      <xdr:colOff>142874</xdr:colOff>
      <xdr:row>32</xdr:row>
      <xdr:rowOff>154781</xdr:rowOff>
    </xdr:from>
    <xdr:to>
      <xdr:col>15</xdr:col>
      <xdr:colOff>297656</xdr:colOff>
      <xdr:row>34</xdr:row>
      <xdr:rowOff>71437</xdr:rowOff>
    </xdr:to>
    <xdr:sp macro="" textlink="">
      <xdr:nvSpPr>
        <xdr:cNvPr id="17" name="BlokTextu 16">
          <a:extLst>
            <a:ext uri="{FF2B5EF4-FFF2-40B4-BE49-F238E27FC236}">
              <a16:creationId xmlns:a16="http://schemas.microsoft.com/office/drawing/2014/main" id="{A38CEF6D-AA31-4D88-AAF9-150600E1C42B}"/>
            </a:ext>
          </a:extLst>
        </xdr:cNvPr>
        <xdr:cNvSpPr txBox="1"/>
      </xdr:nvSpPr>
      <xdr:spPr>
        <a:xfrm>
          <a:off x="8738234" y="4909661"/>
          <a:ext cx="1373982" cy="28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13</xdr:col>
      <xdr:colOff>130968</xdr:colOff>
      <xdr:row>27</xdr:row>
      <xdr:rowOff>0</xdr:rowOff>
    </xdr:from>
    <xdr:to>
      <xdr:col>15</xdr:col>
      <xdr:colOff>285750</xdr:colOff>
      <xdr:row>28</xdr:row>
      <xdr:rowOff>107156</xdr:rowOff>
    </xdr:to>
    <xdr:sp macro="" textlink="">
      <xdr:nvSpPr>
        <xdr:cNvPr id="18" name="BlokTextu 17">
          <a:extLst>
            <a:ext uri="{FF2B5EF4-FFF2-40B4-BE49-F238E27FC236}">
              <a16:creationId xmlns:a16="http://schemas.microsoft.com/office/drawing/2014/main" id="{4043BD61-EFAE-4CFB-B168-9BE705279EF8}"/>
            </a:ext>
          </a:extLst>
        </xdr:cNvPr>
        <xdr:cNvSpPr txBox="1"/>
      </xdr:nvSpPr>
      <xdr:spPr>
        <a:xfrm>
          <a:off x="8726328" y="3840480"/>
          <a:ext cx="1373982"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10</xdr:col>
      <xdr:colOff>125013</xdr:colOff>
      <xdr:row>31</xdr:row>
      <xdr:rowOff>71436</xdr:rowOff>
    </xdr:from>
    <xdr:to>
      <xdr:col>11</xdr:col>
      <xdr:colOff>85724</xdr:colOff>
      <xdr:row>34</xdr:row>
      <xdr:rowOff>38099</xdr:rowOff>
    </xdr:to>
    <xdr:sp macro="" textlink="">
      <xdr:nvSpPr>
        <xdr:cNvPr id="20" name="BlokTextu 19">
          <a:extLst>
            <a:ext uri="{FF2B5EF4-FFF2-40B4-BE49-F238E27FC236}">
              <a16:creationId xmlns:a16="http://schemas.microsoft.com/office/drawing/2014/main" id="{DBA82DE5-94F0-4EEA-AEAE-68B159681747}"/>
            </a:ext>
          </a:extLst>
        </xdr:cNvPr>
        <xdr:cNvSpPr txBox="1"/>
      </xdr:nvSpPr>
      <xdr:spPr>
        <a:xfrm>
          <a:off x="6845853" y="4643436"/>
          <a:ext cx="585551" cy="5153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75,8</a:t>
          </a:r>
        </a:p>
        <a:p>
          <a:r>
            <a:rPr lang="sk-SK" sz="1000"/>
            <a:t>39,2</a:t>
          </a:r>
        </a:p>
        <a:p>
          <a:endParaRPr lang="sk-SK" sz="1000"/>
        </a:p>
      </xdr:txBody>
    </xdr:sp>
    <xdr:clientData/>
  </xdr:twoCellAnchor>
  <xdr:twoCellAnchor>
    <xdr:from>
      <xdr:col>9</xdr:col>
      <xdr:colOff>200025</xdr:colOff>
      <xdr:row>27</xdr:row>
      <xdr:rowOff>142875</xdr:rowOff>
    </xdr:from>
    <xdr:to>
      <xdr:col>10</xdr:col>
      <xdr:colOff>148829</xdr:colOff>
      <xdr:row>30</xdr:row>
      <xdr:rowOff>28575</xdr:rowOff>
    </xdr:to>
    <xdr:sp macro="" textlink="">
      <xdr:nvSpPr>
        <xdr:cNvPr id="21" name="BlokTextu 20">
          <a:extLst>
            <a:ext uri="{FF2B5EF4-FFF2-40B4-BE49-F238E27FC236}">
              <a16:creationId xmlns:a16="http://schemas.microsoft.com/office/drawing/2014/main" id="{73E2C2FB-15BE-49D6-8220-00E6F031DF66}"/>
            </a:ext>
          </a:extLst>
        </xdr:cNvPr>
        <xdr:cNvSpPr txBox="1"/>
      </xdr:nvSpPr>
      <xdr:spPr>
        <a:xfrm>
          <a:off x="6296025" y="3983355"/>
          <a:ext cx="573644"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76,4</a:t>
          </a:r>
        </a:p>
        <a:p>
          <a:r>
            <a:rPr lang="sk-SK" sz="1000"/>
            <a:t>38,9</a:t>
          </a:r>
        </a:p>
        <a:p>
          <a:endParaRPr lang="sk-SK" sz="1000"/>
        </a:p>
        <a:p>
          <a:endParaRPr lang="sk-SK" sz="1000"/>
        </a:p>
      </xdr:txBody>
    </xdr:sp>
    <xdr:clientData/>
  </xdr:twoCellAnchor>
  <xdr:twoCellAnchor>
    <xdr:from>
      <xdr:col>9</xdr:col>
      <xdr:colOff>219076</xdr:colOff>
      <xdr:row>33</xdr:row>
      <xdr:rowOff>20240</xdr:rowOff>
    </xdr:from>
    <xdr:to>
      <xdr:col>10</xdr:col>
      <xdr:colOff>184548</xdr:colOff>
      <xdr:row>35</xdr:row>
      <xdr:rowOff>169985</xdr:rowOff>
    </xdr:to>
    <xdr:sp macro="" textlink="">
      <xdr:nvSpPr>
        <xdr:cNvPr id="22" name="BlokTextu 21">
          <a:extLst>
            <a:ext uri="{FF2B5EF4-FFF2-40B4-BE49-F238E27FC236}">
              <a16:creationId xmlns:a16="http://schemas.microsoft.com/office/drawing/2014/main" id="{FE25C719-A376-4694-B6BA-B900074C1003}"/>
            </a:ext>
          </a:extLst>
        </xdr:cNvPr>
        <xdr:cNvSpPr txBox="1"/>
      </xdr:nvSpPr>
      <xdr:spPr>
        <a:xfrm>
          <a:off x="6315076" y="4958000"/>
          <a:ext cx="590312" cy="515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71,5</a:t>
          </a:r>
        </a:p>
        <a:p>
          <a:r>
            <a:rPr lang="sk-SK" sz="1000"/>
            <a:t>36,8</a:t>
          </a:r>
        </a:p>
      </xdr:txBody>
    </xdr:sp>
    <xdr:clientData/>
  </xdr:twoCellAnchor>
  <xdr:twoCellAnchor>
    <xdr:from>
      <xdr:col>12</xdr:col>
      <xdr:colOff>514349</xdr:colOff>
      <xdr:row>31</xdr:row>
      <xdr:rowOff>69055</xdr:rowOff>
    </xdr:from>
    <xdr:to>
      <xdr:col>13</xdr:col>
      <xdr:colOff>428624</xdr:colOff>
      <xdr:row>33</xdr:row>
      <xdr:rowOff>161924</xdr:rowOff>
    </xdr:to>
    <xdr:sp macro="" textlink="">
      <xdr:nvSpPr>
        <xdr:cNvPr id="23" name="BlokTextu 22">
          <a:extLst>
            <a:ext uri="{FF2B5EF4-FFF2-40B4-BE49-F238E27FC236}">
              <a16:creationId xmlns:a16="http://schemas.microsoft.com/office/drawing/2014/main" id="{26C79C10-1E8C-4939-8DB5-4CEFB3BB3F30}"/>
            </a:ext>
          </a:extLst>
        </xdr:cNvPr>
        <xdr:cNvSpPr txBox="1"/>
      </xdr:nvSpPr>
      <xdr:spPr>
        <a:xfrm>
          <a:off x="8484869" y="4641055"/>
          <a:ext cx="539115" cy="458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76,3</a:t>
          </a:r>
        </a:p>
        <a:p>
          <a:r>
            <a:rPr lang="sk-SK" sz="1000"/>
            <a:t>39,6</a:t>
          </a:r>
        </a:p>
        <a:p>
          <a:endParaRPr lang="sk-SK" sz="1000"/>
        </a:p>
      </xdr:txBody>
    </xdr:sp>
    <xdr:clientData/>
  </xdr:twoCellAnchor>
  <xdr:twoCellAnchor>
    <xdr:from>
      <xdr:col>12</xdr:col>
      <xdr:colOff>503635</xdr:colOff>
      <xdr:row>25</xdr:row>
      <xdr:rowOff>47625</xdr:rowOff>
    </xdr:from>
    <xdr:to>
      <xdr:col>13</xdr:col>
      <xdr:colOff>561975</xdr:colOff>
      <xdr:row>27</xdr:row>
      <xdr:rowOff>85725</xdr:rowOff>
    </xdr:to>
    <xdr:sp macro="" textlink="">
      <xdr:nvSpPr>
        <xdr:cNvPr id="24" name="BlokTextu 23">
          <a:extLst>
            <a:ext uri="{FF2B5EF4-FFF2-40B4-BE49-F238E27FC236}">
              <a16:creationId xmlns:a16="http://schemas.microsoft.com/office/drawing/2014/main" id="{55A3D0F0-5D44-435E-8282-2921AA00529F}"/>
            </a:ext>
          </a:extLst>
        </xdr:cNvPr>
        <xdr:cNvSpPr txBox="1"/>
      </xdr:nvSpPr>
      <xdr:spPr>
        <a:xfrm>
          <a:off x="8474155" y="3522345"/>
          <a:ext cx="683180" cy="40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80,2</a:t>
          </a:r>
        </a:p>
        <a:p>
          <a:r>
            <a:rPr lang="sk-SK" sz="1000"/>
            <a:t>41,9</a:t>
          </a:r>
        </a:p>
      </xdr:txBody>
    </xdr:sp>
    <xdr:clientData/>
  </xdr:twoCellAnchor>
  <xdr:twoCellAnchor>
    <xdr:from>
      <xdr:col>11</xdr:col>
      <xdr:colOff>400050</xdr:colOff>
      <xdr:row>26</xdr:row>
      <xdr:rowOff>171450</xdr:rowOff>
    </xdr:from>
    <xdr:to>
      <xdr:col>12</xdr:col>
      <xdr:colOff>327660</xdr:colOff>
      <xdr:row>29</xdr:row>
      <xdr:rowOff>95250</xdr:rowOff>
    </xdr:to>
    <xdr:sp macro="" textlink="">
      <xdr:nvSpPr>
        <xdr:cNvPr id="25" name="BlokTextu 24">
          <a:extLst>
            <a:ext uri="{FF2B5EF4-FFF2-40B4-BE49-F238E27FC236}">
              <a16:creationId xmlns:a16="http://schemas.microsoft.com/office/drawing/2014/main" id="{4984EB54-AF14-474D-BBCD-F33DA3E3ED15}"/>
            </a:ext>
          </a:extLst>
        </xdr:cNvPr>
        <xdr:cNvSpPr txBox="1"/>
      </xdr:nvSpPr>
      <xdr:spPr>
        <a:xfrm>
          <a:off x="7105650" y="5513070"/>
          <a:ext cx="53721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76,9</a:t>
          </a:r>
        </a:p>
        <a:p>
          <a:r>
            <a:rPr lang="sk-SK" sz="1000"/>
            <a:t>39,3</a:t>
          </a:r>
        </a:p>
      </xdr:txBody>
    </xdr:sp>
    <xdr:clientData/>
  </xdr:twoCellAnchor>
  <xdr:twoCellAnchor>
    <xdr:from>
      <xdr:col>11</xdr:col>
      <xdr:colOff>302419</xdr:colOff>
      <xdr:row>33</xdr:row>
      <xdr:rowOff>2380</xdr:rowOff>
    </xdr:from>
    <xdr:to>
      <xdr:col>12</xdr:col>
      <xdr:colOff>276224</xdr:colOff>
      <xdr:row>36</xdr:row>
      <xdr:rowOff>76199</xdr:rowOff>
    </xdr:to>
    <xdr:sp macro="" textlink="">
      <xdr:nvSpPr>
        <xdr:cNvPr id="26" name="BlokTextu 25">
          <a:extLst>
            <a:ext uri="{FF2B5EF4-FFF2-40B4-BE49-F238E27FC236}">
              <a16:creationId xmlns:a16="http://schemas.microsoft.com/office/drawing/2014/main" id="{4F811DA7-1A64-4A25-9D1D-48D71338CE6F}"/>
            </a:ext>
          </a:extLst>
        </xdr:cNvPr>
        <xdr:cNvSpPr txBox="1"/>
      </xdr:nvSpPr>
      <xdr:spPr>
        <a:xfrm>
          <a:off x="7648099" y="4940140"/>
          <a:ext cx="598645" cy="62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72,0</a:t>
          </a:r>
        </a:p>
        <a:p>
          <a:r>
            <a:rPr lang="sk-SK" sz="1000"/>
            <a:t>37,1</a:t>
          </a:r>
        </a:p>
      </xdr:txBody>
    </xdr:sp>
    <xdr:clientData/>
  </xdr:twoCellAnchor>
  <xdr:twoCellAnchor>
    <xdr:from>
      <xdr:col>17</xdr:col>
      <xdr:colOff>11906</xdr:colOff>
      <xdr:row>28</xdr:row>
      <xdr:rowOff>148828</xdr:rowOff>
    </xdr:from>
    <xdr:to>
      <xdr:col>19</xdr:col>
      <xdr:colOff>83343</xdr:colOff>
      <xdr:row>34</xdr:row>
      <xdr:rowOff>154781</xdr:rowOff>
    </xdr:to>
    <xdr:sp macro="" textlink="">
      <xdr:nvSpPr>
        <xdr:cNvPr id="27" name="Obdĺžnik 26">
          <a:extLst>
            <a:ext uri="{FF2B5EF4-FFF2-40B4-BE49-F238E27FC236}">
              <a16:creationId xmlns:a16="http://schemas.microsoft.com/office/drawing/2014/main" id="{CD79EC5C-A1BC-4549-B15F-00E58EECEBB9}"/>
            </a:ext>
          </a:extLst>
        </xdr:cNvPr>
        <xdr:cNvSpPr/>
      </xdr:nvSpPr>
      <xdr:spPr>
        <a:xfrm>
          <a:off x="11045666" y="4172188"/>
          <a:ext cx="1290637" cy="110323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17</xdr:col>
      <xdr:colOff>464344</xdr:colOff>
      <xdr:row>27</xdr:row>
      <xdr:rowOff>41673</xdr:rowOff>
    </xdr:from>
    <xdr:to>
      <xdr:col>19</xdr:col>
      <xdr:colOff>535781</xdr:colOff>
      <xdr:row>33</xdr:row>
      <xdr:rowOff>47626</xdr:rowOff>
    </xdr:to>
    <xdr:sp macro="" textlink="">
      <xdr:nvSpPr>
        <xdr:cNvPr id="28" name="Obdĺžnik 27">
          <a:extLst>
            <a:ext uri="{FF2B5EF4-FFF2-40B4-BE49-F238E27FC236}">
              <a16:creationId xmlns:a16="http://schemas.microsoft.com/office/drawing/2014/main" id="{93690DB8-19DE-4E95-8806-2DA9FF7DB3BE}"/>
            </a:ext>
          </a:extLst>
        </xdr:cNvPr>
        <xdr:cNvSpPr/>
      </xdr:nvSpPr>
      <xdr:spPr>
        <a:xfrm>
          <a:off x="11498104" y="3882153"/>
          <a:ext cx="1290637" cy="110323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17</xdr:col>
      <xdr:colOff>0</xdr:colOff>
      <xdr:row>27</xdr:row>
      <xdr:rowOff>41672</xdr:rowOff>
    </xdr:from>
    <xdr:to>
      <xdr:col>17</xdr:col>
      <xdr:colOff>458391</xdr:colOff>
      <xdr:row>28</xdr:row>
      <xdr:rowOff>142875</xdr:rowOff>
    </xdr:to>
    <xdr:cxnSp macro="">
      <xdr:nvCxnSpPr>
        <xdr:cNvPr id="29" name="Rovná spojnica 28">
          <a:extLst>
            <a:ext uri="{FF2B5EF4-FFF2-40B4-BE49-F238E27FC236}">
              <a16:creationId xmlns:a16="http://schemas.microsoft.com/office/drawing/2014/main" id="{30967E55-A7C4-4D9B-9458-B8CC36D21E37}"/>
            </a:ext>
          </a:extLst>
        </xdr:cNvPr>
        <xdr:cNvCxnSpPr/>
      </xdr:nvCxnSpPr>
      <xdr:spPr>
        <a:xfrm flipV="1">
          <a:off x="11033760" y="3882152"/>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69056</xdr:colOff>
      <xdr:row>27</xdr:row>
      <xdr:rowOff>51197</xdr:rowOff>
    </xdr:from>
    <xdr:to>
      <xdr:col>19</xdr:col>
      <xdr:colOff>527447</xdr:colOff>
      <xdr:row>28</xdr:row>
      <xdr:rowOff>152400</xdr:rowOff>
    </xdr:to>
    <xdr:cxnSp macro="">
      <xdr:nvCxnSpPr>
        <xdr:cNvPr id="30" name="Rovná spojnica 29">
          <a:extLst>
            <a:ext uri="{FF2B5EF4-FFF2-40B4-BE49-F238E27FC236}">
              <a16:creationId xmlns:a16="http://schemas.microsoft.com/office/drawing/2014/main" id="{CB18536C-E395-4AFD-9FF7-C0863AF9B277}"/>
            </a:ext>
          </a:extLst>
        </xdr:cNvPr>
        <xdr:cNvCxnSpPr/>
      </xdr:nvCxnSpPr>
      <xdr:spPr>
        <a:xfrm flipV="1">
          <a:off x="12322016" y="3891677"/>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71438</xdr:colOff>
      <xdr:row>33</xdr:row>
      <xdr:rowOff>47625</xdr:rowOff>
    </xdr:from>
    <xdr:to>
      <xdr:col>19</xdr:col>
      <xdr:colOff>529829</xdr:colOff>
      <xdr:row>34</xdr:row>
      <xdr:rowOff>148828</xdr:rowOff>
    </xdr:to>
    <xdr:cxnSp macro="">
      <xdr:nvCxnSpPr>
        <xdr:cNvPr id="31" name="Rovná spojnica 30">
          <a:extLst>
            <a:ext uri="{FF2B5EF4-FFF2-40B4-BE49-F238E27FC236}">
              <a16:creationId xmlns:a16="http://schemas.microsoft.com/office/drawing/2014/main" id="{B00D67A3-F1BD-47E6-A326-BF361547ADD5}"/>
            </a:ext>
          </a:extLst>
        </xdr:cNvPr>
        <xdr:cNvCxnSpPr/>
      </xdr:nvCxnSpPr>
      <xdr:spPr>
        <a:xfrm flipV="1">
          <a:off x="12324398" y="4985385"/>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17860</xdr:colOff>
      <xdr:row>33</xdr:row>
      <xdr:rowOff>29766</xdr:rowOff>
    </xdr:from>
    <xdr:to>
      <xdr:col>17</xdr:col>
      <xdr:colOff>476251</xdr:colOff>
      <xdr:row>34</xdr:row>
      <xdr:rowOff>130969</xdr:rowOff>
    </xdr:to>
    <xdr:cxnSp macro="">
      <xdr:nvCxnSpPr>
        <xdr:cNvPr id="32" name="Rovná spojnica 31">
          <a:extLst>
            <a:ext uri="{FF2B5EF4-FFF2-40B4-BE49-F238E27FC236}">
              <a16:creationId xmlns:a16="http://schemas.microsoft.com/office/drawing/2014/main" id="{47F12E11-DD1D-4E42-8301-862A879551AA}"/>
            </a:ext>
          </a:extLst>
        </xdr:cNvPr>
        <xdr:cNvCxnSpPr/>
      </xdr:nvCxnSpPr>
      <xdr:spPr>
        <a:xfrm flipV="1">
          <a:off x="11051620" y="4967526"/>
          <a:ext cx="458391" cy="284083"/>
        </a:xfrm>
        <a:prstGeom prst="line">
          <a:avLst/>
        </a:prstGeom>
        <a:ln w="28575">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321468</xdr:colOff>
      <xdr:row>35</xdr:row>
      <xdr:rowOff>184547</xdr:rowOff>
    </xdr:from>
    <xdr:to>
      <xdr:col>18</xdr:col>
      <xdr:colOff>523874</xdr:colOff>
      <xdr:row>36</xdr:row>
      <xdr:rowOff>5954</xdr:rowOff>
    </xdr:to>
    <xdr:cxnSp macro="">
      <xdr:nvCxnSpPr>
        <xdr:cNvPr id="33" name="Rovná spojovacia šípka 32">
          <a:extLst>
            <a:ext uri="{FF2B5EF4-FFF2-40B4-BE49-F238E27FC236}">
              <a16:creationId xmlns:a16="http://schemas.microsoft.com/office/drawing/2014/main" id="{5D5740B0-F896-4E44-A5B3-3D1635AC1653}"/>
            </a:ext>
          </a:extLst>
        </xdr:cNvPr>
        <xdr:cNvCxnSpPr/>
      </xdr:nvCxnSpPr>
      <xdr:spPr>
        <a:xfrm flipV="1">
          <a:off x="11355228" y="5488067"/>
          <a:ext cx="812006" cy="4287"/>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309561</xdr:colOff>
      <xdr:row>36</xdr:row>
      <xdr:rowOff>65484</xdr:rowOff>
    </xdr:from>
    <xdr:to>
      <xdr:col>19</xdr:col>
      <xdr:colOff>464342</xdr:colOff>
      <xdr:row>37</xdr:row>
      <xdr:rowOff>172640</xdr:rowOff>
    </xdr:to>
    <xdr:sp macro="" textlink="">
      <xdr:nvSpPr>
        <xdr:cNvPr id="34" name="BlokTextu 33">
          <a:extLst>
            <a:ext uri="{FF2B5EF4-FFF2-40B4-BE49-F238E27FC236}">
              <a16:creationId xmlns:a16="http://schemas.microsoft.com/office/drawing/2014/main" id="{7B02D296-04A7-46E8-88B1-5FBD18BC6D7F}"/>
            </a:ext>
          </a:extLst>
        </xdr:cNvPr>
        <xdr:cNvSpPr txBox="1"/>
      </xdr:nvSpPr>
      <xdr:spPr>
        <a:xfrm>
          <a:off x="11343321" y="5551884"/>
          <a:ext cx="1373981"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solidFill>
                <a:schemeClr val="dk1"/>
              </a:solidFill>
              <a:effectLst/>
              <a:latin typeface="+mn-lt"/>
              <a:ea typeface="+mn-ea"/>
              <a:cs typeface="+mn-cs"/>
            </a:rPr>
            <a:t>teplota taveniny</a:t>
          </a:r>
          <a:endParaRPr lang="sk-SK">
            <a:effectLst/>
          </a:endParaRPr>
        </a:p>
      </xdr:txBody>
    </xdr:sp>
    <xdr:clientData/>
  </xdr:twoCellAnchor>
  <xdr:twoCellAnchor>
    <xdr:from>
      <xdr:col>19</xdr:col>
      <xdr:colOff>440531</xdr:colOff>
      <xdr:row>33</xdr:row>
      <xdr:rowOff>178595</xdr:rowOff>
    </xdr:from>
    <xdr:to>
      <xdr:col>20</xdr:col>
      <xdr:colOff>202406</xdr:colOff>
      <xdr:row>35</xdr:row>
      <xdr:rowOff>47625</xdr:rowOff>
    </xdr:to>
    <xdr:cxnSp macro="">
      <xdr:nvCxnSpPr>
        <xdr:cNvPr id="35" name="Rovná spojovacia šípka 34">
          <a:extLst>
            <a:ext uri="{FF2B5EF4-FFF2-40B4-BE49-F238E27FC236}">
              <a16:creationId xmlns:a16="http://schemas.microsoft.com/office/drawing/2014/main" id="{F2C76D09-47EB-4262-9119-0400EC7E1721}"/>
            </a:ext>
          </a:extLst>
        </xdr:cNvPr>
        <xdr:cNvCxnSpPr/>
      </xdr:nvCxnSpPr>
      <xdr:spPr>
        <a:xfrm flipV="1">
          <a:off x="12693491" y="5116355"/>
          <a:ext cx="371475" cy="23479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273843</xdr:colOff>
      <xdr:row>28</xdr:row>
      <xdr:rowOff>71440</xdr:rowOff>
    </xdr:from>
    <xdr:to>
      <xdr:col>20</xdr:col>
      <xdr:colOff>285749</xdr:colOff>
      <xdr:row>31</xdr:row>
      <xdr:rowOff>125016</xdr:rowOff>
    </xdr:to>
    <xdr:cxnSp macro="">
      <xdr:nvCxnSpPr>
        <xdr:cNvPr id="36" name="Rovná spojovacia šípka 35">
          <a:extLst>
            <a:ext uri="{FF2B5EF4-FFF2-40B4-BE49-F238E27FC236}">
              <a16:creationId xmlns:a16="http://schemas.microsoft.com/office/drawing/2014/main" id="{F4319232-E15F-4298-9903-6DA907C3C3FD}"/>
            </a:ext>
          </a:extLst>
        </xdr:cNvPr>
        <xdr:cNvCxnSpPr/>
      </xdr:nvCxnSpPr>
      <xdr:spPr>
        <a:xfrm>
          <a:off x="13136403" y="4094800"/>
          <a:ext cx="11906" cy="602216"/>
        </a:xfrm>
        <a:prstGeom prst="straightConnector1">
          <a:avLst/>
        </a:prstGeom>
        <a:ln>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208359</xdr:colOff>
      <xdr:row>34</xdr:row>
      <xdr:rowOff>107156</xdr:rowOff>
    </xdr:from>
    <xdr:to>
      <xdr:col>19</xdr:col>
      <xdr:colOff>485775</xdr:colOff>
      <xdr:row>36</xdr:row>
      <xdr:rowOff>23812</xdr:rowOff>
    </xdr:to>
    <xdr:sp macro="" textlink="">
      <xdr:nvSpPr>
        <xdr:cNvPr id="37" name="BlokTextu 36">
          <a:extLst>
            <a:ext uri="{FF2B5EF4-FFF2-40B4-BE49-F238E27FC236}">
              <a16:creationId xmlns:a16="http://schemas.microsoft.com/office/drawing/2014/main" id="{A9E704CE-9FBD-438B-8C2E-0CB4206517E3}"/>
            </a:ext>
          </a:extLst>
        </xdr:cNvPr>
        <xdr:cNvSpPr txBox="1"/>
      </xdr:nvSpPr>
      <xdr:spPr>
        <a:xfrm>
          <a:off x="12461319" y="5227796"/>
          <a:ext cx="277416" cy="28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17</xdr:col>
      <xdr:colOff>23813</xdr:colOff>
      <xdr:row>35</xdr:row>
      <xdr:rowOff>1190</xdr:rowOff>
    </xdr:from>
    <xdr:to>
      <xdr:col>19</xdr:col>
      <xdr:colOff>178594</xdr:colOff>
      <xdr:row>36</xdr:row>
      <xdr:rowOff>108346</xdr:rowOff>
    </xdr:to>
    <xdr:sp macro="" textlink="">
      <xdr:nvSpPr>
        <xdr:cNvPr id="38" name="BlokTextu 37">
          <a:extLst>
            <a:ext uri="{FF2B5EF4-FFF2-40B4-BE49-F238E27FC236}">
              <a16:creationId xmlns:a16="http://schemas.microsoft.com/office/drawing/2014/main" id="{6A416671-AEAF-4738-B22B-1C30FA1226CB}"/>
            </a:ext>
          </a:extLst>
        </xdr:cNvPr>
        <xdr:cNvSpPr txBox="1"/>
      </xdr:nvSpPr>
      <xdr:spPr>
        <a:xfrm>
          <a:off x="11057573" y="5304710"/>
          <a:ext cx="1373981"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18</xdr:col>
      <xdr:colOff>506015</xdr:colOff>
      <xdr:row>35</xdr:row>
      <xdr:rowOff>35719</xdr:rowOff>
    </xdr:from>
    <xdr:to>
      <xdr:col>19</xdr:col>
      <xdr:colOff>285750</xdr:colOff>
      <xdr:row>36</xdr:row>
      <xdr:rowOff>142875</xdr:rowOff>
    </xdr:to>
    <xdr:sp macro="" textlink="">
      <xdr:nvSpPr>
        <xdr:cNvPr id="39" name="BlokTextu 38">
          <a:extLst>
            <a:ext uri="{FF2B5EF4-FFF2-40B4-BE49-F238E27FC236}">
              <a16:creationId xmlns:a16="http://schemas.microsoft.com/office/drawing/2014/main" id="{0818196F-901D-4199-BAC3-BDDA3BCA9ED5}"/>
            </a:ext>
          </a:extLst>
        </xdr:cNvPr>
        <xdr:cNvSpPr txBox="1"/>
      </xdr:nvSpPr>
      <xdr:spPr>
        <a:xfrm>
          <a:off x="12149375" y="5339239"/>
          <a:ext cx="389335"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18</xdr:col>
      <xdr:colOff>330994</xdr:colOff>
      <xdr:row>27</xdr:row>
      <xdr:rowOff>128588</xdr:rowOff>
    </xdr:from>
    <xdr:to>
      <xdr:col>19</xdr:col>
      <xdr:colOff>266700</xdr:colOff>
      <xdr:row>29</xdr:row>
      <xdr:rowOff>9525</xdr:rowOff>
    </xdr:to>
    <xdr:sp macro="" textlink="">
      <xdr:nvSpPr>
        <xdr:cNvPr id="40" name="BlokTextu 39">
          <a:extLst>
            <a:ext uri="{FF2B5EF4-FFF2-40B4-BE49-F238E27FC236}">
              <a16:creationId xmlns:a16="http://schemas.microsoft.com/office/drawing/2014/main" id="{BD03F40C-80D0-48B6-A027-248C89037E81}"/>
            </a:ext>
          </a:extLst>
        </xdr:cNvPr>
        <xdr:cNvSpPr txBox="1"/>
      </xdr:nvSpPr>
      <xdr:spPr>
        <a:xfrm>
          <a:off x="11974354" y="3969068"/>
          <a:ext cx="545306" cy="246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58,1</a:t>
          </a:r>
        </a:p>
        <a:p>
          <a:endParaRPr lang="sk-SK" sz="1000"/>
        </a:p>
      </xdr:txBody>
    </xdr:sp>
    <xdr:clientData/>
  </xdr:twoCellAnchor>
  <xdr:twoCellAnchor>
    <xdr:from>
      <xdr:col>18</xdr:col>
      <xdr:colOff>266700</xdr:colOff>
      <xdr:row>33</xdr:row>
      <xdr:rowOff>109537</xdr:rowOff>
    </xdr:from>
    <xdr:to>
      <xdr:col>19</xdr:col>
      <xdr:colOff>380999</xdr:colOff>
      <xdr:row>35</xdr:row>
      <xdr:rowOff>26193</xdr:rowOff>
    </xdr:to>
    <xdr:sp macro="" textlink="">
      <xdr:nvSpPr>
        <xdr:cNvPr id="41" name="BlokTextu 40">
          <a:extLst>
            <a:ext uri="{FF2B5EF4-FFF2-40B4-BE49-F238E27FC236}">
              <a16:creationId xmlns:a16="http://schemas.microsoft.com/office/drawing/2014/main" id="{96492DAC-D81E-4E18-AF30-0CC611EC9368}"/>
            </a:ext>
          </a:extLst>
        </xdr:cNvPr>
        <xdr:cNvSpPr txBox="1"/>
      </xdr:nvSpPr>
      <xdr:spPr>
        <a:xfrm>
          <a:off x="11910060" y="5047297"/>
          <a:ext cx="723899" cy="28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54,55</a:t>
          </a:r>
        </a:p>
      </xdr:txBody>
    </xdr:sp>
    <xdr:clientData/>
  </xdr:twoCellAnchor>
  <xdr:twoCellAnchor>
    <xdr:from>
      <xdr:col>16</xdr:col>
      <xdr:colOff>190500</xdr:colOff>
      <xdr:row>27</xdr:row>
      <xdr:rowOff>85725</xdr:rowOff>
    </xdr:from>
    <xdr:to>
      <xdr:col>17</xdr:col>
      <xdr:colOff>263129</xdr:colOff>
      <xdr:row>28</xdr:row>
      <xdr:rowOff>133350</xdr:rowOff>
    </xdr:to>
    <xdr:sp macro="" textlink="">
      <xdr:nvSpPr>
        <xdr:cNvPr id="42" name="BlokTextu 41">
          <a:extLst>
            <a:ext uri="{FF2B5EF4-FFF2-40B4-BE49-F238E27FC236}">
              <a16:creationId xmlns:a16="http://schemas.microsoft.com/office/drawing/2014/main" id="{21DC8877-35DB-422C-A096-A95F3979EC1E}"/>
            </a:ext>
          </a:extLst>
        </xdr:cNvPr>
        <xdr:cNvSpPr txBox="1"/>
      </xdr:nvSpPr>
      <xdr:spPr>
        <a:xfrm>
          <a:off x="10614660" y="3926205"/>
          <a:ext cx="682229" cy="23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57,65</a:t>
          </a:r>
        </a:p>
        <a:p>
          <a:endParaRPr lang="sk-SK" sz="1000"/>
        </a:p>
      </xdr:txBody>
    </xdr:sp>
    <xdr:clientData/>
  </xdr:twoCellAnchor>
  <xdr:twoCellAnchor>
    <xdr:from>
      <xdr:col>16</xdr:col>
      <xdr:colOff>175261</xdr:colOff>
      <xdr:row>33</xdr:row>
      <xdr:rowOff>153590</xdr:rowOff>
    </xdr:from>
    <xdr:to>
      <xdr:col>17</xdr:col>
      <xdr:colOff>140733</xdr:colOff>
      <xdr:row>35</xdr:row>
      <xdr:rowOff>182879</xdr:rowOff>
    </xdr:to>
    <xdr:sp macro="" textlink="">
      <xdr:nvSpPr>
        <xdr:cNvPr id="43" name="BlokTextu 42">
          <a:extLst>
            <a:ext uri="{FF2B5EF4-FFF2-40B4-BE49-F238E27FC236}">
              <a16:creationId xmlns:a16="http://schemas.microsoft.com/office/drawing/2014/main" id="{6F1F3CE6-9A1C-4234-801F-C81723243AC8}"/>
            </a:ext>
          </a:extLst>
        </xdr:cNvPr>
        <xdr:cNvSpPr txBox="1"/>
      </xdr:nvSpPr>
      <xdr:spPr>
        <a:xfrm>
          <a:off x="10614661" y="6775370"/>
          <a:ext cx="575072" cy="395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54,15</a:t>
          </a:r>
        </a:p>
      </xdr:txBody>
    </xdr:sp>
    <xdr:clientData/>
  </xdr:twoCellAnchor>
  <xdr:twoCellAnchor>
    <xdr:from>
      <xdr:col>19</xdr:col>
      <xdr:colOff>523874</xdr:colOff>
      <xdr:row>32</xdr:row>
      <xdr:rowOff>50006</xdr:rowOff>
    </xdr:from>
    <xdr:to>
      <xdr:col>20</xdr:col>
      <xdr:colOff>438149</xdr:colOff>
      <xdr:row>33</xdr:row>
      <xdr:rowOff>157162</xdr:rowOff>
    </xdr:to>
    <xdr:sp macro="" textlink="">
      <xdr:nvSpPr>
        <xdr:cNvPr id="44" name="BlokTextu 43">
          <a:extLst>
            <a:ext uri="{FF2B5EF4-FFF2-40B4-BE49-F238E27FC236}">
              <a16:creationId xmlns:a16="http://schemas.microsoft.com/office/drawing/2014/main" id="{CA733A7A-FECD-4BE4-A38C-9C5B37398C37}"/>
            </a:ext>
          </a:extLst>
        </xdr:cNvPr>
        <xdr:cNvSpPr txBox="1"/>
      </xdr:nvSpPr>
      <xdr:spPr>
        <a:xfrm>
          <a:off x="12776834" y="4804886"/>
          <a:ext cx="523875"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57,95</a:t>
          </a:r>
        </a:p>
        <a:p>
          <a:endParaRPr lang="sk-SK" sz="1000"/>
        </a:p>
      </xdr:txBody>
    </xdr:sp>
    <xdr:clientData/>
  </xdr:twoCellAnchor>
  <xdr:twoCellAnchor>
    <xdr:from>
      <xdr:col>19</xdr:col>
      <xdr:colOff>494110</xdr:colOff>
      <xdr:row>26</xdr:row>
      <xdr:rowOff>0</xdr:rowOff>
    </xdr:from>
    <xdr:to>
      <xdr:col>20</xdr:col>
      <xdr:colOff>552450</xdr:colOff>
      <xdr:row>27</xdr:row>
      <xdr:rowOff>107156</xdr:rowOff>
    </xdr:to>
    <xdr:sp macro="" textlink="">
      <xdr:nvSpPr>
        <xdr:cNvPr id="45" name="BlokTextu 44">
          <a:extLst>
            <a:ext uri="{FF2B5EF4-FFF2-40B4-BE49-F238E27FC236}">
              <a16:creationId xmlns:a16="http://schemas.microsoft.com/office/drawing/2014/main" id="{0673FA76-54E7-4EFF-B5B6-5BE42B235A5F}"/>
            </a:ext>
          </a:extLst>
        </xdr:cNvPr>
        <xdr:cNvSpPr txBox="1"/>
      </xdr:nvSpPr>
      <xdr:spPr>
        <a:xfrm>
          <a:off x="12747070" y="3657600"/>
          <a:ext cx="667940"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61,05</a:t>
          </a:r>
        </a:p>
      </xdr:txBody>
    </xdr:sp>
    <xdr:clientData/>
  </xdr:twoCellAnchor>
  <xdr:twoCellAnchor>
    <xdr:from>
      <xdr:col>17</xdr:col>
      <xdr:colOff>60960</xdr:colOff>
      <xdr:row>25</xdr:row>
      <xdr:rowOff>99060</xdr:rowOff>
    </xdr:from>
    <xdr:to>
      <xdr:col>18</xdr:col>
      <xdr:colOff>240743</xdr:colOff>
      <xdr:row>27</xdr:row>
      <xdr:rowOff>23336</xdr:rowOff>
    </xdr:to>
    <xdr:sp macro="" textlink="">
      <xdr:nvSpPr>
        <xdr:cNvPr id="46" name="BlokTextu 45">
          <a:extLst>
            <a:ext uri="{FF2B5EF4-FFF2-40B4-BE49-F238E27FC236}">
              <a16:creationId xmlns:a16="http://schemas.microsoft.com/office/drawing/2014/main" id="{4330D4C5-A71B-4890-844E-AA853DACBC87}"/>
            </a:ext>
          </a:extLst>
        </xdr:cNvPr>
        <xdr:cNvSpPr txBox="1"/>
      </xdr:nvSpPr>
      <xdr:spPr>
        <a:xfrm>
          <a:off x="11109960" y="5257800"/>
          <a:ext cx="789383"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60,65</a:t>
          </a:r>
        </a:p>
      </xdr:txBody>
    </xdr:sp>
    <xdr:clientData/>
  </xdr:twoCellAnchor>
  <xdr:twoCellAnchor>
    <xdr:from>
      <xdr:col>17</xdr:col>
      <xdr:colOff>102394</xdr:colOff>
      <xdr:row>32</xdr:row>
      <xdr:rowOff>11906</xdr:rowOff>
    </xdr:from>
    <xdr:to>
      <xdr:col>18</xdr:col>
      <xdr:colOff>76199</xdr:colOff>
      <xdr:row>33</xdr:row>
      <xdr:rowOff>119062</xdr:rowOff>
    </xdr:to>
    <xdr:sp macro="" textlink="">
      <xdr:nvSpPr>
        <xdr:cNvPr id="47" name="BlokTextu 46">
          <a:extLst>
            <a:ext uri="{FF2B5EF4-FFF2-40B4-BE49-F238E27FC236}">
              <a16:creationId xmlns:a16="http://schemas.microsoft.com/office/drawing/2014/main" id="{FEB0D69E-9568-4AB1-A965-ABE9C5F361C5}"/>
            </a:ext>
          </a:extLst>
        </xdr:cNvPr>
        <xdr:cNvSpPr txBox="1"/>
      </xdr:nvSpPr>
      <xdr:spPr>
        <a:xfrm>
          <a:off x="11136154" y="4766786"/>
          <a:ext cx="583405"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57,5</a:t>
          </a:r>
        </a:p>
        <a:p>
          <a:endParaRPr lang="sk-SK" sz="1000"/>
        </a:p>
      </xdr:txBody>
    </xdr:sp>
    <xdr:clientData/>
  </xdr:twoCellAnchor>
  <xdr:twoCellAnchor>
    <xdr:from>
      <xdr:col>14</xdr:col>
      <xdr:colOff>228600</xdr:colOff>
      <xdr:row>29</xdr:row>
      <xdr:rowOff>200025</xdr:rowOff>
    </xdr:from>
    <xdr:to>
      <xdr:col>16</xdr:col>
      <xdr:colOff>228600</xdr:colOff>
      <xdr:row>29</xdr:row>
      <xdr:rowOff>200025</xdr:rowOff>
    </xdr:to>
    <xdr:cxnSp macro="">
      <xdr:nvCxnSpPr>
        <xdr:cNvPr id="48" name="Rovná spojovacia šípka 47">
          <a:extLst>
            <a:ext uri="{FF2B5EF4-FFF2-40B4-BE49-F238E27FC236}">
              <a16:creationId xmlns:a16="http://schemas.microsoft.com/office/drawing/2014/main" id="{1D182DE3-89C5-484B-9030-5B269F9BCF01}"/>
            </a:ext>
          </a:extLst>
        </xdr:cNvPr>
        <xdr:cNvCxnSpPr/>
      </xdr:nvCxnSpPr>
      <xdr:spPr>
        <a:xfrm>
          <a:off x="9433560" y="4391025"/>
          <a:ext cx="1219200" cy="0"/>
        </a:xfrm>
        <a:prstGeom prst="straightConnector1">
          <a:avLst/>
        </a:prstGeom>
        <a:ln w="38100">
          <a:solidFill>
            <a:schemeClr val="bg1">
              <a:lumMod val="85000"/>
            </a:schemeClr>
          </a:solidFill>
          <a:prstDash val="lgDashDotDot"/>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28</xdr:row>
      <xdr:rowOff>9526</xdr:rowOff>
    </xdr:from>
    <xdr:to>
      <xdr:col>16</xdr:col>
      <xdr:colOff>323850</xdr:colOff>
      <xdr:row>30</xdr:row>
      <xdr:rowOff>9526</xdr:rowOff>
    </xdr:to>
    <xdr:sp macro="" textlink="">
      <xdr:nvSpPr>
        <xdr:cNvPr id="49" name="BlokTextu 48">
          <a:extLst>
            <a:ext uri="{FF2B5EF4-FFF2-40B4-BE49-F238E27FC236}">
              <a16:creationId xmlns:a16="http://schemas.microsoft.com/office/drawing/2014/main" id="{282BE530-17C9-4E5F-BF4B-B24C63C1B18D}"/>
            </a:ext>
          </a:extLst>
        </xdr:cNvPr>
        <xdr:cNvSpPr txBox="1"/>
      </xdr:nvSpPr>
      <xdr:spPr>
        <a:xfrm>
          <a:off x="9338310" y="4032886"/>
          <a:ext cx="1409700"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900" i="1">
              <a:solidFill>
                <a:schemeClr val="bg1">
                  <a:lumMod val="65000"/>
                </a:schemeClr>
              </a:solidFill>
            </a:rPr>
            <a:t>C</a:t>
          </a:r>
          <a:r>
            <a:rPr lang="sk-SK" sz="900" i="1" baseline="0">
              <a:solidFill>
                <a:schemeClr val="bg1">
                  <a:lumMod val="65000"/>
                </a:schemeClr>
              </a:solidFill>
            </a:rPr>
            <a:t> plot s priemernymi nameranymi hodnotami</a:t>
          </a:r>
          <a:endParaRPr lang="sk-SK" sz="900" i="1">
            <a:solidFill>
              <a:schemeClr val="bg1">
                <a:lumMod val="65000"/>
              </a:schemeClr>
            </a:solidFill>
          </a:endParaRPr>
        </a:p>
      </xdr:txBody>
    </xdr:sp>
    <xdr:clientData/>
  </xdr:twoCellAnchor>
  <xdr:twoCellAnchor>
    <xdr:from>
      <xdr:col>20</xdr:col>
      <xdr:colOff>95250</xdr:colOff>
      <xdr:row>27</xdr:row>
      <xdr:rowOff>0</xdr:rowOff>
    </xdr:from>
    <xdr:to>
      <xdr:col>20</xdr:col>
      <xdr:colOff>484585</xdr:colOff>
      <xdr:row>28</xdr:row>
      <xdr:rowOff>107156</xdr:rowOff>
    </xdr:to>
    <xdr:sp macro="" textlink="">
      <xdr:nvSpPr>
        <xdr:cNvPr id="50" name="BlokTextu 49">
          <a:extLst>
            <a:ext uri="{FF2B5EF4-FFF2-40B4-BE49-F238E27FC236}">
              <a16:creationId xmlns:a16="http://schemas.microsoft.com/office/drawing/2014/main" id="{0DD5C393-DE82-45EC-9325-F27960C564CF}"/>
            </a:ext>
          </a:extLst>
        </xdr:cNvPr>
        <xdr:cNvSpPr txBox="1"/>
      </xdr:nvSpPr>
      <xdr:spPr>
        <a:xfrm>
          <a:off x="12957810" y="3840480"/>
          <a:ext cx="389335" cy="290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20</xdr:col>
      <xdr:colOff>142875</xdr:colOff>
      <xdr:row>32</xdr:row>
      <xdr:rowOff>152400</xdr:rowOff>
    </xdr:from>
    <xdr:to>
      <xdr:col>20</xdr:col>
      <xdr:colOff>532210</xdr:colOff>
      <xdr:row>34</xdr:row>
      <xdr:rowOff>69056</xdr:rowOff>
    </xdr:to>
    <xdr:sp macro="" textlink="">
      <xdr:nvSpPr>
        <xdr:cNvPr id="51" name="BlokTextu 50">
          <a:extLst>
            <a:ext uri="{FF2B5EF4-FFF2-40B4-BE49-F238E27FC236}">
              <a16:creationId xmlns:a16="http://schemas.microsoft.com/office/drawing/2014/main" id="{2DEB2C41-C600-4ADD-9674-B294449B0CDA}"/>
            </a:ext>
          </a:extLst>
        </xdr:cNvPr>
        <xdr:cNvSpPr txBox="1"/>
      </xdr:nvSpPr>
      <xdr:spPr>
        <a:xfrm>
          <a:off x="13020675" y="6591300"/>
          <a:ext cx="389335" cy="28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300"/>
            <a:t>+</a:t>
          </a:r>
        </a:p>
      </xdr:txBody>
    </xdr:sp>
    <xdr:clientData/>
  </xdr:twoCellAnchor>
  <xdr:twoCellAnchor>
    <xdr:from>
      <xdr:col>20</xdr:col>
      <xdr:colOff>161925</xdr:colOff>
      <xdr:row>31</xdr:row>
      <xdr:rowOff>0</xdr:rowOff>
    </xdr:from>
    <xdr:to>
      <xdr:col>20</xdr:col>
      <xdr:colOff>439341</xdr:colOff>
      <xdr:row>32</xdr:row>
      <xdr:rowOff>78581</xdr:rowOff>
    </xdr:to>
    <xdr:sp macro="" textlink="">
      <xdr:nvSpPr>
        <xdr:cNvPr id="52" name="BlokTextu 51">
          <a:extLst>
            <a:ext uri="{FF2B5EF4-FFF2-40B4-BE49-F238E27FC236}">
              <a16:creationId xmlns:a16="http://schemas.microsoft.com/office/drawing/2014/main" id="{743FA764-79FA-43DC-8420-5787F9BED3DB}"/>
            </a:ext>
          </a:extLst>
        </xdr:cNvPr>
        <xdr:cNvSpPr txBox="1"/>
      </xdr:nvSpPr>
      <xdr:spPr>
        <a:xfrm>
          <a:off x="13024485" y="4572000"/>
          <a:ext cx="277416" cy="261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800"/>
            <a:t>-</a:t>
          </a:r>
        </a:p>
      </xdr:txBody>
    </xdr:sp>
    <xdr:clientData/>
  </xdr:twoCellAnchor>
  <xdr:twoCellAnchor>
    <xdr:from>
      <xdr:col>20</xdr:col>
      <xdr:colOff>390525</xdr:colOff>
      <xdr:row>28</xdr:row>
      <xdr:rowOff>22860</xdr:rowOff>
    </xdr:from>
    <xdr:to>
      <xdr:col>22</xdr:col>
      <xdr:colOff>121920</xdr:colOff>
      <xdr:row>31</xdr:row>
      <xdr:rowOff>129540</xdr:rowOff>
    </xdr:to>
    <xdr:sp macro="" textlink="">
      <xdr:nvSpPr>
        <xdr:cNvPr id="53" name="BlokTextu 52">
          <a:extLst>
            <a:ext uri="{FF2B5EF4-FFF2-40B4-BE49-F238E27FC236}">
              <a16:creationId xmlns:a16="http://schemas.microsoft.com/office/drawing/2014/main" id="{4E63ED37-450D-413F-8A2B-CE3C6EC8484D}"/>
            </a:ext>
          </a:extLst>
        </xdr:cNvPr>
        <xdr:cNvSpPr txBox="1"/>
      </xdr:nvSpPr>
      <xdr:spPr>
        <a:xfrm>
          <a:off x="13268325" y="5730240"/>
          <a:ext cx="950595"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solidFill>
                <a:schemeClr val="dk1"/>
              </a:solidFill>
              <a:effectLst/>
              <a:latin typeface="+mn-lt"/>
              <a:ea typeface="+mn-ea"/>
              <a:cs typeface="+mn-cs"/>
            </a:rPr>
            <a:t>nastavená rýchlosť vstrekovania</a:t>
          </a:r>
          <a:endParaRPr lang="sk-SK">
            <a:effectLst/>
          </a:endParaRPr>
        </a:p>
      </xdr:txBody>
    </xdr:sp>
    <xdr:clientData/>
  </xdr:twoCellAnchor>
  <xdr:twoCellAnchor>
    <xdr:from>
      <xdr:col>20</xdr:col>
      <xdr:colOff>161924</xdr:colOff>
      <xdr:row>34</xdr:row>
      <xdr:rowOff>95250</xdr:rowOff>
    </xdr:from>
    <xdr:to>
      <xdr:col>22</xdr:col>
      <xdr:colOff>99059</xdr:colOff>
      <xdr:row>37</xdr:row>
      <xdr:rowOff>0</xdr:rowOff>
    </xdr:to>
    <xdr:sp macro="" textlink="">
      <xdr:nvSpPr>
        <xdr:cNvPr id="54" name="BlokTextu 53">
          <a:extLst>
            <a:ext uri="{FF2B5EF4-FFF2-40B4-BE49-F238E27FC236}">
              <a16:creationId xmlns:a16="http://schemas.microsoft.com/office/drawing/2014/main" id="{FF28FAA3-296F-469B-A51A-C0B9B7132EF9}"/>
            </a:ext>
          </a:extLst>
        </xdr:cNvPr>
        <xdr:cNvSpPr txBox="1"/>
      </xdr:nvSpPr>
      <xdr:spPr>
        <a:xfrm>
          <a:off x="13039724" y="6899910"/>
          <a:ext cx="1156335" cy="453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a:solidFill>
                <a:schemeClr val="dk1"/>
              </a:solidFill>
              <a:effectLst/>
              <a:latin typeface="+mn-lt"/>
              <a:ea typeface="+mn-ea"/>
              <a:cs typeface="+mn-cs"/>
            </a:rPr>
            <a:t>vstrekovací</a:t>
          </a:r>
          <a:r>
            <a:rPr lang="sk-SK" sz="1100" baseline="0">
              <a:solidFill>
                <a:schemeClr val="dk1"/>
              </a:solidFill>
              <a:effectLst/>
              <a:latin typeface="+mn-lt"/>
              <a:ea typeface="+mn-ea"/>
              <a:cs typeface="+mn-cs"/>
            </a:rPr>
            <a:t> tlak</a:t>
          </a:r>
          <a:endParaRPr lang="sk-SK">
            <a:effectLst/>
          </a:endParaRPr>
        </a:p>
      </xdr:txBody>
    </xdr:sp>
    <xdr:clientData/>
  </xdr:twoCellAnchor>
  <xdr:twoCellAnchor>
    <xdr:from>
      <xdr:col>10</xdr:col>
      <xdr:colOff>0</xdr:colOff>
      <xdr:row>28</xdr:row>
      <xdr:rowOff>152400</xdr:rowOff>
    </xdr:from>
    <xdr:to>
      <xdr:col>12</xdr:col>
      <xdr:colOff>71437</xdr:colOff>
      <xdr:row>34</xdr:row>
      <xdr:rowOff>158353</xdr:rowOff>
    </xdr:to>
    <xdr:sp macro="" textlink="">
      <xdr:nvSpPr>
        <xdr:cNvPr id="55" name="Obdĺžnik 54">
          <a:extLst>
            <a:ext uri="{FF2B5EF4-FFF2-40B4-BE49-F238E27FC236}">
              <a16:creationId xmlns:a16="http://schemas.microsoft.com/office/drawing/2014/main" id="{DCF545C4-6639-49FB-BCE0-007C81166F76}"/>
            </a:ext>
          </a:extLst>
        </xdr:cNvPr>
        <xdr:cNvSpPr/>
      </xdr:nvSpPr>
      <xdr:spPr>
        <a:xfrm>
          <a:off x="6720840" y="4175760"/>
          <a:ext cx="1321117" cy="110323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10</xdr:col>
      <xdr:colOff>205740</xdr:colOff>
      <xdr:row>24</xdr:row>
      <xdr:rowOff>137160</xdr:rowOff>
    </xdr:from>
    <xdr:to>
      <xdr:col>11</xdr:col>
      <xdr:colOff>154544</xdr:colOff>
      <xdr:row>27</xdr:row>
      <xdr:rowOff>22860</xdr:rowOff>
    </xdr:to>
    <xdr:sp macro="" textlink="">
      <xdr:nvSpPr>
        <xdr:cNvPr id="56" name="BlokTextu 55">
          <a:extLst>
            <a:ext uri="{FF2B5EF4-FFF2-40B4-BE49-F238E27FC236}">
              <a16:creationId xmlns:a16="http://schemas.microsoft.com/office/drawing/2014/main" id="{E0DC87AD-F36E-4C57-88DA-C31CDE77716B}"/>
            </a:ext>
          </a:extLst>
        </xdr:cNvPr>
        <xdr:cNvSpPr txBox="1"/>
      </xdr:nvSpPr>
      <xdr:spPr>
        <a:xfrm>
          <a:off x="6301740" y="5113020"/>
          <a:ext cx="558404"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000"/>
            <a:t>79,8</a:t>
          </a:r>
        </a:p>
        <a:p>
          <a:r>
            <a:rPr lang="sk-SK" sz="1000"/>
            <a:t>41,5</a:t>
          </a:r>
        </a:p>
        <a:p>
          <a:endParaRPr lang="sk-SK" sz="1000"/>
        </a:p>
      </xdr:txBody>
    </xdr:sp>
    <xdr:clientData/>
  </xdr:twoCellAnchor>
  <xdr:twoCellAnchor editAs="oneCell">
    <xdr:from>
      <xdr:col>25</xdr:col>
      <xdr:colOff>160021</xdr:colOff>
      <xdr:row>46</xdr:row>
      <xdr:rowOff>99061</xdr:rowOff>
    </xdr:from>
    <xdr:to>
      <xdr:col>30</xdr:col>
      <xdr:colOff>310074</xdr:colOff>
      <xdr:row>57</xdr:row>
      <xdr:rowOff>99060</xdr:rowOff>
    </xdr:to>
    <xdr:pic>
      <xdr:nvPicPr>
        <xdr:cNvPr id="57" name="Obrázok 56">
          <a:extLst>
            <a:ext uri="{FF2B5EF4-FFF2-40B4-BE49-F238E27FC236}">
              <a16:creationId xmlns:a16="http://schemas.microsoft.com/office/drawing/2014/main" id="{94BACD64-1CC6-AF86-A506-F0DF973BA929}"/>
            </a:ext>
          </a:extLst>
        </xdr:cNvPr>
        <xdr:cNvPicPr>
          <a:picLocks noChangeAspect="1"/>
        </xdr:cNvPicPr>
      </xdr:nvPicPr>
      <xdr:blipFill>
        <a:blip xmlns:r="http://schemas.openxmlformats.org/officeDocument/2006/relationships" r:embed="rId1"/>
        <a:stretch>
          <a:fillRect/>
        </a:stretch>
      </xdr:blipFill>
      <xdr:spPr>
        <a:xfrm>
          <a:off x="16085821" y="9189721"/>
          <a:ext cx="3198053" cy="2011679"/>
        </a:xfrm>
        <a:prstGeom prst="rect">
          <a:avLst/>
        </a:prstGeom>
      </xdr:spPr>
    </xdr:pic>
    <xdr:clientData/>
  </xdr:twoCellAnchor>
  <xdr:twoCellAnchor editAs="oneCell">
    <xdr:from>
      <xdr:col>11</xdr:col>
      <xdr:colOff>83821</xdr:colOff>
      <xdr:row>192</xdr:row>
      <xdr:rowOff>15241</xdr:rowOff>
    </xdr:from>
    <xdr:to>
      <xdr:col>12</xdr:col>
      <xdr:colOff>544807</xdr:colOff>
      <xdr:row>197</xdr:row>
      <xdr:rowOff>114301</xdr:rowOff>
    </xdr:to>
    <xdr:pic>
      <xdr:nvPicPr>
        <xdr:cNvPr id="59" name="Obrázok 58">
          <a:extLst>
            <a:ext uri="{FF2B5EF4-FFF2-40B4-BE49-F238E27FC236}">
              <a16:creationId xmlns:a16="http://schemas.microsoft.com/office/drawing/2014/main" id="{658F365C-8BF9-F2A9-FD7B-BAA6F8F00967}"/>
            </a:ext>
          </a:extLst>
        </xdr:cNvPr>
        <xdr:cNvPicPr>
          <a:picLocks noChangeAspect="1"/>
        </xdr:cNvPicPr>
      </xdr:nvPicPr>
      <xdr:blipFill>
        <a:blip xmlns:r="http://schemas.openxmlformats.org/officeDocument/2006/relationships" r:embed="rId2"/>
        <a:stretch>
          <a:fillRect/>
        </a:stretch>
      </xdr:blipFill>
      <xdr:spPr>
        <a:xfrm>
          <a:off x="6789421" y="37238941"/>
          <a:ext cx="1337286" cy="1021080"/>
        </a:xfrm>
        <a:prstGeom prst="rect">
          <a:avLst/>
        </a:prstGeom>
      </xdr:spPr>
    </xdr:pic>
    <xdr:clientData/>
  </xdr:twoCellAnchor>
  <xdr:twoCellAnchor editAs="oneCell">
    <xdr:from>
      <xdr:col>9</xdr:col>
      <xdr:colOff>335280</xdr:colOff>
      <xdr:row>210</xdr:row>
      <xdr:rowOff>10671</xdr:rowOff>
    </xdr:from>
    <xdr:to>
      <xdr:col>11</xdr:col>
      <xdr:colOff>365760</xdr:colOff>
      <xdr:row>217</xdr:row>
      <xdr:rowOff>1275</xdr:rowOff>
    </xdr:to>
    <xdr:pic>
      <xdr:nvPicPr>
        <xdr:cNvPr id="60" name="Obrázok 59">
          <a:extLst>
            <a:ext uri="{FF2B5EF4-FFF2-40B4-BE49-F238E27FC236}">
              <a16:creationId xmlns:a16="http://schemas.microsoft.com/office/drawing/2014/main" id="{01B03D0F-3319-F135-E704-6E06E3939728}"/>
            </a:ext>
          </a:extLst>
        </xdr:cNvPr>
        <xdr:cNvPicPr>
          <a:picLocks noChangeAspect="1"/>
        </xdr:cNvPicPr>
      </xdr:nvPicPr>
      <xdr:blipFill>
        <a:blip xmlns:r="http://schemas.openxmlformats.org/officeDocument/2006/relationships" r:embed="rId3"/>
        <a:stretch>
          <a:fillRect/>
        </a:stretch>
      </xdr:blipFill>
      <xdr:spPr>
        <a:xfrm>
          <a:off x="5821680" y="40541451"/>
          <a:ext cx="1463040" cy="1278384"/>
        </a:xfrm>
        <a:prstGeom prst="rect">
          <a:avLst/>
        </a:prstGeom>
      </xdr:spPr>
    </xdr:pic>
    <xdr:clientData/>
  </xdr:twoCellAnchor>
  <xdr:twoCellAnchor editAs="oneCell">
    <xdr:from>
      <xdr:col>13</xdr:col>
      <xdr:colOff>160020</xdr:colOff>
      <xdr:row>210</xdr:row>
      <xdr:rowOff>93393</xdr:rowOff>
    </xdr:from>
    <xdr:to>
      <xdr:col>14</xdr:col>
      <xdr:colOff>640080</xdr:colOff>
      <xdr:row>217</xdr:row>
      <xdr:rowOff>39076</xdr:rowOff>
    </xdr:to>
    <xdr:pic>
      <xdr:nvPicPr>
        <xdr:cNvPr id="61" name="Obrázok 60">
          <a:extLst>
            <a:ext uri="{FF2B5EF4-FFF2-40B4-BE49-F238E27FC236}">
              <a16:creationId xmlns:a16="http://schemas.microsoft.com/office/drawing/2014/main" id="{E3F659CC-2DF2-47AD-ABAE-2DAE9500EA36}"/>
            </a:ext>
          </a:extLst>
        </xdr:cNvPr>
        <xdr:cNvPicPr>
          <a:picLocks noChangeAspect="1"/>
        </xdr:cNvPicPr>
      </xdr:nvPicPr>
      <xdr:blipFill>
        <a:blip xmlns:r="http://schemas.openxmlformats.org/officeDocument/2006/relationships" r:embed="rId2"/>
        <a:stretch>
          <a:fillRect/>
        </a:stretch>
      </xdr:blipFill>
      <xdr:spPr>
        <a:xfrm>
          <a:off x="8351520" y="40624173"/>
          <a:ext cx="1615440" cy="1233463"/>
        </a:xfrm>
        <a:prstGeom prst="rect">
          <a:avLst/>
        </a:prstGeom>
      </xdr:spPr>
    </xdr:pic>
    <xdr:clientData/>
  </xdr:twoCellAnchor>
  <xdr:twoCellAnchor editAs="oneCell">
    <xdr:from>
      <xdr:col>8</xdr:col>
      <xdr:colOff>324858</xdr:colOff>
      <xdr:row>300</xdr:row>
      <xdr:rowOff>99060</xdr:rowOff>
    </xdr:from>
    <xdr:to>
      <xdr:col>16</xdr:col>
      <xdr:colOff>230966</xdr:colOff>
      <xdr:row>315</xdr:row>
      <xdr:rowOff>166817</xdr:rowOff>
    </xdr:to>
    <xdr:pic>
      <xdr:nvPicPr>
        <xdr:cNvPr id="58" name="Obrázok 57">
          <a:extLst>
            <a:ext uri="{FF2B5EF4-FFF2-40B4-BE49-F238E27FC236}">
              <a16:creationId xmlns:a16="http://schemas.microsoft.com/office/drawing/2014/main" id="{1F63FEA0-555E-8DB8-9CFB-DC83A31D3487}"/>
            </a:ext>
          </a:extLst>
        </xdr:cNvPr>
        <xdr:cNvPicPr>
          <a:picLocks noChangeAspect="1"/>
        </xdr:cNvPicPr>
      </xdr:nvPicPr>
      <xdr:blipFill>
        <a:blip xmlns:r="http://schemas.openxmlformats.org/officeDocument/2006/relationships" r:embed="rId4"/>
        <a:stretch>
          <a:fillRect/>
        </a:stretch>
      </xdr:blipFill>
      <xdr:spPr>
        <a:xfrm>
          <a:off x="5201658" y="57066180"/>
          <a:ext cx="6139268" cy="2810957"/>
        </a:xfrm>
        <a:prstGeom prst="rect">
          <a:avLst/>
        </a:prstGeom>
      </xdr:spPr>
    </xdr:pic>
    <xdr:clientData/>
  </xdr:twoCellAnchor>
  <xdr:twoCellAnchor editAs="oneCell">
    <xdr:from>
      <xdr:col>13</xdr:col>
      <xdr:colOff>196218</xdr:colOff>
      <xdr:row>246</xdr:row>
      <xdr:rowOff>152400</xdr:rowOff>
    </xdr:from>
    <xdr:to>
      <xdr:col>21</xdr:col>
      <xdr:colOff>108887</xdr:colOff>
      <xdr:row>258</xdr:row>
      <xdr:rowOff>48360</xdr:rowOff>
    </xdr:to>
    <xdr:pic>
      <xdr:nvPicPr>
        <xdr:cNvPr id="62" name="Obrázok 61">
          <a:extLst>
            <a:ext uri="{FF2B5EF4-FFF2-40B4-BE49-F238E27FC236}">
              <a16:creationId xmlns:a16="http://schemas.microsoft.com/office/drawing/2014/main" id="{81814F0E-5ACE-D02C-5CB9-F140F6A46099}"/>
            </a:ext>
          </a:extLst>
        </xdr:cNvPr>
        <xdr:cNvPicPr>
          <a:picLocks noChangeAspect="1"/>
        </xdr:cNvPicPr>
      </xdr:nvPicPr>
      <xdr:blipFill>
        <a:blip xmlns:r="http://schemas.openxmlformats.org/officeDocument/2006/relationships" r:embed="rId5"/>
        <a:stretch>
          <a:fillRect/>
        </a:stretch>
      </xdr:blipFill>
      <xdr:spPr>
        <a:xfrm>
          <a:off x="8601078" y="47152560"/>
          <a:ext cx="6321089" cy="2105760"/>
        </a:xfrm>
        <a:prstGeom prst="rect">
          <a:avLst/>
        </a:prstGeom>
      </xdr:spPr>
    </xdr:pic>
    <xdr:clientData/>
  </xdr:twoCellAnchor>
  <xdr:twoCellAnchor editAs="oneCell">
    <xdr:from>
      <xdr:col>0</xdr:col>
      <xdr:colOff>0</xdr:colOff>
      <xdr:row>5</xdr:row>
      <xdr:rowOff>60961</xdr:rowOff>
    </xdr:from>
    <xdr:to>
      <xdr:col>5</xdr:col>
      <xdr:colOff>557981</xdr:colOff>
      <xdr:row>30</xdr:row>
      <xdr:rowOff>38100</xdr:rowOff>
    </xdr:to>
    <xdr:pic>
      <xdr:nvPicPr>
        <xdr:cNvPr id="63" name="Obrázok 62">
          <a:extLst>
            <a:ext uri="{FF2B5EF4-FFF2-40B4-BE49-F238E27FC236}">
              <a16:creationId xmlns:a16="http://schemas.microsoft.com/office/drawing/2014/main" id="{015034EC-10DD-3788-C17F-C9A402417892}"/>
            </a:ext>
          </a:extLst>
        </xdr:cNvPr>
        <xdr:cNvPicPr>
          <a:picLocks noChangeAspect="1"/>
        </xdr:cNvPicPr>
      </xdr:nvPicPr>
      <xdr:blipFill>
        <a:blip xmlns:r="http://schemas.openxmlformats.org/officeDocument/2006/relationships" r:embed="rId6"/>
        <a:stretch>
          <a:fillRect/>
        </a:stretch>
      </xdr:blipFill>
      <xdr:spPr>
        <a:xfrm>
          <a:off x="0" y="1531621"/>
          <a:ext cx="3605981" cy="4625339"/>
        </a:xfrm>
        <a:prstGeom prst="rect">
          <a:avLst/>
        </a:prstGeom>
      </xdr:spPr>
    </xdr:pic>
    <xdr:clientData/>
  </xdr:twoCellAnchor>
  <xdr:twoCellAnchor editAs="oneCell">
    <xdr:from>
      <xdr:col>0</xdr:col>
      <xdr:colOff>30480</xdr:colOff>
      <xdr:row>30</xdr:row>
      <xdr:rowOff>60960</xdr:rowOff>
    </xdr:from>
    <xdr:to>
      <xdr:col>5</xdr:col>
      <xdr:colOff>609229</xdr:colOff>
      <xdr:row>54</xdr:row>
      <xdr:rowOff>121920</xdr:rowOff>
    </xdr:to>
    <xdr:pic>
      <xdr:nvPicPr>
        <xdr:cNvPr id="64" name="Obrázok 63">
          <a:extLst>
            <a:ext uri="{FF2B5EF4-FFF2-40B4-BE49-F238E27FC236}">
              <a16:creationId xmlns:a16="http://schemas.microsoft.com/office/drawing/2014/main" id="{C58E680D-18C9-5910-570D-3F5FFCD0A088}"/>
            </a:ext>
          </a:extLst>
        </xdr:cNvPr>
        <xdr:cNvPicPr>
          <a:picLocks noChangeAspect="1"/>
        </xdr:cNvPicPr>
      </xdr:nvPicPr>
      <xdr:blipFill>
        <a:blip xmlns:r="http://schemas.openxmlformats.org/officeDocument/2006/relationships" r:embed="rId7"/>
        <a:stretch>
          <a:fillRect/>
        </a:stretch>
      </xdr:blipFill>
      <xdr:spPr>
        <a:xfrm>
          <a:off x="30480" y="6179820"/>
          <a:ext cx="3626749" cy="449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175260</xdr:colOff>
      <xdr:row>27</xdr:row>
      <xdr:rowOff>76200</xdr:rowOff>
    </xdr:from>
    <xdr:to>
      <xdr:col>5</xdr:col>
      <xdr:colOff>525780</xdr:colOff>
      <xdr:row>39</xdr:row>
      <xdr:rowOff>3810</xdr:rowOff>
    </xdr:to>
    <xdr:graphicFrame macro="">
      <xdr:nvGraphicFramePr>
        <xdr:cNvPr id="4" name="Graf 3">
          <a:extLst>
            <a:ext uri="{FF2B5EF4-FFF2-40B4-BE49-F238E27FC236}">
              <a16:creationId xmlns:a16="http://schemas.microsoft.com/office/drawing/2014/main" id="{187EF259-F9C6-449C-CF89-E7A29DE39C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60960</xdr:colOff>
      <xdr:row>27</xdr:row>
      <xdr:rowOff>76200</xdr:rowOff>
    </xdr:from>
    <xdr:to>
      <xdr:col>11</xdr:col>
      <xdr:colOff>68580</xdr:colOff>
      <xdr:row>39</xdr:row>
      <xdr:rowOff>7620</xdr:rowOff>
    </xdr:to>
    <xdr:graphicFrame macro="">
      <xdr:nvGraphicFramePr>
        <xdr:cNvPr id="5" name="Graf 4">
          <a:extLst>
            <a:ext uri="{FF2B5EF4-FFF2-40B4-BE49-F238E27FC236}">
              <a16:creationId xmlns:a16="http://schemas.microsoft.com/office/drawing/2014/main" id="{40C5FBDB-2290-64CD-4C50-BDFA1A7DBE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175260</xdr:colOff>
      <xdr:row>27</xdr:row>
      <xdr:rowOff>121920</xdr:rowOff>
    </xdr:from>
    <xdr:to>
      <xdr:col>17</xdr:col>
      <xdr:colOff>419100</xdr:colOff>
      <xdr:row>38</xdr:row>
      <xdr:rowOff>118110</xdr:rowOff>
    </xdr:to>
    <xdr:graphicFrame macro="">
      <xdr:nvGraphicFramePr>
        <xdr:cNvPr id="6" name="Graf 5">
          <a:extLst>
            <a:ext uri="{FF2B5EF4-FFF2-40B4-BE49-F238E27FC236}">
              <a16:creationId xmlns:a16="http://schemas.microsoft.com/office/drawing/2014/main" id="{3DE77CA6-C4D2-FEEC-65AE-1351DA38C4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506730</xdr:colOff>
      <xdr:row>39</xdr:row>
      <xdr:rowOff>60960</xdr:rowOff>
    </xdr:from>
    <xdr:to>
      <xdr:col>13</xdr:col>
      <xdr:colOff>137160</xdr:colOff>
      <xdr:row>49</xdr:row>
      <xdr:rowOff>175260</xdr:rowOff>
    </xdr:to>
    <xdr:graphicFrame macro="">
      <xdr:nvGraphicFramePr>
        <xdr:cNvPr id="8" name="Graf 7">
          <a:extLst>
            <a:ext uri="{FF2B5EF4-FFF2-40B4-BE49-F238E27FC236}">
              <a16:creationId xmlns:a16="http://schemas.microsoft.com/office/drawing/2014/main" id="{F87B4AE3-2D00-F48E-8683-3BBA5DB476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255270</xdr:colOff>
      <xdr:row>39</xdr:row>
      <xdr:rowOff>60960</xdr:rowOff>
    </xdr:from>
    <xdr:to>
      <xdr:col>18</xdr:col>
      <xdr:colOff>472440</xdr:colOff>
      <xdr:row>49</xdr:row>
      <xdr:rowOff>148590</xdr:rowOff>
    </xdr:to>
    <xdr:graphicFrame macro="">
      <xdr:nvGraphicFramePr>
        <xdr:cNvPr id="9" name="Graf 8">
          <a:extLst>
            <a:ext uri="{FF2B5EF4-FFF2-40B4-BE49-F238E27FC236}">
              <a16:creationId xmlns:a16="http://schemas.microsoft.com/office/drawing/2014/main" id="{C88CEDC0-6B44-F361-9843-2FD6301726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350521</xdr:colOff>
      <xdr:row>71</xdr:row>
      <xdr:rowOff>15240</xdr:rowOff>
    </xdr:from>
    <xdr:to>
      <xdr:col>16</xdr:col>
      <xdr:colOff>381001</xdr:colOff>
      <xdr:row>83</xdr:row>
      <xdr:rowOff>166164</xdr:rowOff>
    </xdr:to>
    <xdr:pic>
      <xdr:nvPicPr>
        <xdr:cNvPr id="6" name="Obrázok 5">
          <a:extLst>
            <a:ext uri="{FF2B5EF4-FFF2-40B4-BE49-F238E27FC236}">
              <a16:creationId xmlns:a16="http://schemas.microsoft.com/office/drawing/2014/main" id="{38EAADF1-F14C-FCB6-A8FC-BCFE0AA10D39}"/>
            </a:ext>
          </a:extLst>
        </xdr:cNvPr>
        <xdr:cNvPicPr>
          <a:picLocks noChangeAspect="1"/>
        </xdr:cNvPicPr>
      </xdr:nvPicPr>
      <xdr:blipFill>
        <a:blip xmlns:r="http://schemas.openxmlformats.org/officeDocument/2006/relationships" r:embed="rId1"/>
        <a:stretch>
          <a:fillRect/>
        </a:stretch>
      </xdr:blipFill>
      <xdr:spPr>
        <a:xfrm>
          <a:off x="6659881" y="13098780"/>
          <a:ext cx="3688080" cy="2345484"/>
        </a:xfrm>
        <a:prstGeom prst="rect">
          <a:avLst/>
        </a:prstGeom>
      </xdr:spPr>
    </xdr:pic>
    <xdr:clientData/>
  </xdr:twoCellAnchor>
  <xdr:twoCellAnchor>
    <xdr:from>
      <xdr:col>0</xdr:col>
      <xdr:colOff>403860</xdr:colOff>
      <xdr:row>89</xdr:row>
      <xdr:rowOff>53340</xdr:rowOff>
    </xdr:from>
    <xdr:to>
      <xdr:col>5</xdr:col>
      <xdr:colOff>495300</xdr:colOff>
      <xdr:row>101</xdr:row>
      <xdr:rowOff>0</xdr:rowOff>
    </xdr:to>
    <xdr:graphicFrame macro="">
      <xdr:nvGraphicFramePr>
        <xdr:cNvPr id="7" name="Graf 6">
          <a:extLst>
            <a:ext uri="{FF2B5EF4-FFF2-40B4-BE49-F238E27FC236}">
              <a16:creationId xmlns:a16="http://schemas.microsoft.com/office/drawing/2014/main" id="{A269CC47-F087-18FC-F788-45FB733FFC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68580</xdr:colOff>
      <xdr:row>89</xdr:row>
      <xdr:rowOff>64770</xdr:rowOff>
    </xdr:from>
    <xdr:to>
      <xdr:col>11</xdr:col>
      <xdr:colOff>563880</xdr:colOff>
      <xdr:row>100</xdr:row>
      <xdr:rowOff>137160</xdr:rowOff>
    </xdr:to>
    <xdr:graphicFrame macro="">
      <xdr:nvGraphicFramePr>
        <xdr:cNvPr id="8" name="Graf 7">
          <a:extLst>
            <a:ext uri="{FF2B5EF4-FFF2-40B4-BE49-F238E27FC236}">
              <a16:creationId xmlns:a16="http://schemas.microsoft.com/office/drawing/2014/main" id="{635B195F-9536-1250-501E-97A23E72D7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209550</xdr:colOff>
      <xdr:row>88</xdr:row>
      <xdr:rowOff>129540</xdr:rowOff>
    </xdr:from>
    <xdr:to>
      <xdr:col>17</xdr:col>
      <xdr:colOff>556260</xdr:colOff>
      <xdr:row>100</xdr:row>
      <xdr:rowOff>72390</xdr:rowOff>
    </xdr:to>
    <xdr:graphicFrame macro="">
      <xdr:nvGraphicFramePr>
        <xdr:cNvPr id="9" name="Graf 8">
          <a:extLst>
            <a:ext uri="{FF2B5EF4-FFF2-40B4-BE49-F238E27FC236}">
              <a16:creationId xmlns:a16="http://schemas.microsoft.com/office/drawing/2014/main" id="{D98B2A05-57C3-4F0C-A801-BBC4ED9E55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49530</xdr:colOff>
      <xdr:row>133</xdr:row>
      <xdr:rowOff>91440</xdr:rowOff>
    </xdr:from>
    <xdr:to>
      <xdr:col>6</xdr:col>
      <xdr:colOff>388620</xdr:colOff>
      <xdr:row>144</xdr:row>
      <xdr:rowOff>118110</xdr:rowOff>
    </xdr:to>
    <xdr:graphicFrame macro="">
      <xdr:nvGraphicFramePr>
        <xdr:cNvPr id="10" name="Graf 9">
          <a:extLst>
            <a:ext uri="{FF2B5EF4-FFF2-40B4-BE49-F238E27FC236}">
              <a16:creationId xmlns:a16="http://schemas.microsoft.com/office/drawing/2014/main" id="{ED6746E5-160B-2394-7C19-664B8FCAC8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60960</xdr:colOff>
      <xdr:row>133</xdr:row>
      <xdr:rowOff>99060</xdr:rowOff>
    </xdr:from>
    <xdr:to>
      <xdr:col>11</xdr:col>
      <xdr:colOff>396240</xdr:colOff>
      <xdr:row>144</xdr:row>
      <xdr:rowOff>133350</xdr:rowOff>
    </xdr:to>
    <xdr:graphicFrame macro="">
      <xdr:nvGraphicFramePr>
        <xdr:cNvPr id="11" name="Graf 10">
          <a:extLst>
            <a:ext uri="{FF2B5EF4-FFF2-40B4-BE49-F238E27FC236}">
              <a16:creationId xmlns:a16="http://schemas.microsoft.com/office/drawing/2014/main" id="{FEFA2DA2-6C6A-1062-7CCE-88402EFFFA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251460</xdr:colOff>
      <xdr:row>133</xdr:row>
      <xdr:rowOff>99060</xdr:rowOff>
    </xdr:from>
    <xdr:to>
      <xdr:col>17</xdr:col>
      <xdr:colOff>350520</xdr:colOff>
      <xdr:row>144</xdr:row>
      <xdr:rowOff>140970</xdr:rowOff>
    </xdr:to>
    <xdr:graphicFrame macro="">
      <xdr:nvGraphicFramePr>
        <xdr:cNvPr id="12" name="Graf 11">
          <a:extLst>
            <a:ext uri="{FF2B5EF4-FFF2-40B4-BE49-F238E27FC236}">
              <a16:creationId xmlns:a16="http://schemas.microsoft.com/office/drawing/2014/main" id="{10243FF1-6A7A-5972-B408-EC50AE5742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Motí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300"/>
  <sheetViews>
    <sheetView tabSelected="1" zoomScaleNormal="100" workbookViewId="0">
      <selection activeCell="I19" sqref="I19"/>
    </sheetView>
  </sheetViews>
  <sheetFormatPr defaultRowHeight="14.25"/>
  <cols>
    <col min="11" max="11" width="12" bestFit="1" customWidth="1"/>
    <col min="12" max="12" width="12.75" customWidth="1"/>
    <col min="14" max="14" width="16.5" bestFit="1" customWidth="1"/>
    <col min="15" max="15" width="11.25" customWidth="1"/>
    <col min="16" max="16" width="11.625" customWidth="1"/>
    <col min="17" max="17" width="12.75" bestFit="1" customWidth="1"/>
    <col min="18" max="18" width="12.75" customWidth="1"/>
    <col min="20" max="20" width="10.625" customWidth="1"/>
    <col min="22" max="22" width="13.5" customWidth="1"/>
    <col min="23" max="23" width="10" bestFit="1" customWidth="1"/>
    <col min="24" max="24" width="10.75" customWidth="1"/>
  </cols>
  <sheetData>
    <row r="1" spans="1:22">
      <c r="A1" s="188" t="s">
        <v>270</v>
      </c>
      <c r="B1" s="189"/>
      <c r="C1" s="189"/>
      <c r="D1" s="189"/>
      <c r="E1" s="189"/>
      <c r="F1" s="189"/>
      <c r="G1" s="189"/>
      <c r="H1" s="189"/>
      <c r="I1" s="190"/>
      <c r="U1" s="14" t="s">
        <v>4</v>
      </c>
      <c r="V1" s="15" t="s">
        <v>5</v>
      </c>
    </row>
    <row r="2" spans="1:22" ht="15">
      <c r="A2" s="191"/>
      <c r="B2" s="192"/>
      <c r="C2" s="192"/>
      <c r="D2" s="192"/>
      <c r="E2" s="192"/>
      <c r="F2" s="192"/>
      <c r="G2" s="192"/>
      <c r="H2" s="192"/>
      <c r="I2" s="193"/>
      <c r="L2" s="20" t="s">
        <v>6</v>
      </c>
      <c r="M2" s="21" t="s">
        <v>11</v>
      </c>
      <c r="N2" s="13" t="s">
        <v>16</v>
      </c>
      <c r="O2" t="s">
        <v>8</v>
      </c>
      <c r="U2" s="14">
        <f>AVERAGE(130, 170)</f>
        <v>150</v>
      </c>
      <c r="V2" s="15">
        <f>(170-130)/2</f>
        <v>20</v>
      </c>
    </row>
    <row r="3" spans="1:22" ht="15">
      <c r="A3" s="191"/>
      <c r="B3" s="192"/>
      <c r="C3" s="192"/>
      <c r="D3" s="192"/>
      <c r="E3" s="192"/>
      <c r="F3" s="192"/>
      <c r="G3" s="192"/>
      <c r="H3" s="192"/>
      <c r="I3" s="193"/>
      <c r="L3" s="20" t="s">
        <v>7</v>
      </c>
      <c r="M3" s="21" t="s">
        <v>12</v>
      </c>
      <c r="N3" s="13" t="s">
        <v>18</v>
      </c>
      <c r="O3" t="s">
        <v>15</v>
      </c>
      <c r="U3" s="16">
        <f>AVERAGE(600, 1000)</f>
        <v>800</v>
      </c>
      <c r="V3" s="17">
        <f>(1000-600)/2</f>
        <v>200</v>
      </c>
    </row>
    <row r="4" spans="1:22" ht="43.5">
      <c r="A4" s="191"/>
      <c r="B4" s="192"/>
      <c r="C4" s="192"/>
      <c r="D4" s="192"/>
      <c r="E4" s="192"/>
      <c r="F4" s="192"/>
      <c r="G4" s="192"/>
      <c r="H4" s="192"/>
      <c r="I4" s="193"/>
      <c r="L4" s="20" t="s">
        <v>9</v>
      </c>
      <c r="M4" s="21" t="s">
        <v>13</v>
      </c>
      <c r="N4" s="23" t="s">
        <v>17</v>
      </c>
      <c r="O4" t="s">
        <v>14</v>
      </c>
      <c r="U4" s="18">
        <f>AVERAGE(40,80)</f>
        <v>60</v>
      </c>
      <c r="V4" s="19">
        <f>(80-40)/2</f>
        <v>20</v>
      </c>
    </row>
    <row r="5" spans="1:22" ht="43.9" customHeight="1" thickBot="1">
      <c r="A5" s="194"/>
      <c r="B5" s="195"/>
      <c r="C5" s="195"/>
      <c r="D5" s="195"/>
      <c r="E5" s="195"/>
      <c r="F5" s="195"/>
      <c r="G5" s="195"/>
      <c r="H5" s="195"/>
      <c r="I5" s="196"/>
      <c r="L5" s="22"/>
      <c r="M5" s="20" t="s">
        <v>10</v>
      </c>
      <c r="N5" s="23" t="s">
        <v>19</v>
      </c>
      <c r="O5" t="s">
        <v>14</v>
      </c>
    </row>
    <row r="6" spans="1:22" ht="15" thickBot="1"/>
    <row r="7" spans="1:22" ht="15.75" thickBot="1">
      <c r="K7" s="10" t="s">
        <v>0</v>
      </c>
      <c r="L7" s="11" t="s">
        <v>1</v>
      </c>
      <c r="M7" s="11" t="s">
        <v>2</v>
      </c>
      <c r="N7" s="11" t="s">
        <v>3</v>
      </c>
      <c r="O7" s="12" t="s">
        <v>20</v>
      </c>
      <c r="Q7" s="35" t="s">
        <v>21</v>
      </c>
      <c r="R7" s="36" t="s">
        <v>22</v>
      </c>
      <c r="S7" s="36" t="s">
        <v>23</v>
      </c>
      <c r="T7" s="37" t="s">
        <v>24</v>
      </c>
    </row>
    <row r="8" spans="1:22">
      <c r="K8" s="7">
        <v>1</v>
      </c>
      <c r="L8" s="8">
        <v>130</v>
      </c>
      <c r="M8" s="8">
        <v>600</v>
      </c>
      <c r="N8" s="8">
        <v>40</v>
      </c>
      <c r="O8" s="9">
        <v>36.799999999999997</v>
      </c>
      <c r="Q8" s="32">
        <f t="shared" ref="Q8:Q13" si="0">(L8-$U$2)/$V$2</f>
        <v>-1</v>
      </c>
      <c r="R8" s="33">
        <f>(M8-$U$3)/$V$3</f>
        <v>-1</v>
      </c>
      <c r="S8" s="33">
        <f>(N8-$U$4)/$V$4</f>
        <v>-1</v>
      </c>
      <c r="T8" s="34">
        <f>O8</f>
        <v>36.799999999999997</v>
      </c>
    </row>
    <row r="9" spans="1:22">
      <c r="K9" s="2">
        <v>2</v>
      </c>
      <c r="L9" s="1">
        <v>130</v>
      </c>
      <c r="M9" s="1">
        <v>600</v>
      </c>
      <c r="N9" s="1">
        <v>40</v>
      </c>
      <c r="O9" s="3">
        <v>37.1</v>
      </c>
      <c r="Q9" s="24">
        <f t="shared" si="0"/>
        <v>-1</v>
      </c>
      <c r="R9" s="25">
        <f>(M9-$U$3)/$V$3</f>
        <v>-1</v>
      </c>
      <c r="S9" s="25">
        <f>(N9-$U$4)/$V$4</f>
        <v>-1</v>
      </c>
      <c r="T9" s="26">
        <f t="shared" ref="T9:T23" si="1">O9</f>
        <v>37.1</v>
      </c>
    </row>
    <row r="10" spans="1:22">
      <c r="K10" s="2">
        <v>3</v>
      </c>
      <c r="L10" s="1">
        <v>130</v>
      </c>
      <c r="M10" s="1">
        <v>600</v>
      </c>
      <c r="N10" s="1">
        <v>80</v>
      </c>
      <c r="O10" s="3">
        <v>71.5</v>
      </c>
      <c r="Q10" s="24">
        <f t="shared" si="0"/>
        <v>-1</v>
      </c>
      <c r="R10" s="25">
        <f>(M10-$U$3)/$V$3</f>
        <v>-1</v>
      </c>
      <c r="S10" s="25">
        <f t="shared" ref="S10:S23" si="2">(N10-$U$4)/$V$4</f>
        <v>1</v>
      </c>
      <c r="T10" s="26">
        <f t="shared" si="1"/>
        <v>71.5</v>
      </c>
    </row>
    <row r="11" spans="1:22">
      <c r="K11" s="2">
        <v>4</v>
      </c>
      <c r="L11" s="1">
        <v>130</v>
      </c>
      <c r="M11" s="1">
        <v>600</v>
      </c>
      <c r="N11" s="1">
        <v>80</v>
      </c>
      <c r="O11" s="3">
        <v>72</v>
      </c>
      <c r="Q11" s="24">
        <f t="shared" si="0"/>
        <v>-1</v>
      </c>
      <c r="R11" s="25">
        <f t="shared" ref="R11:R23" si="3">(M11-$U$3)/$V$3</f>
        <v>-1</v>
      </c>
      <c r="S11" s="25">
        <f>(N11-$U$4)/$V$4</f>
        <v>1</v>
      </c>
      <c r="T11" s="26">
        <f t="shared" si="1"/>
        <v>72</v>
      </c>
    </row>
    <row r="12" spans="1:22">
      <c r="K12" s="2">
        <v>5</v>
      </c>
      <c r="L12" s="1">
        <v>130</v>
      </c>
      <c r="M12" s="1">
        <v>1000</v>
      </c>
      <c r="N12" s="1">
        <v>40</v>
      </c>
      <c r="O12" s="3">
        <v>39.200000000000003</v>
      </c>
      <c r="Q12" s="24">
        <f t="shared" si="0"/>
        <v>-1</v>
      </c>
      <c r="R12" s="25">
        <f t="shared" si="3"/>
        <v>1</v>
      </c>
      <c r="S12" s="25">
        <f>(N12-$U$4)/$V$4</f>
        <v>-1</v>
      </c>
      <c r="T12" s="26">
        <f t="shared" si="1"/>
        <v>39.200000000000003</v>
      </c>
    </row>
    <row r="13" spans="1:22">
      <c r="K13" s="2">
        <v>6</v>
      </c>
      <c r="L13" s="1">
        <v>130</v>
      </c>
      <c r="M13" s="1">
        <v>1000</v>
      </c>
      <c r="N13" s="1">
        <v>40</v>
      </c>
      <c r="O13" s="3">
        <v>39.6</v>
      </c>
      <c r="Q13" s="24">
        <f t="shared" si="0"/>
        <v>-1</v>
      </c>
      <c r="R13" s="25">
        <f t="shared" si="3"/>
        <v>1</v>
      </c>
      <c r="S13" s="25">
        <f t="shared" si="2"/>
        <v>-1</v>
      </c>
      <c r="T13" s="26">
        <f t="shared" si="1"/>
        <v>39.6</v>
      </c>
    </row>
    <row r="14" spans="1:22">
      <c r="K14" s="2">
        <v>7</v>
      </c>
      <c r="L14" s="1">
        <v>130</v>
      </c>
      <c r="M14" s="1">
        <v>1000</v>
      </c>
      <c r="N14" s="1">
        <v>80</v>
      </c>
      <c r="O14" s="3">
        <v>75.8</v>
      </c>
      <c r="Q14" s="24">
        <f t="shared" ref="Q14:Q23" si="4">(L14-$U$2)/$V$2</f>
        <v>-1</v>
      </c>
      <c r="R14" s="25">
        <f t="shared" si="3"/>
        <v>1</v>
      </c>
      <c r="S14" s="25">
        <f t="shared" si="2"/>
        <v>1</v>
      </c>
      <c r="T14" s="26">
        <f t="shared" si="1"/>
        <v>75.8</v>
      </c>
    </row>
    <row r="15" spans="1:22">
      <c r="K15" s="2">
        <v>8</v>
      </c>
      <c r="L15" s="1">
        <v>130</v>
      </c>
      <c r="M15" s="1">
        <v>1000</v>
      </c>
      <c r="N15" s="1">
        <v>80</v>
      </c>
      <c r="O15" s="3">
        <v>76.3</v>
      </c>
      <c r="Q15" s="24">
        <f t="shared" si="4"/>
        <v>-1</v>
      </c>
      <c r="R15" s="25">
        <f t="shared" si="3"/>
        <v>1</v>
      </c>
      <c r="S15" s="25">
        <f t="shared" si="2"/>
        <v>1</v>
      </c>
      <c r="T15" s="26">
        <f t="shared" si="1"/>
        <v>76.3</v>
      </c>
    </row>
    <row r="16" spans="1:22">
      <c r="K16" s="2">
        <v>9</v>
      </c>
      <c r="L16" s="1">
        <v>170</v>
      </c>
      <c r="M16" s="1">
        <v>600</v>
      </c>
      <c r="N16" s="1">
        <v>40</v>
      </c>
      <c r="O16" s="3">
        <v>38.9</v>
      </c>
      <c r="Q16" s="24">
        <f t="shared" si="4"/>
        <v>1</v>
      </c>
      <c r="R16" s="25">
        <f t="shared" si="3"/>
        <v>-1</v>
      </c>
      <c r="S16" s="25">
        <f t="shared" si="2"/>
        <v>-1</v>
      </c>
      <c r="T16" s="26">
        <f t="shared" si="1"/>
        <v>38.9</v>
      </c>
    </row>
    <row r="17" spans="7:24">
      <c r="K17" s="2">
        <v>10</v>
      </c>
      <c r="L17" s="1">
        <v>170</v>
      </c>
      <c r="M17" s="1">
        <v>600</v>
      </c>
      <c r="N17" s="1">
        <v>40</v>
      </c>
      <c r="O17" s="3">
        <v>39.299999999999997</v>
      </c>
      <c r="Q17" s="24">
        <f t="shared" si="4"/>
        <v>1</v>
      </c>
      <c r="R17" s="25">
        <f t="shared" si="3"/>
        <v>-1</v>
      </c>
      <c r="S17" s="25">
        <f t="shared" si="2"/>
        <v>-1</v>
      </c>
      <c r="T17" s="26">
        <f t="shared" si="1"/>
        <v>39.299999999999997</v>
      </c>
    </row>
    <row r="18" spans="7:24" ht="15" thickBot="1">
      <c r="K18" s="2">
        <v>11</v>
      </c>
      <c r="L18" s="1">
        <v>170</v>
      </c>
      <c r="M18" s="1">
        <v>600</v>
      </c>
      <c r="N18" s="1">
        <v>80</v>
      </c>
      <c r="O18" s="3">
        <v>76.400000000000006</v>
      </c>
      <c r="Q18" s="24">
        <f t="shared" si="4"/>
        <v>1</v>
      </c>
      <c r="R18" s="25">
        <f t="shared" si="3"/>
        <v>-1</v>
      </c>
      <c r="S18" s="25">
        <f t="shared" si="2"/>
        <v>1</v>
      </c>
      <c r="T18" s="26">
        <f t="shared" si="1"/>
        <v>76.400000000000006</v>
      </c>
    </row>
    <row r="19" spans="7:24">
      <c r="K19" s="2">
        <v>12</v>
      </c>
      <c r="L19" s="1">
        <v>170</v>
      </c>
      <c r="M19" s="1">
        <v>600</v>
      </c>
      <c r="N19" s="1">
        <v>80</v>
      </c>
      <c r="O19" s="3">
        <v>76.900000000000006</v>
      </c>
      <c r="Q19" s="24">
        <f t="shared" si="4"/>
        <v>1</v>
      </c>
      <c r="R19" s="25">
        <f t="shared" si="3"/>
        <v>-1</v>
      </c>
      <c r="S19" s="25">
        <f t="shared" si="2"/>
        <v>1</v>
      </c>
      <c r="T19" s="26">
        <f t="shared" si="1"/>
        <v>76.900000000000006</v>
      </c>
      <c r="W19" s="211" t="s">
        <v>26</v>
      </c>
      <c r="X19" s="212"/>
    </row>
    <row r="20" spans="7:24" ht="15" thickBot="1">
      <c r="K20" s="2">
        <v>13</v>
      </c>
      <c r="L20" s="1">
        <v>170</v>
      </c>
      <c r="M20" s="1">
        <v>1000</v>
      </c>
      <c r="N20" s="1">
        <v>40</v>
      </c>
      <c r="O20" s="3">
        <v>41.5</v>
      </c>
      <c r="Q20" s="24">
        <f t="shared" si="4"/>
        <v>1</v>
      </c>
      <c r="R20" s="25">
        <f t="shared" si="3"/>
        <v>1</v>
      </c>
      <c r="S20" s="25">
        <f t="shared" si="2"/>
        <v>-1</v>
      </c>
      <c r="T20" s="26">
        <f t="shared" si="1"/>
        <v>41.5</v>
      </c>
      <c r="W20" s="213"/>
      <c r="X20" s="214"/>
    </row>
    <row r="21" spans="7:24">
      <c r="K21" s="2">
        <v>14</v>
      </c>
      <c r="L21" s="1">
        <v>170</v>
      </c>
      <c r="M21" s="1">
        <v>1000</v>
      </c>
      <c r="N21" s="1">
        <v>40</v>
      </c>
      <c r="O21" s="3">
        <v>41.9</v>
      </c>
      <c r="Q21" s="24">
        <f t="shared" si="4"/>
        <v>1</v>
      </c>
      <c r="R21" s="25">
        <f t="shared" si="3"/>
        <v>1</v>
      </c>
      <c r="S21" s="25">
        <f t="shared" si="2"/>
        <v>-1</v>
      </c>
      <c r="T21" s="26">
        <f t="shared" si="1"/>
        <v>41.9</v>
      </c>
      <c r="W21" s="40">
        <v>79.8</v>
      </c>
      <c r="X21" s="235">
        <f>AVERAGE(W21:W22)</f>
        <v>60.65</v>
      </c>
    </row>
    <row r="22" spans="7:24" ht="15" thickBot="1">
      <c r="K22" s="2">
        <v>15</v>
      </c>
      <c r="L22" s="1">
        <v>170</v>
      </c>
      <c r="M22" s="1">
        <v>1000</v>
      </c>
      <c r="N22" s="1">
        <v>80</v>
      </c>
      <c r="O22" s="3">
        <v>79.8</v>
      </c>
      <c r="Q22" s="24">
        <f t="shared" si="4"/>
        <v>1</v>
      </c>
      <c r="R22" s="25">
        <f t="shared" si="3"/>
        <v>1</v>
      </c>
      <c r="S22" s="25">
        <f t="shared" si="2"/>
        <v>1</v>
      </c>
      <c r="T22" s="26">
        <f t="shared" si="1"/>
        <v>79.8</v>
      </c>
      <c r="W22" s="41">
        <v>41.5</v>
      </c>
      <c r="X22" s="236"/>
    </row>
    <row r="23" spans="7:24" ht="15" thickBot="1">
      <c r="K23" s="4">
        <v>16</v>
      </c>
      <c r="L23" s="5">
        <v>170</v>
      </c>
      <c r="M23" s="5">
        <v>1000</v>
      </c>
      <c r="N23" s="5">
        <v>80</v>
      </c>
      <c r="O23" s="6">
        <v>80.2</v>
      </c>
      <c r="Q23" s="27">
        <f t="shared" si="4"/>
        <v>1</v>
      </c>
      <c r="R23" s="28">
        <f t="shared" si="3"/>
        <v>1</v>
      </c>
      <c r="S23" s="28">
        <f t="shared" si="2"/>
        <v>1</v>
      </c>
      <c r="T23" s="29">
        <f t="shared" si="1"/>
        <v>80.2</v>
      </c>
      <c r="W23" s="40">
        <v>80.2</v>
      </c>
      <c r="X23" s="209">
        <f>AVERAGE(W23,W24)</f>
        <v>61.05</v>
      </c>
    </row>
    <row r="24" spans="7:24" ht="15" thickBot="1">
      <c r="S24" s="30" t="s">
        <v>25</v>
      </c>
      <c r="T24" s="31">
        <f>AVERAGE(T8:T23)</f>
        <v>57.699999999999996</v>
      </c>
      <c r="W24" s="41">
        <v>41.9</v>
      </c>
      <c r="X24" s="210"/>
    </row>
    <row r="25" spans="7:24">
      <c r="G25" s="44" t="s">
        <v>27</v>
      </c>
      <c r="W25" s="40">
        <v>76.400000000000006</v>
      </c>
      <c r="X25" s="209">
        <f>AVERAGE(W25,W26)</f>
        <v>57.650000000000006</v>
      </c>
    </row>
    <row r="26" spans="7:24" ht="15" thickBot="1">
      <c r="J26" s="13"/>
      <c r="K26" s="13"/>
      <c r="L26" s="13"/>
      <c r="M26" s="13"/>
      <c r="W26" s="41">
        <v>38.9</v>
      </c>
      <c r="X26" s="210"/>
    </row>
    <row r="27" spans="7:24">
      <c r="W27" s="40">
        <v>76.900000000000006</v>
      </c>
      <c r="X27" s="209">
        <f>AVERAGE(W27:W28)</f>
        <v>58.1</v>
      </c>
    </row>
    <row r="28" spans="7:24" ht="15" thickBot="1">
      <c r="W28" s="41">
        <v>39.299999999999997</v>
      </c>
      <c r="X28" s="210"/>
    </row>
    <row r="29" spans="7:24">
      <c r="W29" s="40">
        <v>75.8</v>
      </c>
      <c r="X29" s="209">
        <f>AVERAGE(W29:W30)</f>
        <v>57.5</v>
      </c>
    </row>
    <row r="30" spans="7:24" ht="15" thickBot="1">
      <c r="W30" s="41">
        <v>39.200000000000003</v>
      </c>
      <c r="X30" s="210"/>
    </row>
    <row r="31" spans="7:24">
      <c r="W31" s="40">
        <v>71.5</v>
      </c>
      <c r="X31" s="209">
        <f>AVERAGE(W31:W32)</f>
        <v>54.15</v>
      </c>
    </row>
    <row r="32" spans="7:24" ht="15" thickBot="1">
      <c r="W32" s="41">
        <v>36.799999999999997</v>
      </c>
      <c r="X32" s="210"/>
    </row>
    <row r="33" spans="7:25">
      <c r="W33" s="40">
        <v>72</v>
      </c>
      <c r="X33" s="209">
        <f>AVERAGE(W33:W34)</f>
        <v>54.55</v>
      </c>
    </row>
    <row r="34" spans="7:25" ht="15" thickBot="1">
      <c r="W34" s="41">
        <v>37.1</v>
      </c>
      <c r="X34" s="210"/>
    </row>
    <row r="35" spans="7:25">
      <c r="W35" s="40">
        <v>76.3</v>
      </c>
      <c r="X35" s="209">
        <f>AVERAGE(W35:W36)</f>
        <v>57.95</v>
      </c>
    </row>
    <row r="36" spans="7:25" ht="15" thickBot="1">
      <c r="W36" s="41">
        <v>39.6</v>
      </c>
      <c r="X36" s="210"/>
    </row>
    <row r="39" spans="7:25">
      <c r="J39" s="13"/>
      <c r="K39" s="13"/>
      <c r="L39" s="13"/>
      <c r="M39" s="13"/>
    </row>
    <row r="40" spans="7:25">
      <c r="G40" s="44" t="s">
        <v>28</v>
      </c>
    </row>
    <row r="43" spans="7:25" ht="15" thickBot="1">
      <c r="T43" t="s">
        <v>42</v>
      </c>
      <c r="U43" t="s">
        <v>43</v>
      </c>
      <c r="V43" t="s">
        <v>44</v>
      </c>
      <c r="W43" t="s">
        <v>45</v>
      </c>
    </row>
    <row r="44" spans="7:25" ht="15.75" thickBot="1">
      <c r="P44" s="35" t="s">
        <v>29</v>
      </c>
      <c r="Q44" s="36" t="s">
        <v>30</v>
      </c>
      <c r="R44" s="36" t="s">
        <v>31</v>
      </c>
      <c r="S44" s="36" t="s">
        <v>32</v>
      </c>
      <c r="T44" s="36" t="s">
        <v>33</v>
      </c>
      <c r="U44" s="36" t="s">
        <v>34</v>
      </c>
      <c r="V44" s="36" t="s">
        <v>35</v>
      </c>
      <c r="W44" s="37" t="s">
        <v>36</v>
      </c>
    </row>
    <row r="45" spans="7:25" ht="15.75" thickBot="1">
      <c r="K45" s="35" t="s">
        <v>21</v>
      </c>
      <c r="L45" s="36" t="s">
        <v>22</v>
      </c>
      <c r="M45" s="37" t="s">
        <v>23</v>
      </c>
      <c r="O45" s="56" t="s">
        <v>46</v>
      </c>
      <c r="P45" s="50" t="s">
        <v>37</v>
      </c>
      <c r="Q45" s="51" t="s">
        <v>21</v>
      </c>
      <c r="R45" s="51" t="s">
        <v>22</v>
      </c>
      <c r="S45" s="51" t="s">
        <v>23</v>
      </c>
      <c r="T45" s="51" t="s">
        <v>38</v>
      </c>
      <c r="U45" s="51" t="s">
        <v>39</v>
      </c>
      <c r="V45" s="51" t="s">
        <v>40</v>
      </c>
      <c r="W45" s="52" t="s">
        <v>41</v>
      </c>
      <c r="X45" s="16" t="s">
        <v>47</v>
      </c>
      <c r="Y45" s="47" t="s">
        <v>24</v>
      </c>
    </row>
    <row r="46" spans="7:25">
      <c r="K46" s="32">
        <v>-1</v>
      </c>
      <c r="L46" s="33">
        <v>-1</v>
      </c>
      <c r="M46" s="34">
        <v>-1</v>
      </c>
      <c r="P46" s="53">
        <v>1</v>
      </c>
      <c r="Q46" s="54">
        <v>-1</v>
      </c>
      <c r="R46" s="54">
        <v>-1</v>
      </c>
      <c r="S46" s="54">
        <v>-1</v>
      </c>
      <c r="T46" s="54">
        <f>Q46*R46</f>
        <v>1</v>
      </c>
      <c r="U46" s="54">
        <f>Q46*S46</f>
        <v>1</v>
      </c>
      <c r="V46" s="54">
        <f>R46*S46</f>
        <v>1</v>
      </c>
      <c r="W46" s="55">
        <f>Q46*R46*S46</f>
        <v>-1</v>
      </c>
      <c r="Y46" s="48">
        <v>36.799999999999997</v>
      </c>
    </row>
    <row r="47" spans="7:25">
      <c r="K47" s="24">
        <v>-1</v>
      </c>
      <c r="L47" s="25">
        <v>-1</v>
      </c>
      <c r="M47" s="26">
        <v>-1</v>
      </c>
      <c r="P47" s="24">
        <v>1</v>
      </c>
      <c r="Q47" s="25">
        <v>-1</v>
      </c>
      <c r="R47" s="25">
        <v>-1</v>
      </c>
      <c r="S47" s="25">
        <v>-1</v>
      </c>
      <c r="T47" s="25">
        <f>Q47*R47</f>
        <v>1</v>
      </c>
      <c r="U47" s="25">
        <f>Q47*S47</f>
        <v>1</v>
      </c>
      <c r="V47" s="25">
        <f>R47*S47</f>
        <v>1</v>
      </c>
      <c r="W47" s="26">
        <f>Q47*R47*S47</f>
        <v>-1</v>
      </c>
      <c r="Y47" s="49">
        <v>37.1</v>
      </c>
    </row>
    <row r="48" spans="7:25">
      <c r="K48" s="24">
        <v>-1</v>
      </c>
      <c r="L48" s="25">
        <v>-1</v>
      </c>
      <c r="M48" s="26">
        <v>1</v>
      </c>
      <c r="P48" s="24">
        <v>1</v>
      </c>
      <c r="Q48" s="25">
        <v>-1</v>
      </c>
      <c r="R48" s="25">
        <v>-1</v>
      </c>
      <c r="S48" s="25">
        <v>1</v>
      </c>
      <c r="T48" s="25">
        <f>Q48*R48</f>
        <v>1</v>
      </c>
      <c r="U48" s="25">
        <f t="shared" ref="U48:U61" si="5">Q48*S48</f>
        <v>-1</v>
      </c>
      <c r="V48" s="25">
        <f>R48*S48</f>
        <v>-1</v>
      </c>
      <c r="W48" s="26">
        <f>Q48*R48*S48</f>
        <v>1</v>
      </c>
      <c r="Y48" s="49">
        <v>71.5</v>
      </c>
    </row>
    <row r="49" spans="11:27">
      <c r="K49" s="24">
        <v>-1</v>
      </c>
      <c r="L49" s="25">
        <v>-1</v>
      </c>
      <c r="M49" s="26">
        <v>1</v>
      </c>
      <c r="P49" s="24">
        <v>1</v>
      </c>
      <c r="Q49" s="25">
        <v>-1</v>
      </c>
      <c r="R49" s="25">
        <v>-1</v>
      </c>
      <c r="S49" s="25">
        <v>1</v>
      </c>
      <c r="T49" s="25">
        <f t="shared" ref="T49:T61" si="6">Q49*R49</f>
        <v>1</v>
      </c>
      <c r="U49" s="25">
        <f>Q49*S49</f>
        <v>-1</v>
      </c>
      <c r="V49" s="25">
        <f t="shared" ref="V49:V61" si="7">R49*S49</f>
        <v>-1</v>
      </c>
      <c r="W49" s="26">
        <f>Q49*R49*S49</f>
        <v>1</v>
      </c>
      <c r="Y49" s="49">
        <v>72</v>
      </c>
    </row>
    <row r="50" spans="11:27">
      <c r="K50" s="24">
        <v>-1</v>
      </c>
      <c r="L50" s="25">
        <v>1</v>
      </c>
      <c r="M50" s="26">
        <v>-1</v>
      </c>
      <c r="P50" s="24">
        <v>1</v>
      </c>
      <c r="Q50" s="25">
        <v>-1</v>
      </c>
      <c r="R50" s="25">
        <v>1</v>
      </c>
      <c r="S50" s="25">
        <v>-1</v>
      </c>
      <c r="T50" s="25">
        <f>Q50*R50</f>
        <v>-1</v>
      </c>
      <c r="U50" s="25">
        <f>Q50*S50</f>
        <v>1</v>
      </c>
      <c r="V50" s="25">
        <f t="shared" si="7"/>
        <v>-1</v>
      </c>
      <c r="W50" s="26">
        <f t="shared" ref="W50:W61" si="8">Q50*R50*S50</f>
        <v>1</v>
      </c>
      <c r="Y50" s="49">
        <v>39.200000000000003</v>
      </c>
    </row>
    <row r="51" spans="11:27">
      <c r="K51" s="24">
        <v>-1</v>
      </c>
      <c r="L51" s="25">
        <v>1</v>
      </c>
      <c r="M51" s="26">
        <v>-1</v>
      </c>
      <c r="P51" s="24">
        <v>1</v>
      </c>
      <c r="Q51" s="25">
        <v>-1</v>
      </c>
      <c r="R51" s="25">
        <v>1</v>
      </c>
      <c r="S51" s="25">
        <v>-1</v>
      </c>
      <c r="T51" s="25">
        <f>Q51*R51</f>
        <v>-1</v>
      </c>
      <c r="U51" s="25">
        <f t="shared" si="5"/>
        <v>1</v>
      </c>
      <c r="V51" s="25">
        <f t="shared" si="7"/>
        <v>-1</v>
      </c>
      <c r="W51" s="26">
        <f t="shared" si="8"/>
        <v>1</v>
      </c>
      <c r="Y51" s="49">
        <v>39.6</v>
      </c>
    </row>
    <row r="52" spans="11:27">
      <c r="K52" s="24">
        <v>-1</v>
      </c>
      <c r="L52" s="25">
        <v>1</v>
      </c>
      <c r="M52" s="26">
        <v>1</v>
      </c>
      <c r="P52" s="24">
        <v>1</v>
      </c>
      <c r="Q52" s="25">
        <v>-1</v>
      </c>
      <c r="R52" s="25">
        <v>1</v>
      </c>
      <c r="S52" s="25">
        <v>1</v>
      </c>
      <c r="T52" s="25">
        <f t="shared" si="6"/>
        <v>-1</v>
      </c>
      <c r="U52" s="25">
        <f t="shared" si="5"/>
        <v>-1</v>
      </c>
      <c r="V52" s="25">
        <f t="shared" si="7"/>
        <v>1</v>
      </c>
      <c r="W52" s="26">
        <f t="shared" si="8"/>
        <v>-1</v>
      </c>
      <c r="Y52" s="49">
        <v>75.8</v>
      </c>
    </row>
    <row r="53" spans="11:27">
      <c r="K53" s="24">
        <v>-1</v>
      </c>
      <c r="L53" s="25">
        <v>1</v>
      </c>
      <c r="M53" s="26">
        <v>1</v>
      </c>
      <c r="P53" s="24">
        <v>1</v>
      </c>
      <c r="Q53" s="25">
        <v>-1</v>
      </c>
      <c r="R53" s="25">
        <v>1</v>
      </c>
      <c r="S53" s="25">
        <v>1</v>
      </c>
      <c r="T53" s="25">
        <f t="shared" si="6"/>
        <v>-1</v>
      </c>
      <c r="U53" s="25">
        <f t="shared" si="5"/>
        <v>-1</v>
      </c>
      <c r="V53" s="25">
        <f t="shared" si="7"/>
        <v>1</v>
      </c>
      <c r="W53" s="26">
        <f t="shared" si="8"/>
        <v>-1</v>
      </c>
      <c r="Y53" s="49">
        <v>76.3</v>
      </c>
    </row>
    <row r="54" spans="11:27">
      <c r="K54" s="24">
        <v>1</v>
      </c>
      <c r="L54" s="25">
        <v>-1</v>
      </c>
      <c r="M54" s="26">
        <v>-1</v>
      </c>
      <c r="P54" s="24">
        <v>1</v>
      </c>
      <c r="Q54" s="25">
        <v>1</v>
      </c>
      <c r="R54" s="25">
        <v>-1</v>
      </c>
      <c r="S54" s="25">
        <v>-1</v>
      </c>
      <c r="T54" s="25">
        <f t="shared" si="6"/>
        <v>-1</v>
      </c>
      <c r="U54" s="25">
        <f t="shared" si="5"/>
        <v>-1</v>
      </c>
      <c r="V54" s="25">
        <f t="shared" si="7"/>
        <v>1</v>
      </c>
      <c r="W54" s="26">
        <f t="shared" si="8"/>
        <v>1</v>
      </c>
      <c r="Y54" s="49">
        <v>38.9</v>
      </c>
    </row>
    <row r="55" spans="11:27">
      <c r="K55" s="24">
        <v>1</v>
      </c>
      <c r="L55" s="25">
        <v>-1</v>
      </c>
      <c r="M55" s="26">
        <v>-1</v>
      </c>
      <c r="P55" s="24">
        <v>1</v>
      </c>
      <c r="Q55" s="25">
        <v>1</v>
      </c>
      <c r="R55" s="25">
        <v>-1</v>
      </c>
      <c r="S55" s="25">
        <v>-1</v>
      </c>
      <c r="T55" s="25">
        <f t="shared" si="6"/>
        <v>-1</v>
      </c>
      <c r="U55" s="25">
        <f t="shared" si="5"/>
        <v>-1</v>
      </c>
      <c r="V55" s="25">
        <f t="shared" si="7"/>
        <v>1</v>
      </c>
      <c r="W55" s="26">
        <f t="shared" si="8"/>
        <v>1</v>
      </c>
      <c r="Y55" s="49">
        <v>39.299999999999997</v>
      </c>
    </row>
    <row r="56" spans="11:27">
      <c r="K56" s="24">
        <v>1</v>
      </c>
      <c r="L56" s="25">
        <v>-1</v>
      </c>
      <c r="M56" s="26">
        <v>1</v>
      </c>
      <c r="P56" s="24">
        <v>1</v>
      </c>
      <c r="Q56" s="25">
        <v>1</v>
      </c>
      <c r="R56" s="25">
        <v>-1</v>
      </c>
      <c r="S56" s="25">
        <v>1</v>
      </c>
      <c r="T56" s="25">
        <f t="shared" si="6"/>
        <v>-1</v>
      </c>
      <c r="U56" s="25">
        <f t="shared" si="5"/>
        <v>1</v>
      </c>
      <c r="V56" s="25">
        <f t="shared" si="7"/>
        <v>-1</v>
      </c>
      <c r="W56" s="26">
        <f t="shared" si="8"/>
        <v>-1</v>
      </c>
      <c r="Y56" s="49">
        <v>76.400000000000006</v>
      </c>
    </row>
    <row r="57" spans="11:27">
      <c r="K57" s="24">
        <v>1</v>
      </c>
      <c r="L57" s="25">
        <v>-1</v>
      </c>
      <c r="M57" s="26">
        <v>1</v>
      </c>
      <c r="P57" s="24">
        <v>1</v>
      </c>
      <c r="Q57" s="25">
        <v>1</v>
      </c>
      <c r="R57" s="25">
        <v>-1</v>
      </c>
      <c r="S57" s="25">
        <v>1</v>
      </c>
      <c r="T57" s="25">
        <f t="shared" si="6"/>
        <v>-1</v>
      </c>
      <c r="U57" s="25">
        <f t="shared" si="5"/>
        <v>1</v>
      </c>
      <c r="V57" s="25">
        <f t="shared" si="7"/>
        <v>-1</v>
      </c>
      <c r="W57" s="26">
        <f t="shared" si="8"/>
        <v>-1</v>
      </c>
      <c r="Y57" s="49">
        <v>76.900000000000006</v>
      </c>
    </row>
    <row r="58" spans="11:27">
      <c r="K58" s="24">
        <v>1</v>
      </c>
      <c r="L58" s="25">
        <v>1</v>
      </c>
      <c r="M58" s="26">
        <v>-1</v>
      </c>
      <c r="P58" s="24">
        <v>1</v>
      </c>
      <c r="Q58" s="25">
        <v>1</v>
      </c>
      <c r="R58" s="25">
        <v>1</v>
      </c>
      <c r="S58" s="25">
        <v>-1</v>
      </c>
      <c r="T58" s="25">
        <f t="shared" si="6"/>
        <v>1</v>
      </c>
      <c r="U58" s="25">
        <f t="shared" si="5"/>
        <v>-1</v>
      </c>
      <c r="V58" s="25">
        <f t="shared" si="7"/>
        <v>-1</v>
      </c>
      <c r="W58" s="26">
        <f t="shared" si="8"/>
        <v>-1</v>
      </c>
      <c r="Y58" s="49">
        <v>41.5</v>
      </c>
    </row>
    <row r="59" spans="11:27">
      <c r="K59" s="24">
        <v>1</v>
      </c>
      <c r="L59" s="25">
        <v>1</v>
      </c>
      <c r="M59" s="26">
        <v>-1</v>
      </c>
      <c r="P59" s="24">
        <v>1</v>
      </c>
      <c r="Q59" s="25">
        <v>1</v>
      </c>
      <c r="R59" s="25">
        <v>1</v>
      </c>
      <c r="S59" s="25">
        <v>-1</v>
      </c>
      <c r="T59" s="25">
        <f t="shared" si="6"/>
        <v>1</v>
      </c>
      <c r="U59" s="25">
        <f t="shared" si="5"/>
        <v>-1</v>
      </c>
      <c r="V59" s="25">
        <f t="shared" si="7"/>
        <v>-1</v>
      </c>
      <c r="W59" s="26">
        <f t="shared" si="8"/>
        <v>-1</v>
      </c>
      <c r="Y59" s="49">
        <v>41.9</v>
      </c>
    </row>
    <row r="60" spans="11:27">
      <c r="K60" s="24">
        <v>1</v>
      </c>
      <c r="L60" s="25">
        <v>1</v>
      </c>
      <c r="M60" s="26">
        <v>1</v>
      </c>
      <c r="P60" s="24">
        <v>1</v>
      </c>
      <c r="Q60" s="25">
        <v>1</v>
      </c>
      <c r="R60" s="25">
        <v>1</v>
      </c>
      <c r="S60" s="25">
        <v>1</v>
      </c>
      <c r="T60" s="25">
        <f t="shared" si="6"/>
        <v>1</v>
      </c>
      <c r="U60" s="25">
        <f t="shared" si="5"/>
        <v>1</v>
      </c>
      <c r="V60" s="25">
        <f t="shared" si="7"/>
        <v>1</v>
      </c>
      <c r="W60" s="26">
        <f t="shared" si="8"/>
        <v>1</v>
      </c>
      <c r="Y60" s="49">
        <v>79.8</v>
      </c>
    </row>
    <row r="61" spans="11:27" ht="15" thickBot="1">
      <c r="K61" s="27">
        <v>1</v>
      </c>
      <c r="L61" s="28">
        <v>1</v>
      </c>
      <c r="M61" s="29">
        <v>1</v>
      </c>
      <c r="P61" s="27">
        <v>1</v>
      </c>
      <c r="Q61" s="28">
        <v>1</v>
      </c>
      <c r="R61" s="28">
        <v>1</v>
      </c>
      <c r="S61" s="28">
        <v>1</v>
      </c>
      <c r="T61" s="28">
        <f t="shared" si="6"/>
        <v>1</v>
      </c>
      <c r="U61" s="28">
        <f t="shared" si="5"/>
        <v>1</v>
      </c>
      <c r="V61" s="28">
        <f t="shared" si="7"/>
        <v>1</v>
      </c>
      <c r="W61" s="29">
        <f t="shared" si="8"/>
        <v>1</v>
      </c>
      <c r="Y61" s="43">
        <v>80.2</v>
      </c>
      <c r="Z61" t="s">
        <v>50</v>
      </c>
    </row>
    <row r="63" spans="11:27" ht="15" thickBot="1"/>
    <row r="64" spans="11:27">
      <c r="K64" t="s">
        <v>48</v>
      </c>
      <c r="L64" s="60" cm="1">
        <f t="array" ref="L64:AA71">TRANSPOSE(P46:W61)</f>
        <v>1</v>
      </c>
      <c r="M64" s="61">
        <v>1</v>
      </c>
      <c r="N64" s="61">
        <v>1</v>
      </c>
      <c r="O64" s="61">
        <v>1</v>
      </c>
      <c r="P64" s="61">
        <v>1</v>
      </c>
      <c r="Q64" s="61">
        <v>1</v>
      </c>
      <c r="R64" s="61">
        <v>1</v>
      </c>
      <c r="S64" s="61">
        <v>1</v>
      </c>
      <c r="T64" s="61">
        <v>1</v>
      </c>
      <c r="U64" s="61">
        <v>1</v>
      </c>
      <c r="V64" s="61">
        <v>1</v>
      </c>
      <c r="W64" s="61">
        <v>1</v>
      </c>
      <c r="X64" s="61">
        <v>1</v>
      </c>
      <c r="Y64" s="61">
        <v>1</v>
      </c>
      <c r="Z64" s="61">
        <v>1</v>
      </c>
      <c r="AA64" s="62">
        <v>1</v>
      </c>
    </row>
    <row r="65" spans="11:28">
      <c r="L65" s="63">
        <v>-1</v>
      </c>
      <c r="M65" s="45">
        <v>-1</v>
      </c>
      <c r="N65" s="45">
        <v>-1</v>
      </c>
      <c r="O65" s="45">
        <v>-1</v>
      </c>
      <c r="P65" s="45">
        <v>-1</v>
      </c>
      <c r="Q65" s="45">
        <v>-1</v>
      </c>
      <c r="R65" s="45">
        <v>-1</v>
      </c>
      <c r="S65" s="45">
        <v>-1</v>
      </c>
      <c r="T65" s="45">
        <v>1</v>
      </c>
      <c r="U65" s="45">
        <v>1</v>
      </c>
      <c r="V65" s="45">
        <v>1</v>
      </c>
      <c r="W65" s="45">
        <v>1</v>
      </c>
      <c r="X65" s="45">
        <v>1</v>
      </c>
      <c r="Y65" s="45">
        <v>1</v>
      </c>
      <c r="Z65" s="45">
        <v>1</v>
      </c>
      <c r="AA65" s="64">
        <v>1</v>
      </c>
    </row>
    <row r="66" spans="11:28">
      <c r="L66" s="63">
        <v>-1</v>
      </c>
      <c r="M66" s="45">
        <v>-1</v>
      </c>
      <c r="N66" s="45">
        <v>-1</v>
      </c>
      <c r="O66" s="45">
        <v>-1</v>
      </c>
      <c r="P66" s="45">
        <v>1</v>
      </c>
      <c r="Q66" s="45">
        <v>1</v>
      </c>
      <c r="R66" s="45">
        <v>1</v>
      </c>
      <c r="S66" s="45">
        <v>1</v>
      </c>
      <c r="T66" s="45">
        <v>-1</v>
      </c>
      <c r="U66" s="45">
        <v>-1</v>
      </c>
      <c r="V66" s="45">
        <v>-1</v>
      </c>
      <c r="W66" s="45">
        <v>-1</v>
      </c>
      <c r="X66" s="45">
        <v>1</v>
      </c>
      <c r="Y66" s="45">
        <v>1</v>
      </c>
      <c r="Z66" s="45">
        <v>1</v>
      </c>
      <c r="AA66" s="64">
        <v>1</v>
      </c>
    </row>
    <row r="67" spans="11:28">
      <c r="L67" s="63">
        <v>-1</v>
      </c>
      <c r="M67" s="45">
        <v>-1</v>
      </c>
      <c r="N67" s="45">
        <v>1</v>
      </c>
      <c r="O67" s="45">
        <v>1</v>
      </c>
      <c r="P67" s="45">
        <v>-1</v>
      </c>
      <c r="Q67" s="45">
        <v>-1</v>
      </c>
      <c r="R67" s="45">
        <v>1</v>
      </c>
      <c r="S67" s="45">
        <v>1</v>
      </c>
      <c r="T67" s="45">
        <v>-1</v>
      </c>
      <c r="U67" s="45">
        <v>-1</v>
      </c>
      <c r="V67" s="45">
        <v>1</v>
      </c>
      <c r="W67" s="45">
        <v>1</v>
      </c>
      <c r="X67" s="45">
        <v>-1</v>
      </c>
      <c r="Y67" s="45">
        <v>-1</v>
      </c>
      <c r="Z67" s="45">
        <v>1</v>
      </c>
      <c r="AA67" s="64">
        <v>1</v>
      </c>
    </row>
    <row r="68" spans="11:28">
      <c r="L68" s="63">
        <v>1</v>
      </c>
      <c r="M68" s="45">
        <v>1</v>
      </c>
      <c r="N68" s="45">
        <v>1</v>
      </c>
      <c r="O68" s="45">
        <v>1</v>
      </c>
      <c r="P68" s="45">
        <v>-1</v>
      </c>
      <c r="Q68" s="45">
        <v>-1</v>
      </c>
      <c r="R68" s="45">
        <v>-1</v>
      </c>
      <c r="S68" s="45">
        <v>-1</v>
      </c>
      <c r="T68" s="45">
        <v>-1</v>
      </c>
      <c r="U68" s="45">
        <v>-1</v>
      </c>
      <c r="V68" s="45">
        <v>-1</v>
      </c>
      <c r="W68" s="45">
        <v>-1</v>
      </c>
      <c r="X68" s="45">
        <v>1</v>
      </c>
      <c r="Y68" s="45">
        <v>1</v>
      </c>
      <c r="Z68" s="45">
        <v>1</v>
      </c>
      <c r="AA68" s="64">
        <v>1</v>
      </c>
    </row>
    <row r="69" spans="11:28">
      <c r="L69" s="63">
        <v>1</v>
      </c>
      <c r="M69" s="45">
        <v>1</v>
      </c>
      <c r="N69" s="45">
        <v>-1</v>
      </c>
      <c r="O69" s="45">
        <v>-1</v>
      </c>
      <c r="P69" s="45">
        <v>1</v>
      </c>
      <c r="Q69" s="45">
        <v>1</v>
      </c>
      <c r="R69" s="45">
        <v>-1</v>
      </c>
      <c r="S69" s="45">
        <v>-1</v>
      </c>
      <c r="T69" s="45">
        <v>-1</v>
      </c>
      <c r="U69" s="45">
        <v>-1</v>
      </c>
      <c r="V69" s="45">
        <v>1</v>
      </c>
      <c r="W69" s="45">
        <v>1</v>
      </c>
      <c r="X69" s="45">
        <v>-1</v>
      </c>
      <c r="Y69" s="45">
        <v>-1</v>
      </c>
      <c r="Z69" s="45">
        <v>1</v>
      </c>
      <c r="AA69" s="64">
        <v>1</v>
      </c>
    </row>
    <row r="70" spans="11:28">
      <c r="L70" s="63">
        <v>1</v>
      </c>
      <c r="M70" s="45">
        <v>1</v>
      </c>
      <c r="N70" s="45">
        <v>-1</v>
      </c>
      <c r="O70" s="45">
        <v>-1</v>
      </c>
      <c r="P70" s="45">
        <v>-1</v>
      </c>
      <c r="Q70" s="45">
        <v>-1</v>
      </c>
      <c r="R70" s="45">
        <v>1</v>
      </c>
      <c r="S70" s="45">
        <v>1</v>
      </c>
      <c r="T70" s="45">
        <v>1</v>
      </c>
      <c r="U70" s="45">
        <v>1</v>
      </c>
      <c r="V70" s="45">
        <v>-1</v>
      </c>
      <c r="W70" s="45">
        <v>-1</v>
      </c>
      <c r="X70" s="45">
        <v>-1</v>
      </c>
      <c r="Y70" s="45">
        <v>-1</v>
      </c>
      <c r="Z70" s="45">
        <v>1</v>
      </c>
      <c r="AA70" s="64">
        <v>1</v>
      </c>
    </row>
    <row r="71" spans="11:28" ht="15" thickBot="1">
      <c r="L71" s="65">
        <v>-1</v>
      </c>
      <c r="M71" s="46">
        <v>-1</v>
      </c>
      <c r="N71" s="46">
        <v>1</v>
      </c>
      <c r="O71" s="46">
        <v>1</v>
      </c>
      <c r="P71" s="46">
        <v>1</v>
      </c>
      <c r="Q71" s="46">
        <v>1</v>
      </c>
      <c r="R71" s="46">
        <v>-1</v>
      </c>
      <c r="S71" s="46">
        <v>-1</v>
      </c>
      <c r="T71" s="46">
        <v>1</v>
      </c>
      <c r="U71" s="46">
        <v>1</v>
      </c>
      <c r="V71" s="46">
        <v>-1</v>
      </c>
      <c r="W71" s="46">
        <v>-1</v>
      </c>
      <c r="X71" s="46">
        <v>-1</v>
      </c>
      <c r="Y71" s="46">
        <v>-1</v>
      </c>
      <c r="Z71" s="46">
        <v>1</v>
      </c>
      <c r="AA71" s="66">
        <v>1</v>
      </c>
      <c r="AB71" t="s">
        <v>49</v>
      </c>
    </row>
    <row r="73" spans="11:28" ht="15" thickBot="1"/>
    <row r="74" spans="11:28" ht="18.75">
      <c r="K74" t="s">
        <v>51</v>
      </c>
      <c r="L74" s="68" cm="1">
        <f t="array" ref="L74:L81">MMULT(L64:AA71,Y46:Y61)</f>
        <v>923.19999999999993</v>
      </c>
      <c r="N74" s="22" t="s">
        <v>52</v>
      </c>
      <c r="O74" s="68">
        <f t="shared" ref="O74:O79" si="9">L74/16</f>
        <v>57.699999999999996</v>
      </c>
      <c r="Q74" s="67" t="s">
        <v>53</v>
      </c>
      <c r="R74" s="68">
        <f>O74</f>
        <v>57.699999999999996</v>
      </c>
    </row>
    <row r="75" spans="11:28" ht="18.75">
      <c r="L75" s="69">
        <v>26.599999999999966</v>
      </c>
      <c r="O75" s="69">
        <f t="shared" si="9"/>
        <v>1.6624999999999979</v>
      </c>
      <c r="Q75" s="67" t="s">
        <v>54</v>
      </c>
      <c r="R75" s="69">
        <f>O75</f>
        <v>1.6624999999999979</v>
      </c>
    </row>
    <row r="76" spans="11:28" ht="18.75">
      <c r="L76" s="69">
        <v>25.400000000000006</v>
      </c>
      <c r="O76" s="69">
        <f t="shared" si="9"/>
        <v>1.5875000000000004</v>
      </c>
      <c r="Q76" s="67" t="s">
        <v>55</v>
      </c>
      <c r="R76" s="69">
        <f>O76</f>
        <v>1.5875000000000004</v>
      </c>
    </row>
    <row r="77" spans="11:28" ht="18.75">
      <c r="L77" s="69">
        <v>294.59999999999997</v>
      </c>
      <c r="O77" s="69">
        <f t="shared" si="9"/>
        <v>18.412499999999998</v>
      </c>
      <c r="Q77" s="67" t="s">
        <v>56</v>
      </c>
      <c r="R77" s="69">
        <f t="shared" ref="R77:R81" si="10">O77</f>
        <v>18.412499999999998</v>
      </c>
    </row>
    <row r="78" spans="11:28" ht="18.75">
      <c r="L78" s="69">
        <v>-1.5999999999999943</v>
      </c>
      <c r="O78" s="69">
        <f t="shared" si="9"/>
        <v>-9.9999999999999645E-2</v>
      </c>
      <c r="Q78" s="67" t="s">
        <v>57</v>
      </c>
      <c r="R78" s="69">
        <f>O78</f>
        <v>-9.9999999999999645E-2</v>
      </c>
    </row>
    <row r="79" spans="11:28" ht="18.75">
      <c r="L79" s="69">
        <v>8.8000000000000398</v>
      </c>
      <c r="O79" s="69">
        <f t="shared" si="9"/>
        <v>0.55000000000000249</v>
      </c>
      <c r="Q79" s="67" t="s">
        <v>58</v>
      </c>
      <c r="R79" s="69">
        <f t="shared" si="10"/>
        <v>0.55000000000000249</v>
      </c>
    </row>
    <row r="80" spans="11:28" ht="18.75">
      <c r="L80" s="69">
        <v>5.1999999999999602</v>
      </c>
      <c r="O80" s="69">
        <f t="shared" ref="O80:O81" si="11">L80/16</f>
        <v>0.32499999999999751</v>
      </c>
      <c r="Q80" s="67" t="s">
        <v>59</v>
      </c>
      <c r="R80" s="69">
        <f t="shared" si="10"/>
        <v>0.32499999999999751</v>
      </c>
    </row>
    <row r="81" spans="7:19" ht="19.5" thickBot="1">
      <c r="L81" s="70">
        <v>-2.2000000000000171</v>
      </c>
      <c r="O81" s="70">
        <f t="shared" si="11"/>
        <v>-0.13750000000000107</v>
      </c>
      <c r="Q81" s="67" t="s">
        <v>60</v>
      </c>
      <c r="R81" s="70">
        <f t="shared" si="10"/>
        <v>-0.13750000000000107</v>
      </c>
    </row>
    <row r="84" spans="7:19">
      <c r="G84" s="44" t="s">
        <v>61</v>
      </c>
    </row>
    <row r="86" spans="7:19" ht="15" thickBot="1"/>
    <row r="87" spans="7:19" ht="15.75" thickBot="1">
      <c r="L87" s="35" t="s">
        <v>21</v>
      </c>
      <c r="M87" s="36" t="s">
        <v>22</v>
      </c>
      <c r="N87" s="36" t="s">
        <v>23</v>
      </c>
      <c r="O87" s="71" t="s">
        <v>42</v>
      </c>
      <c r="P87" s="71" t="s">
        <v>43</v>
      </c>
      <c r="Q87" s="71" t="s">
        <v>44</v>
      </c>
      <c r="R87" s="71" t="s">
        <v>45</v>
      </c>
      <c r="S87" s="37" t="s">
        <v>24</v>
      </c>
    </row>
    <row r="88" spans="7:19">
      <c r="L88" s="32">
        <v>-1</v>
      </c>
      <c r="M88" s="33">
        <v>-1</v>
      </c>
      <c r="N88" s="33">
        <v>-1</v>
      </c>
      <c r="O88" s="33">
        <f>L88*M88</f>
        <v>1</v>
      </c>
      <c r="P88" s="33">
        <f>L88*N88</f>
        <v>1</v>
      </c>
      <c r="Q88" s="33">
        <f>M88*N88</f>
        <v>1</v>
      </c>
      <c r="R88" s="33">
        <f>L88*M88*N88</f>
        <v>-1</v>
      </c>
      <c r="S88" s="34">
        <v>36.799999999999997</v>
      </c>
    </row>
    <row r="89" spans="7:19">
      <c r="L89" s="24">
        <v>-1</v>
      </c>
      <c r="M89" s="25">
        <v>-1</v>
      </c>
      <c r="N89" s="25">
        <v>-1</v>
      </c>
      <c r="O89" s="25">
        <f>L89*M89</f>
        <v>1</v>
      </c>
      <c r="P89" s="25">
        <f>L89*N89</f>
        <v>1</v>
      </c>
      <c r="Q89" s="25">
        <f>M89*N89</f>
        <v>1</v>
      </c>
      <c r="R89" s="25">
        <f>L89*M89*N89</f>
        <v>-1</v>
      </c>
      <c r="S89" s="26">
        <v>37.1</v>
      </c>
    </row>
    <row r="90" spans="7:19">
      <c r="L90" s="24">
        <v>-1</v>
      </c>
      <c r="M90" s="25">
        <v>-1</v>
      </c>
      <c r="N90" s="25">
        <v>1</v>
      </c>
      <c r="O90" s="25">
        <f>L90*M90</f>
        <v>1</v>
      </c>
      <c r="P90" s="25">
        <f t="shared" ref="P90" si="12">L90*N90</f>
        <v>-1</v>
      </c>
      <c r="Q90" s="25">
        <f>M90*N90</f>
        <v>-1</v>
      </c>
      <c r="R90" s="25">
        <f>L90*M90*N90</f>
        <v>1</v>
      </c>
      <c r="S90" s="26">
        <v>71.5</v>
      </c>
    </row>
    <row r="91" spans="7:19">
      <c r="L91" s="24">
        <v>-1</v>
      </c>
      <c r="M91" s="25">
        <v>-1</v>
      </c>
      <c r="N91" s="25">
        <v>1</v>
      </c>
      <c r="O91" s="25">
        <f t="shared" ref="O91" si="13">L91*M91</f>
        <v>1</v>
      </c>
      <c r="P91" s="25">
        <f>L91*N91</f>
        <v>-1</v>
      </c>
      <c r="Q91" s="25">
        <f t="shared" ref="Q91:Q103" si="14">M91*N91</f>
        <v>-1</v>
      </c>
      <c r="R91" s="25">
        <f>L91*M91*N91</f>
        <v>1</v>
      </c>
      <c r="S91" s="26">
        <v>72</v>
      </c>
    </row>
    <row r="92" spans="7:19">
      <c r="L92" s="24">
        <v>-1</v>
      </c>
      <c r="M92" s="25">
        <v>1</v>
      </c>
      <c r="N92" s="25">
        <v>-1</v>
      </c>
      <c r="O92" s="25">
        <f>L92*M92</f>
        <v>-1</v>
      </c>
      <c r="P92" s="25">
        <f>L92*N92</f>
        <v>1</v>
      </c>
      <c r="Q92" s="25">
        <f t="shared" si="14"/>
        <v>-1</v>
      </c>
      <c r="R92" s="25">
        <f t="shared" ref="R92:R103" si="15">L92*M92*N92</f>
        <v>1</v>
      </c>
      <c r="S92" s="26">
        <v>39.200000000000003</v>
      </c>
    </row>
    <row r="93" spans="7:19">
      <c r="L93" s="24">
        <v>-1</v>
      </c>
      <c r="M93" s="25">
        <v>1</v>
      </c>
      <c r="N93" s="25">
        <v>-1</v>
      </c>
      <c r="O93" s="25">
        <f>L93*M93</f>
        <v>-1</v>
      </c>
      <c r="P93" s="25">
        <f t="shared" ref="P93:P103" si="16">L93*N93</f>
        <v>1</v>
      </c>
      <c r="Q93" s="25">
        <f t="shared" si="14"/>
        <v>-1</v>
      </c>
      <c r="R93" s="25">
        <f t="shared" si="15"/>
        <v>1</v>
      </c>
      <c r="S93" s="26">
        <v>39.6</v>
      </c>
    </row>
    <row r="94" spans="7:19">
      <c r="L94" s="24">
        <v>-1</v>
      </c>
      <c r="M94" s="25">
        <v>1</v>
      </c>
      <c r="N94" s="25">
        <v>1</v>
      </c>
      <c r="O94" s="25">
        <f t="shared" ref="O94:O103" si="17">L94*M94</f>
        <v>-1</v>
      </c>
      <c r="P94" s="25">
        <f t="shared" si="16"/>
        <v>-1</v>
      </c>
      <c r="Q94" s="25">
        <f t="shared" si="14"/>
        <v>1</v>
      </c>
      <c r="R94" s="25">
        <f t="shared" si="15"/>
        <v>-1</v>
      </c>
      <c r="S94" s="26">
        <v>75.8</v>
      </c>
    </row>
    <row r="95" spans="7:19">
      <c r="L95" s="24">
        <v>-1</v>
      </c>
      <c r="M95" s="25">
        <v>1</v>
      </c>
      <c r="N95" s="25">
        <v>1</v>
      </c>
      <c r="O95" s="25">
        <f t="shared" si="17"/>
        <v>-1</v>
      </c>
      <c r="P95" s="25">
        <f t="shared" si="16"/>
        <v>-1</v>
      </c>
      <c r="Q95" s="25">
        <f t="shared" si="14"/>
        <v>1</v>
      </c>
      <c r="R95" s="25">
        <f t="shared" si="15"/>
        <v>-1</v>
      </c>
      <c r="S95" s="26">
        <v>76.3</v>
      </c>
    </row>
    <row r="96" spans="7:19">
      <c r="L96" s="24">
        <v>1</v>
      </c>
      <c r="M96" s="25">
        <v>-1</v>
      </c>
      <c r="N96" s="25">
        <v>-1</v>
      </c>
      <c r="O96" s="25">
        <f t="shared" si="17"/>
        <v>-1</v>
      </c>
      <c r="P96" s="25">
        <f t="shared" si="16"/>
        <v>-1</v>
      </c>
      <c r="Q96" s="25">
        <f t="shared" si="14"/>
        <v>1</v>
      </c>
      <c r="R96" s="25">
        <f t="shared" si="15"/>
        <v>1</v>
      </c>
      <c r="S96" s="26">
        <v>38.9</v>
      </c>
    </row>
    <row r="97" spans="12:19">
      <c r="L97" s="24">
        <v>1</v>
      </c>
      <c r="M97" s="25">
        <v>-1</v>
      </c>
      <c r="N97" s="25">
        <v>-1</v>
      </c>
      <c r="O97" s="25">
        <f t="shared" si="17"/>
        <v>-1</v>
      </c>
      <c r="P97" s="25">
        <f t="shared" si="16"/>
        <v>-1</v>
      </c>
      <c r="Q97" s="25">
        <f t="shared" si="14"/>
        <v>1</v>
      </c>
      <c r="R97" s="25">
        <f t="shared" si="15"/>
        <v>1</v>
      </c>
      <c r="S97" s="26">
        <v>39.299999999999997</v>
      </c>
    </row>
    <row r="98" spans="12:19">
      <c r="L98" s="24">
        <v>1</v>
      </c>
      <c r="M98" s="25">
        <v>-1</v>
      </c>
      <c r="N98" s="25">
        <v>1</v>
      </c>
      <c r="O98" s="25">
        <f t="shared" si="17"/>
        <v>-1</v>
      </c>
      <c r="P98" s="25">
        <f t="shared" si="16"/>
        <v>1</v>
      </c>
      <c r="Q98" s="25">
        <f t="shared" si="14"/>
        <v>-1</v>
      </c>
      <c r="R98" s="25">
        <f t="shared" si="15"/>
        <v>-1</v>
      </c>
      <c r="S98" s="26">
        <v>76.400000000000006</v>
      </c>
    </row>
    <row r="99" spans="12:19">
      <c r="L99" s="24">
        <v>1</v>
      </c>
      <c r="M99" s="25">
        <v>-1</v>
      </c>
      <c r="N99" s="25">
        <v>1</v>
      </c>
      <c r="O99" s="25">
        <f t="shared" si="17"/>
        <v>-1</v>
      </c>
      <c r="P99" s="25">
        <f t="shared" si="16"/>
        <v>1</v>
      </c>
      <c r="Q99" s="25">
        <f t="shared" si="14"/>
        <v>-1</v>
      </c>
      <c r="R99" s="25">
        <f t="shared" si="15"/>
        <v>-1</v>
      </c>
      <c r="S99" s="26">
        <v>76.900000000000006</v>
      </c>
    </row>
    <row r="100" spans="12:19">
      <c r="L100" s="24">
        <v>1</v>
      </c>
      <c r="M100" s="25">
        <v>1</v>
      </c>
      <c r="N100" s="25">
        <v>-1</v>
      </c>
      <c r="O100" s="25">
        <f t="shared" si="17"/>
        <v>1</v>
      </c>
      <c r="P100" s="25">
        <f t="shared" si="16"/>
        <v>-1</v>
      </c>
      <c r="Q100" s="25">
        <f t="shared" si="14"/>
        <v>-1</v>
      </c>
      <c r="R100" s="25">
        <f t="shared" si="15"/>
        <v>-1</v>
      </c>
      <c r="S100" s="26">
        <v>41.5</v>
      </c>
    </row>
    <row r="101" spans="12:19">
      <c r="L101" s="24">
        <v>1</v>
      </c>
      <c r="M101" s="25">
        <v>1</v>
      </c>
      <c r="N101" s="25">
        <v>-1</v>
      </c>
      <c r="O101" s="25">
        <f t="shared" si="17"/>
        <v>1</v>
      </c>
      <c r="P101" s="25">
        <f t="shared" si="16"/>
        <v>-1</v>
      </c>
      <c r="Q101" s="25">
        <f t="shared" si="14"/>
        <v>-1</v>
      </c>
      <c r="R101" s="25">
        <f t="shared" si="15"/>
        <v>-1</v>
      </c>
      <c r="S101" s="26">
        <v>41.9</v>
      </c>
    </row>
    <row r="102" spans="12:19">
      <c r="L102" s="24">
        <v>1</v>
      </c>
      <c r="M102" s="25">
        <v>1</v>
      </c>
      <c r="N102" s="25">
        <v>1</v>
      </c>
      <c r="O102" s="25">
        <f t="shared" si="17"/>
        <v>1</v>
      </c>
      <c r="P102" s="25">
        <f t="shared" si="16"/>
        <v>1</v>
      </c>
      <c r="Q102" s="25">
        <f t="shared" si="14"/>
        <v>1</v>
      </c>
      <c r="R102" s="25">
        <f t="shared" si="15"/>
        <v>1</v>
      </c>
      <c r="S102" s="26">
        <v>79.8</v>
      </c>
    </row>
    <row r="103" spans="12:19" ht="15" thickBot="1">
      <c r="L103" s="27">
        <v>1</v>
      </c>
      <c r="M103" s="28">
        <v>1</v>
      </c>
      <c r="N103" s="28">
        <v>1</v>
      </c>
      <c r="O103" s="28">
        <f t="shared" si="17"/>
        <v>1</v>
      </c>
      <c r="P103" s="28">
        <f t="shared" si="16"/>
        <v>1</v>
      </c>
      <c r="Q103" s="28">
        <f t="shared" si="14"/>
        <v>1</v>
      </c>
      <c r="R103" s="28">
        <f t="shared" si="15"/>
        <v>1</v>
      </c>
      <c r="S103" s="29">
        <v>80.2</v>
      </c>
    </row>
    <row r="106" spans="12:19">
      <c r="L106" t="s">
        <v>62</v>
      </c>
    </row>
    <row r="107" spans="12:19" ht="15" thickBot="1"/>
    <row r="108" spans="12:19">
      <c r="L108" s="81" t="s">
        <v>63</v>
      </c>
      <c r="M108" s="82"/>
    </row>
    <row r="109" spans="12:19">
      <c r="L109" s="77" t="s">
        <v>64</v>
      </c>
      <c r="M109" s="79">
        <v>0.99993292745371476</v>
      </c>
    </row>
    <row r="110" spans="12:19">
      <c r="L110" s="102" t="s">
        <v>65</v>
      </c>
      <c r="M110" s="103">
        <v>0.99986585940615602</v>
      </c>
    </row>
    <row r="111" spans="12:19" ht="28.5">
      <c r="L111" s="83" t="s">
        <v>66</v>
      </c>
      <c r="M111" s="79">
        <v>0.99974848638654246</v>
      </c>
    </row>
    <row r="112" spans="12:19">
      <c r="L112" s="77" t="s">
        <v>67</v>
      </c>
      <c r="M112" s="79">
        <v>0.30413812651491057</v>
      </c>
    </row>
    <row r="113" spans="12:20" ht="15" thickBot="1">
      <c r="L113" s="30" t="s">
        <v>68</v>
      </c>
      <c r="M113" s="80">
        <v>16</v>
      </c>
    </row>
    <row r="114" spans="12:20" ht="15" thickBot="1"/>
    <row r="115" spans="12:20" ht="15" thickBot="1">
      <c r="L115" s="57" t="s">
        <v>69</v>
      </c>
      <c r="M115" s="58"/>
      <c r="N115" s="58"/>
      <c r="O115" s="58"/>
      <c r="P115" s="58"/>
      <c r="Q115" s="59"/>
    </row>
    <row r="116" spans="12:20">
      <c r="L116" s="75"/>
      <c r="M116" s="73" t="s">
        <v>74</v>
      </c>
      <c r="N116" s="73" t="s">
        <v>75</v>
      </c>
      <c r="O116" s="73" t="s">
        <v>76</v>
      </c>
      <c r="P116" s="73" t="s">
        <v>77</v>
      </c>
      <c r="Q116" s="76" t="s">
        <v>78</v>
      </c>
    </row>
    <row r="117" spans="12:20">
      <c r="L117" s="77" t="s">
        <v>70</v>
      </c>
      <c r="M117">
        <v>7</v>
      </c>
      <c r="N117">
        <v>5515.8600000000006</v>
      </c>
      <c r="O117">
        <v>787.98000000000013</v>
      </c>
      <c r="P117">
        <v>8518.702702702727</v>
      </c>
      <c r="Q117" s="79">
        <v>7.5939851268432526E-15</v>
      </c>
    </row>
    <row r="118" spans="12:20">
      <c r="L118" s="77" t="s">
        <v>71</v>
      </c>
      <c r="M118">
        <v>8</v>
      </c>
      <c r="N118">
        <v>0.73999999999999799</v>
      </c>
      <c r="O118">
        <v>9.2499999999999749E-2</v>
      </c>
      <c r="Q118" s="79"/>
    </row>
    <row r="119" spans="12:20" ht="15" thickBot="1">
      <c r="L119" s="30" t="s">
        <v>72</v>
      </c>
      <c r="M119" s="72">
        <v>15</v>
      </c>
      <c r="N119" s="72">
        <v>5516.6</v>
      </c>
      <c r="O119" s="72"/>
      <c r="P119" s="72"/>
      <c r="Q119" s="80"/>
    </row>
    <row r="120" spans="12:20" ht="15" thickBot="1"/>
    <row r="121" spans="12:20" ht="15" thickBot="1">
      <c r="L121" s="85"/>
      <c r="M121" s="86" t="s">
        <v>79</v>
      </c>
      <c r="N121" s="86" t="s">
        <v>67</v>
      </c>
      <c r="O121" s="86" t="s">
        <v>80</v>
      </c>
      <c r="P121" s="88" t="s">
        <v>81</v>
      </c>
      <c r="Q121" s="86" t="s">
        <v>82</v>
      </c>
      <c r="R121" s="86" t="s">
        <v>83</v>
      </c>
      <c r="S121" s="86" t="s">
        <v>84</v>
      </c>
      <c r="T121" s="87" t="s">
        <v>85</v>
      </c>
    </row>
    <row r="122" spans="12:20">
      <c r="L122" s="57" t="s">
        <v>73</v>
      </c>
      <c r="M122" s="84">
        <v>57.699999999999996</v>
      </c>
      <c r="N122" s="58">
        <v>7.6034531628727642E-2</v>
      </c>
      <c r="O122" s="58">
        <v>758.8657254015302</v>
      </c>
      <c r="P122" s="89">
        <v>1.0183024731753221E-20</v>
      </c>
      <c r="Q122" s="58">
        <v>57.524664055645836</v>
      </c>
      <c r="R122" s="58">
        <v>57.875335944354156</v>
      </c>
      <c r="S122" s="58">
        <v>57.524664055645836</v>
      </c>
      <c r="T122" s="59">
        <v>57.875335944354156</v>
      </c>
    </row>
    <row r="123" spans="12:20">
      <c r="L123" s="77" t="s">
        <v>21</v>
      </c>
      <c r="M123" s="78">
        <v>1.6625000000000001</v>
      </c>
      <c r="N123">
        <v>7.6034531628727642E-2</v>
      </c>
      <c r="O123">
        <v>21.86506531161255</v>
      </c>
      <c r="P123" s="90">
        <v>2.0195863164556377E-8</v>
      </c>
      <c r="Q123">
        <v>1.4871640556458421</v>
      </c>
      <c r="R123">
        <v>1.8378359443541581</v>
      </c>
      <c r="S123">
        <v>1.4871640556458421</v>
      </c>
      <c r="T123" s="79">
        <v>1.8378359443541581</v>
      </c>
    </row>
    <row r="124" spans="12:20">
      <c r="L124" s="77" t="s">
        <v>22</v>
      </c>
      <c r="M124" s="78">
        <v>1.5874999999999992</v>
      </c>
      <c r="N124">
        <v>7.6034531628727642E-2</v>
      </c>
      <c r="O124">
        <v>20.878671387780393</v>
      </c>
      <c r="P124" s="90">
        <v>2.9050811120144641E-8</v>
      </c>
      <c r="Q124">
        <v>1.4121640556458412</v>
      </c>
      <c r="R124">
        <v>1.7628359443541572</v>
      </c>
      <c r="S124">
        <v>1.4121640556458412</v>
      </c>
      <c r="T124" s="79">
        <v>1.7628359443541572</v>
      </c>
    </row>
    <row r="125" spans="12:20">
      <c r="L125" s="77" t="s">
        <v>23</v>
      </c>
      <c r="M125" s="78">
        <v>18.412500000000001</v>
      </c>
      <c r="N125">
        <v>7.6034531628727642E-2</v>
      </c>
      <c r="O125">
        <v>242.15970830079164</v>
      </c>
      <c r="P125" s="90">
        <v>9.466504970394543E-17</v>
      </c>
      <c r="Q125">
        <v>18.237164055645845</v>
      </c>
      <c r="R125">
        <v>18.587835944354158</v>
      </c>
      <c r="S125">
        <v>18.237164055645845</v>
      </c>
      <c r="T125" s="79">
        <v>18.587835944354158</v>
      </c>
    </row>
    <row r="126" spans="12:20" ht="15">
      <c r="L126" s="77" t="s">
        <v>42</v>
      </c>
      <c r="M126" s="78">
        <v>-0.10000000000000051</v>
      </c>
      <c r="N126">
        <v>7.6034531628727642E-2</v>
      </c>
      <c r="O126">
        <v>-1.3151918984428668</v>
      </c>
      <c r="P126" s="91">
        <v>0.22488916313113544</v>
      </c>
      <c r="Q126">
        <v>-0.27533594435415848</v>
      </c>
      <c r="R126">
        <v>7.5335944354157469E-2</v>
      </c>
      <c r="S126">
        <v>-0.27533594435415848</v>
      </c>
      <c r="T126" s="79">
        <v>7.5335944354157469E-2</v>
      </c>
    </row>
    <row r="127" spans="12:20">
      <c r="L127" s="77" t="s">
        <v>43</v>
      </c>
      <c r="M127" s="78">
        <v>0.55000000000000038</v>
      </c>
      <c r="N127">
        <v>7.6034531628727642E-2</v>
      </c>
      <c r="O127">
        <v>7.2335554414357359</v>
      </c>
      <c r="P127" s="90">
        <v>8.9473768379447202E-5</v>
      </c>
      <c r="Q127">
        <v>0.37466405564584238</v>
      </c>
      <c r="R127">
        <v>0.72533594435415838</v>
      </c>
      <c r="S127">
        <v>0.37466405564584238</v>
      </c>
      <c r="T127" s="79">
        <v>0.72533594435415838</v>
      </c>
    </row>
    <row r="128" spans="12:20">
      <c r="L128" s="77" t="s">
        <v>44</v>
      </c>
      <c r="M128" s="78">
        <v>0.32499999999999812</v>
      </c>
      <c r="N128">
        <v>7.6034531628727642E-2</v>
      </c>
      <c r="O128">
        <v>4.2743736699392709</v>
      </c>
      <c r="P128" s="90">
        <v>2.7080734154907881E-3</v>
      </c>
      <c r="Q128">
        <v>0.14966405564584015</v>
      </c>
      <c r="R128">
        <v>0.50033594435415607</v>
      </c>
      <c r="S128">
        <v>0.14966405564584015</v>
      </c>
      <c r="T128" s="79">
        <v>0.50033594435415607</v>
      </c>
    </row>
    <row r="129" spans="7:22" ht="15.75" thickBot="1">
      <c r="L129" s="30" t="s">
        <v>45</v>
      </c>
      <c r="M129" s="74">
        <v>-0.13749999999999871</v>
      </c>
      <c r="N129" s="72">
        <v>7.6034531628727642E-2</v>
      </c>
      <c r="O129" s="72">
        <v>-1.8083888603589156</v>
      </c>
      <c r="P129" s="92">
        <v>0.10815683948902927</v>
      </c>
      <c r="Q129" s="72">
        <v>-0.31283594435415668</v>
      </c>
      <c r="R129" s="72">
        <v>3.7835944354159268E-2</v>
      </c>
      <c r="S129" s="72">
        <v>-0.31283594435415668</v>
      </c>
      <c r="T129" s="80">
        <v>3.7835944354159268E-2</v>
      </c>
    </row>
    <row r="131" spans="7:22">
      <c r="L131" t="s">
        <v>86</v>
      </c>
    </row>
    <row r="132" spans="7:22" ht="15">
      <c r="L132" s="21" t="s">
        <v>87</v>
      </c>
    </row>
    <row r="135" spans="7:22">
      <c r="G135" s="44" t="s">
        <v>88</v>
      </c>
    </row>
    <row r="137" spans="7:22" ht="15" thickBot="1"/>
    <row r="138" spans="7:22" ht="15.75" thickBot="1">
      <c r="L138" s="35" t="s">
        <v>21</v>
      </c>
      <c r="M138" s="36" t="s">
        <v>22</v>
      </c>
      <c r="N138" s="36" t="s">
        <v>23</v>
      </c>
      <c r="O138" s="71" t="s">
        <v>43</v>
      </c>
      <c r="P138" s="71" t="s">
        <v>44</v>
      </c>
      <c r="Q138" s="37" t="s">
        <v>24</v>
      </c>
      <c r="T138" s="60"/>
      <c r="U138" s="95" t="s">
        <v>4</v>
      </c>
      <c r="V138" s="96" t="s">
        <v>5</v>
      </c>
    </row>
    <row r="139" spans="7:22" ht="15">
      <c r="L139" s="32">
        <v>-1</v>
      </c>
      <c r="M139" s="33">
        <v>-1</v>
      </c>
      <c r="N139" s="33">
        <v>-1</v>
      </c>
      <c r="O139" s="33">
        <f t="shared" ref="O139:O154" si="18">L139*N139</f>
        <v>1</v>
      </c>
      <c r="P139" s="33">
        <f t="shared" ref="P139:P154" si="19">M139*N139</f>
        <v>1</v>
      </c>
      <c r="Q139" s="34">
        <v>36.799999999999997</v>
      </c>
      <c r="R139" s="99"/>
      <c r="S139" s="99"/>
      <c r="T139" s="97" t="s">
        <v>89</v>
      </c>
      <c r="U139" s="93">
        <f>AVERAGE(130, 170)</f>
        <v>150</v>
      </c>
      <c r="V139" s="94">
        <f>(170-130)/2</f>
        <v>20</v>
      </c>
    </row>
    <row r="140" spans="7:22" ht="15">
      <c r="L140" s="24">
        <v>-1</v>
      </c>
      <c r="M140" s="25">
        <v>-1</v>
      </c>
      <c r="N140" s="25">
        <v>-1</v>
      </c>
      <c r="O140" s="25">
        <f t="shared" si="18"/>
        <v>1</v>
      </c>
      <c r="P140" s="25">
        <f t="shared" si="19"/>
        <v>1</v>
      </c>
      <c r="Q140" s="26">
        <v>37.1</v>
      </c>
      <c r="R140" s="99"/>
      <c r="S140" s="99"/>
      <c r="T140" s="97" t="s">
        <v>90</v>
      </c>
      <c r="U140" s="93">
        <f>AVERAGE(600, 1000)</f>
        <v>800</v>
      </c>
      <c r="V140" s="94">
        <f>(1000-600)/2</f>
        <v>200</v>
      </c>
    </row>
    <row r="141" spans="7:22" ht="15.75" thickBot="1">
      <c r="L141" s="24">
        <v>-1</v>
      </c>
      <c r="M141" s="25">
        <v>-1</v>
      </c>
      <c r="N141" s="25">
        <v>1</v>
      </c>
      <c r="O141" s="25">
        <f t="shared" si="18"/>
        <v>-1</v>
      </c>
      <c r="P141" s="25">
        <f t="shared" si="19"/>
        <v>-1</v>
      </c>
      <c r="Q141" s="26">
        <v>71.5</v>
      </c>
      <c r="R141" s="99"/>
      <c r="S141" s="99"/>
      <c r="T141" s="98" t="s">
        <v>91</v>
      </c>
      <c r="U141" s="38">
        <f>AVERAGE(40,80)</f>
        <v>60</v>
      </c>
      <c r="V141" s="39">
        <f>(80-40)/2</f>
        <v>20</v>
      </c>
    </row>
    <row r="142" spans="7:22">
      <c r="L142" s="24">
        <v>-1</v>
      </c>
      <c r="M142" s="25">
        <v>-1</v>
      </c>
      <c r="N142" s="25">
        <v>1</v>
      </c>
      <c r="O142" s="25">
        <f t="shared" si="18"/>
        <v>-1</v>
      </c>
      <c r="P142" s="25">
        <f t="shared" si="19"/>
        <v>-1</v>
      </c>
      <c r="Q142" s="26">
        <v>72</v>
      </c>
    </row>
    <row r="143" spans="7:22">
      <c r="L143" s="24">
        <v>-1</v>
      </c>
      <c r="M143" s="25">
        <v>1</v>
      </c>
      <c r="N143" s="25">
        <v>-1</v>
      </c>
      <c r="O143" s="25">
        <f t="shared" si="18"/>
        <v>1</v>
      </c>
      <c r="P143" s="25">
        <f t="shared" si="19"/>
        <v>-1</v>
      </c>
      <c r="Q143" s="26">
        <v>39.200000000000003</v>
      </c>
    </row>
    <row r="144" spans="7:22">
      <c r="L144" s="24">
        <v>-1</v>
      </c>
      <c r="M144" s="25">
        <v>1</v>
      </c>
      <c r="N144" s="25">
        <v>-1</v>
      </c>
      <c r="O144" s="25">
        <f t="shared" si="18"/>
        <v>1</v>
      </c>
      <c r="P144" s="25">
        <f t="shared" si="19"/>
        <v>-1</v>
      </c>
      <c r="Q144" s="26">
        <v>39.6</v>
      </c>
    </row>
    <row r="145" spans="12:17">
      <c r="L145" s="24">
        <v>-1</v>
      </c>
      <c r="M145" s="25">
        <v>1</v>
      </c>
      <c r="N145" s="25">
        <v>1</v>
      </c>
      <c r="O145" s="25">
        <f t="shared" si="18"/>
        <v>-1</v>
      </c>
      <c r="P145" s="25">
        <f t="shared" si="19"/>
        <v>1</v>
      </c>
      <c r="Q145" s="26">
        <v>75.8</v>
      </c>
    </row>
    <row r="146" spans="12:17">
      <c r="L146" s="24">
        <v>-1</v>
      </c>
      <c r="M146" s="25">
        <v>1</v>
      </c>
      <c r="N146" s="25">
        <v>1</v>
      </c>
      <c r="O146" s="25">
        <f t="shared" si="18"/>
        <v>-1</v>
      </c>
      <c r="P146" s="25">
        <f t="shared" si="19"/>
        <v>1</v>
      </c>
      <c r="Q146" s="26">
        <v>76.3</v>
      </c>
    </row>
    <row r="147" spans="12:17">
      <c r="L147" s="24">
        <v>1</v>
      </c>
      <c r="M147" s="25">
        <v>-1</v>
      </c>
      <c r="N147" s="25">
        <v>-1</v>
      </c>
      <c r="O147" s="25">
        <f t="shared" si="18"/>
        <v>-1</v>
      </c>
      <c r="P147" s="25">
        <f t="shared" si="19"/>
        <v>1</v>
      </c>
      <c r="Q147" s="26">
        <v>38.9</v>
      </c>
    </row>
    <row r="148" spans="12:17">
      <c r="L148" s="24">
        <v>1</v>
      </c>
      <c r="M148" s="25">
        <v>-1</v>
      </c>
      <c r="N148" s="25">
        <v>-1</v>
      </c>
      <c r="O148" s="25">
        <f t="shared" si="18"/>
        <v>-1</v>
      </c>
      <c r="P148" s="25">
        <f t="shared" si="19"/>
        <v>1</v>
      </c>
      <c r="Q148" s="26">
        <v>39.299999999999997</v>
      </c>
    </row>
    <row r="149" spans="12:17">
      <c r="L149" s="24">
        <v>1</v>
      </c>
      <c r="M149" s="25">
        <v>-1</v>
      </c>
      <c r="N149" s="25">
        <v>1</v>
      </c>
      <c r="O149" s="25">
        <f t="shared" si="18"/>
        <v>1</v>
      </c>
      <c r="P149" s="25">
        <f t="shared" si="19"/>
        <v>-1</v>
      </c>
      <c r="Q149" s="26">
        <v>76.400000000000006</v>
      </c>
    </row>
    <row r="150" spans="12:17">
      <c r="L150" s="24">
        <v>1</v>
      </c>
      <c r="M150" s="25">
        <v>-1</v>
      </c>
      <c r="N150" s="25">
        <v>1</v>
      </c>
      <c r="O150" s="25">
        <f t="shared" si="18"/>
        <v>1</v>
      </c>
      <c r="P150" s="25">
        <f t="shared" si="19"/>
        <v>-1</v>
      </c>
      <c r="Q150" s="26">
        <v>76.900000000000006</v>
      </c>
    </row>
    <row r="151" spans="12:17">
      <c r="L151" s="24">
        <v>1</v>
      </c>
      <c r="M151" s="25">
        <v>1</v>
      </c>
      <c r="N151" s="25">
        <v>-1</v>
      </c>
      <c r="O151" s="25">
        <f t="shared" si="18"/>
        <v>-1</v>
      </c>
      <c r="P151" s="25">
        <f t="shared" si="19"/>
        <v>-1</v>
      </c>
      <c r="Q151" s="26">
        <v>41.5</v>
      </c>
    </row>
    <row r="152" spans="12:17">
      <c r="L152" s="24">
        <v>1</v>
      </c>
      <c r="M152" s="25">
        <v>1</v>
      </c>
      <c r="N152" s="25">
        <v>-1</v>
      </c>
      <c r="O152" s="25">
        <f t="shared" si="18"/>
        <v>-1</v>
      </c>
      <c r="P152" s="25">
        <f t="shared" si="19"/>
        <v>-1</v>
      </c>
      <c r="Q152" s="26">
        <v>41.9</v>
      </c>
    </row>
    <row r="153" spans="12:17">
      <c r="L153" s="24">
        <v>1</v>
      </c>
      <c r="M153" s="25">
        <v>1</v>
      </c>
      <c r="N153" s="25">
        <v>1</v>
      </c>
      <c r="O153" s="25">
        <f t="shared" si="18"/>
        <v>1</v>
      </c>
      <c r="P153" s="25">
        <f t="shared" si="19"/>
        <v>1</v>
      </c>
      <c r="Q153" s="26">
        <v>79.8</v>
      </c>
    </row>
    <row r="154" spans="12:17" ht="15" thickBot="1">
      <c r="L154" s="27">
        <v>1</v>
      </c>
      <c r="M154" s="28">
        <v>1</v>
      </c>
      <c r="N154" s="28">
        <v>1</v>
      </c>
      <c r="O154" s="28">
        <f t="shared" si="18"/>
        <v>1</v>
      </c>
      <c r="P154" s="28">
        <f t="shared" si="19"/>
        <v>1</v>
      </c>
      <c r="Q154" s="29">
        <v>80.2</v>
      </c>
    </row>
    <row r="156" spans="12:17">
      <c r="L156" t="s">
        <v>62</v>
      </c>
    </row>
    <row r="157" spans="12:17" ht="15" thickBot="1"/>
    <row r="158" spans="12:17">
      <c r="L158" s="81" t="s">
        <v>63</v>
      </c>
      <c r="M158" s="82"/>
    </row>
    <row r="159" spans="12:17">
      <c r="L159" s="77" t="s">
        <v>64</v>
      </c>
      <c r="M159" s="79">
        <v>0.99989100482752791</v>
      </c>
    </row>
    <row r="160" spans="12:17">
      <c r="L160" s="77" t="s">
        <v>65</v>
      </c>
      <c r="M160" s="79">
        <v>0.9997820215350034</v>
      </c>
    </row>
    <row r="161" spans="12:20">
      <c r="L161" s="77" t="s">
        <v>66</v>
      </c>
      <c r="M161" s="79">
        <v>0.99967303230250515</v>
      </c>
    </row>
    <row r="162" spans="12:20">
      <c r="L162" s="77" t="s">
        <v>67</v>
      </c>
      <c r="M162" s="79">
        <v>0.34677081768799339</v>
      </c>
    </row>
    <row r="163" spans="12:20" ht="15" thickBot="1">
      <c r="L163" s="30" t="s">
        <v>68</v>
      </c>
      <c r="M163" s="80">
        <v>16</v>
      </c>
    </row>
    <row r="164" spans="12:20" ht="15" thickBot="1"/>
    <row r="165" spans="12:20" ht="15" thickBot="1">
      <c r="L165" s="57" t="s">
        <v>69</v>
      </c>
      <c r="M165" s="58"/>
      <c r="N165" s="58"/>
      <c r="O165" s="58"/>
      <c r="P165" s="58"/>
      <c r="Q165" s="59"/>
    </row>
    <row r="166" spans="12:20">
      <c r="L166" s="75"/>
      <c r="M166" s="73" t="s">
        <v>74</v>
      </c>
      <c r="N166" s="73" t="s">
        <v>75</v>
      </c>
      <c r="O166" s="73" t="s">
        <v>76</v>
      </c>
      <c r="P166" s="73" t="s">
        <v>77</v>
      </c>
      <c r="Q166" s="76" t="s">
        <v>78</v>
      </c>
    </row>
    <row r="167" spans="12:20">
      <c r="L167" s="77" t="s">
        <v>70</v>
      </c>
      <c r="M167">
        <v>5</v>
      </c>
      <c r="N167">
        <v>5515.3975</v>
      </c>
      <c r="O167">
        <v>1103.0795000000001</v>
      </c>
      <c r="P167">
        <v>9173.2182952183302</v>
      </c>
      <c r="Q167" s="79">
        <v>5.7711846854536388E-18</v>
      </c>
    </row>
    <row r="168" spans="12:20">
      <c r="L168" s="77" t="s">
        <v>71</v>
      </c>
      <c r="M168">
        <v>10</v>
      </c>
      <c r="N168">
        <v>1.2024999999999955</v>
      </c>
      <c r="O168">
        <v>0.12024999999999955</v>
      </c>
      <c r="Q168" s="79"/>
    </row>
    <row r="169" spans="12:20" ht="15" thickBot="1">
      <c r="L169" s="30" t="s">
        <v>72</v>
      </c>
      <c r="M169" s="72">
        <v>15</v>
      </c>
      <c r="N169" s="72">
        <v>5516.6</v>
      </c>
      <c r="O169" s="72"/>
      <c r="P169" s="72"/>
      <c r="Q169" s="80"/>
    </row>
    <row r="170" spans="12:20" ht="15" thickBot="1"/>
    <row r="171" spans="12:20" ht="15" thickBot="1">
      <c r="L171" s="85"/>
      <c r="M171" s="86" t="s">
        <v>79</v>
      </c>
      <c r="N171" s="86" t="s">
        <v>67</v>
      </c>
      <c r="O171" s="86" t="s">
        <v>80</v>
      </c>
      <c r="P171" s="86" t="s">
        <v>81</v>
      </c>
      <c r="Q171" s="86" t="s">
        <v>82</v>
      </c>
      <c r="R171" s="86" t="s">
        <v>83</v>
      </c>
      <c r="S171" s="86" t="s">
        <v>84</v>
      </c>
      <c r="T171" s="87" t="s">
        <v>85</v>
      </c>
    </row>
    <row r="172" spans="12:20">
      <c r="L172" s="77" t="s">
        <v>73</v>
      </c>
      <c r="M172">
        <v>57.699999999999996</v>
      </c>
      <c r="N172">
        <v>8.6692704421998348E-2</v>
      </c>
      <c r="O172">
        <v>665.56927004065835</v>
      </c>
      <c r="P172">
        <v>1.4425239440038917E-24</v>
      </c>
      <c r="Q172">
        <v>57.506836617093576</v>
      </c>
      <c r="R172">
        <v>57.893163382906415</v>
      </c>
      <c r="S172">
        <v>57.506836617093576</v>
      </c>
      <c r="T172" s="79">
        <v>57.893163382906415</v>
      </c>
    </row>
    <row r="173" spans="12:20">
      <c r="L173" s="77" t="s">
        <v>21</v>
      </c>
      <c r="M173">
        <v>1.6625000000000003</v>
      </c>
      <c r="N173">
        <v>8.6692704421998348E-2</v>
      </c>
      <c r="O173">
        <v>19.176930874221746</v>
      </c>
      <c r="P173">
        <v>3.235173836269371E-9</v>
      </c>
      <c r="Q173">
        <v>1.4693366170935835</v>
      </c>
      <c r="R173">
        <v>1.8556633829064171</v>
      </c>
      <c r="S173">
        <v>1.4693366170935835</v>
      </c>
      <c r="T173" s="79">
        <v>1.8556633829064171</v>
      </c>
    </row>
    <row r="174" spans="12:20">
      <c r="L174" s="77" t="s">
        <v>22</v>
      </c>
      <c r="M174">
        <v>1.5874999999999992</v>
      </c>
      <c r="N174">
        <v>8.6692704421998348E-2</v>
      </c>
      <c r="O174">
        <v>18.311806173129025</v>
      </c>
      <c r="P174">
        <v>5.0732365185102899E-9</v>
      </c>
      <c r="Q174">
        <v>1.3943366170935825</v>
      </c>
      <c r="R174">
        <v>1.780663382906416</v>
      </c>
      <c r="S174">
        <v>1.3943366170935825</v>
      </c>
      <c r="T174" s="79">
        <v>1.780663382906416</v>
      </c>
    </row>
    <row r="175" spans="12:20">
      <c r="L175" s="77" t="s">
        <v>23</v>
      </c>
      <c r="M175">
        <v>18.412500000000001</v>
      </c>
      <c r="N175">
        <v>8.6692704421998348E-2</v>
      </c>
      <c r="O175">
        <v>212.38811411826038</v>
      </c>
      <c r="P175">
        <v>1.3163072549495563E-19</v>
      </c>
      <c r="Q175">
        <v>18.219336617093585</v>
      </c>
      <c r="R175">
        <v>18.605663382906418</v>
      </c>
      <c r="S175">
        <v>18.219336617093585</v>
      </c>
      <c r="T175" s="79">
        <v>18.605663382906418</v>
      </c>
    </row>
    <row r="176" spans="12:20">
      <c r="L176" s="77" t="s">
        <v>43</v>
      </c>
      <c r="M176">
        <v>0.55000000000000038</v>
      </c>
      <c r="N176">
        <v>8.6692704421998348E-2</v>
      </c>
      <c r="O176">
        <v>6.344247808013213</v>
      </c>
      <c r="P176">
        <v>8.4138777921426332E-5</v>
      </c>
      <c r="Q176">
        <v>0.35683661709358355</v>
      </c>
      <c r="R176">
        <v>0.74316338290641726</v>
      </c>
      <c r="S176">
        <v>0.35683661709358355</v>
      </c>
      <c r="T176" s="79">
        <v>0.74316338290641726</v>
      </c>
    </row>
    <row r="177" spans="7:24" ht="15" thickBot="1">
      <c r="L177" s="30" t="s">
        <v>44</v>
      </c>
      <c r="M177" s="72">
        <v>0.32499999999999835</v>
      </c>
      <c r="N177" s="72">
        <v>8.6692704421998348E-2</v>
      </c>
      <c r="O177" s="72">
        <v>3.7488737047350584</v>
      </c>
      <c r="P177" s="72">
        <v>3.7908277025070366E-3</v>
      </c>
      <c r="Q177" s="72">
        <v>0.13183661709358152</v>
      </c>
      <c r="R177" s="72">
        <v>0.51816338290641517</v>
      </c>
      <c r="S177" s="72">
        <v>0.13183661709358152</v>
      </c>
      <c r="T177" s="80">
        <v>0.51816338290641517</v>
      </c>
    </row>
    <row r="179" spans="7:24">
      <c r="G179" s="44" t="s">
        <v>92</v>
      </c>
    </row>
    <row r="181" spans="7:24" ht="28.5">
      <c r="L181" s="23" t="s">
        <v>93</v>
      </c>
      <c r="M181">
        <f>M172</f>
        <v>57.699999999999996</v>
      </c>
      <c r="N181" t="s">
        <v>94</v>
      </c>
      <c r="O181">
        <f>M173</f>
        <v>1.6625000000000003</v>
      </c>
      <c r="P181" t="s">
        <v>95</v>
      </c>
      <c r="Q181">
        <f>M174</f>
        <v>1.5874999999999992</v>
      </c>
      <c r="R181" t="s">
        <v>96</v>
      </c>
      <c r="S181">
        <f>M175</f>
        <v>18.412500000000001</v>
      </c>
      <c r="T181" t="s">
        <v>97</v>
      </c>
      <c r="U181">
        <f>M176</f>
        <v>0.55000000000000038</v>
      </c>
      <c r="V181" t="s">
        <v>98</v>
      </c>
      <c r="W181">
        <f>M177</f>
        <v>0.32499999999999835</v>
      </c>
      <c r="X181" t="s">
        <v>99</v>
      </c>
    </row>
    <row r="182" spans="7:24" ht="42.75">
      <c r="L182" s="23" t="s">
        <v>100</v>
      </c>
      <c r="M182">
        <f>M172</f>
        <v>57.699999999999996</v>
      </c>
      <c r="N182" t="s">
        <v>94</v>
      </c>
      <c r="O182">
        <f>M173</f>
        <v>1.6625000000000003</v>
      </c>
      <c r="P182" t="s">
        <v>101</v>
      </c>
      <c r="Q182">
        <f>M174</f>
        <v>1.5874999999999992</v>
      </c>
      <c r="R182" t="s">
        <v>102</v>
      </c>
      <c r="S182">
        <f>M175</f>
        <v>18.412500000000001</v>
      </c>
      <c r="T182" t="s">
        <v>103</v>
      </c>
      <c r="U182">
        <f>M176</f>
        <v>0.55000000000000038</v>
      </c>
      <c r="V182" s="23" t="s">
        <v>104</v>
      </c>
      <c r="W182">
        <f>M177</f>
        <v>0.32499999999999835</v>
      </c>
      <c r="X182" s="23" t="s">
        <v>105</v>
      </c>
    </row>
    <row r="183" spans="7:24" ht="28.5">
      <c r="L183" s="23" t="s">
        <v>100</v>
      </c>
      <c r="M183">
        <f>M182+O182*(-150/20)+Q182*(-800/200)+S182*(-60/20)+U182*((-150/20)*(-60/20))+W182*((-800/200)*(-60/20))</f>
        <v>-8.1250000000014033E-2</v>
      </c>
      <c r="N183" t="s">
        <v>94</v>
      </c>
      <c r="O183">
        <f>O182/20</f>
        <v>8.3125000000000018E-2</v>
      </c>
      <c r="P183" t="s">
        <v>106</v>
      </c>
      <c r="Q183">
        <f>Q182/200</f>
        <v>7.9374999999999966E-3</v>
      </c>
      <c r="R183" t="s">
        <v>107</v>
      </c>
      <c r="S183">
        <f>S182/20</f>
        <v>0.92062500000000003</v>
      </c>
      <c r="T183" t="s">
        <v>108</v>
      </c>
      <c r="U183">
        <f>U182/20/20</f>
        <v>1.3750000000000008E-3</v>
      </c>
      <c r="V183" t="s">
        <v>109</v>
      </c>
      <c r="W183">
        <f>W182/200/20</f>
        <v>8.124999999999959E-5</v>
      </c>
      <c r="X183" t="s">
        <v>110</v>
      </c>
    </row>
    <row r="184" spans="7:24">
      <c r="P184" s="14" t="s">
        <v>4</v>
      </c>
      <c r="Q184" s="15" t="s">
        <v>5</v>
      </c>
    </row>
    <row r="185" spans="7:24">
      <c r="P185" s="14">
        <f>AVERAGE(130, 170)</f>
        <v>150</v>
      </c>
      <c r="Q185" s="15">
        <f>(170-130)/2</f>
        <v>20</v>
      </c>
    </row>
    <row r="186" spans="7:24">
      <c r="P186" s="16">
        <f>AVERAGE(600, 1000)</f>
        <v>800</v>
      </c>
      <c r="Q186" s="17">
        <f>(1000-600)/2</f>
        <v>200</v>
      </c>
    </row>
    <row r="187" spans="7:24">
      <c r="P187" s="18">
        <f>AVERAGE(40,80)</f>
        <v>60</v>
      </c>
      <c r="Q187" s="19">
        <f>(80-40)/2</f>
        <v>20</v>
      </c>
    </row>
    <row r="189" spans="7:24">
      <c r="G189" s="44" t="s">
        <v>111</v>
      </c>
    </row>
    <row r="191" spans="7:24" ht="15">
      <c r="L191" s="21" t="s">
        <v>113</v>
      </c>
    </row>
    <row r="192" spans="7:24" ht="15">
      <c r="L192" s="21" t="s">
        <v>112</v>
      </c>
      <c r="M192">
        <v>0.99978199999999995</v>
      </c>
      <c r="N192" s="101">
        <v>0.99980000000000002</v>
      </c>
    </row>
    <row r="193" spans="7:18" ht="15" thickBot="1">
      <c r="N193" s="101"/>
    </row>
    <row r="194" spans="7:18" ht="14.45" customHeight="1" thickBot="1">
      <c r="N194" s="105" t="s">
        <v>115</v>
      </c>
    </row>
    <row r="195" spans="7:18">
      <c r="N195" s="215" t="s">
        <v>114</v>
      </c>
      <c r="O195" s="216"/>
      <c r="P195" s="216"/>
      <c r="Q195" s="216"/>
      <c r="R195" s="217"/>
    </row>
    <row r="196" spans="7:18">
      <c r="N196" s="218"/>
      <c r="O196" s="219"/>
      <c r="P196" s="219"/>
      <c r="Q196" s="219"/>
      <c r="R196" s="220"/>
    </row>
    <row r="197" spans="7:18">
      <c r="N197" s="218"/>
      <c r="O197" s="219"/>
      <c r="P197" s="219"/>
      <c r="Q197" s="219"/>
      <c r="R197" s="220"/>
    </row>
    <row r="198" spans="7:18">
      <c r="N198" s="218"/>
      <c r="O198" s="219"/>
      <c r="P198" s="219"/>
      <c r="Q198" s="219"/>
      <c r="R198" s="220"/>
    </row>
    <row r="199" spans="7:18">
      <c r="N199" s="218"/>
      <c r="O199" s="219"/>
      <c r="P199" s="219"/>
      <c r="Q199" s="219"/>
      <c r="R199" s="220"/>
    </row>
    <row r="200" spans="7:18">
      <c r="N200" s="218"/>
      <c r="O200" s="219"/>
      <c r="P200" s="219"/>
      <c r="Q200" s="219"/>
      <c r="R200" s="220"/>
    </row>
    <row r="201" spans="7:18" ht="15" thickBot="1">
      <c r="N201" s="221"/>
      <c r="O201" s="222"/>
      <c r="P201" s="222"/>
      <c r="Q201" s="222"/>
      <c r="R201" s="223"/>
    </row>
    <row r="204" spans="7:18">
      <c r="G204" s="44" t="s">
        <v>116</v>
      </c>
    </row>
    <row r="206" spans="7:18" ht="15">
      <c r="I206" s="100"/>
      <c r="J206" s="106"/>
      <c r="L206" s="21" t="s">
        <v>118</v>
      </c>
    </row>
    <row r="207" spans="7:18" ht="15">
      <c r="L207" s="21" t="s">
        <v>117</v>
      </c>
      <c r="M207">
        <v>0.99978199999999995</v>
      </c>
    </row>
    <row r="208" spans="7:18" ht="15" thickBot="1"/>
    <row r="209" spans="7:22">
      <c r="J209" s="224" t="s">
        <v>119</v>
      </c>
      <c r="K209" s="224"/>
      <c r="L209" s="224"/>
      <c r="N209" s="225" t="s">
        <v>120</v>
      </c>
      <c r="O209" s="225"/>
      <c r="Q209" s="226" t="s">
        <v>122</v>
      </c>
      <c r="R209" s="227"/>
      <c r="S209" s="227"/>
      <c r="T209" s="227"/>
      <c r="U209" s="227"/>
      <c r="V209" s="228"/>
    </row>
    <row r="210" spans="7:22">
      <c r="J210" s="224"/>
      <c r="K210" s="224"/>
      <c r="L210" s="224"/>
      <c r="N210" s="225"/>
      <c r="O210" s="225"/>
      <c r="Q210" s="229"/>
      <c r="R210" s="230"/>
      <c r="S210" s="230"/>
      <c r="T210" s="230"/>
      <c r="U210" s="230"/>
      <c r="V210" s="231"/>
    </row>
    <row r="211" spans="7:22">
      <c r="Q211" s="229"/>
      <c r="R211" s="230"/>
      <c r="S211" s="230"/>
      <c r="T211" s="230"/>
      <c r="U211" s="230"/>
      <c r="V211" s="231"/>
    </row>
    <row r="212" spans="7:22">
      <c r="Q212" s="229"/>
      <c r="R212" s="230"/>
      <c r="S212" s="230"/>
      <c r="T212" s="230"/>
      <c r="U212" s="230"/>
      <c r="V212" s="231"/>
    </row>
    <row r="213" spans="7:22">
      <c r="Q213" s="229"/>
      <c r="R213" s="230"/>
      <c r="S213" s="230"/>
      <c r="T213" s="230"/>
      <c r="U213" s="230"/>
      <c r="V213" s="231"/>
    </row>
    <row r="214" spans="7:22">
      <c r="Q214" s="229"/>
      <c r="R214" s="230"/>
      <c r="S214" s="230"/>
      <c r="T214" s="230"/>
      <c r="U214" s="230"/>
      <c r="V214" s="231"/>
    </row>
    <row r="215" spans="7:22" ht="15" thickBot="1">
      <c r="Q215" s="232"/>
      <c r="R215" s="233"/>
      <c r="S215" s="233"/>
      <c r="T215" s="233"/>
      <c r="U215" s="233"/>
      <c r="V215" s="234"/>
    </row>
    <row r="218" spans="7:22" ht="15" thickBot="1"/>
    <row r="219" spans="7:22" ht="15.75" thickBot="1">
      <c r="K219" s="206" t="s">
        <v>121</v>
      </c>
      <c r="L219" s="207"/>
      <c r="M219" s="208"/>
    </row>
    <row r="221" spans="7:22">
      <c r="G221" s="44" t="s">
        <v>123</v>
      </c>
    </row>
    <row r="222" spans="7:22" ht="15" thickBot="1"/>
    <row r="223" spans="7:22" ht="14.45" customHeight="1">
      <c r="J223" s="197" t="s">
        <v>124</v>
      </c>
      <c r="K223" s="198"/>
      <c r="L223" s="198"/>
      <c r="M223" s="198"/>
      <c r="N223" s="198"/>
      <c r="O223" s="199"/>
    </row>
    <row r="224" spans="7:22">
      <c r="J224" s="200"/>
      <c r="K224" s="201"/>
      <c r="L224" s="201"/>
      <c r="M224" s="201"/>
      <c r="N224" s="201"/>
      <c r="O224" s="202"/>
    </row>
    <row r="225" spans="7:15">
      <c r="J225" s="200"/>
      <c r="K225" s="201"/>
      <c r="L225" s="201"/>
      <c r="M225" s="201"/>
      <c r="N225" s="201"/>
      <c r="O225" s="202"/>
    </row>
    <row r="226" spans="7:15">
      <c r="J226" s="200"/>
      <c r="K226" s="201"/>
      <c r="L226" s="201"/>
      <c r="M226" s="201"/>
      <c r="N226" s="201"/>
      <c r="O226" s="202"/>
    </row>
    <row r="227" spans="7:15">
      <c r="J227" s="200"/>
      <c r="K227" s="201"/>
      <c r="L227" s="201"/>
      <c r="M227" s="201"/>
      <c r="N227" s="201"/>
      <c r="O227" s="202"/>
    </row>
    <row r="228" spans="7:15">
      <c r="J228" s="200"/>
      <c r="K228" s="201"/>
      <c r="L228" s="201"/>
      <c r="M228" s="201"/>
      <c r="N228" s="201"/>
      <c r="O228" s="202"/>
    </row>
    <row r="229" spans="7:15" ht="15" thickBot="1">
      <c r="J229" s="203"/>
      <c r="K229" s="204"/>
      <c r="L229" s="204"/>
      <c r="M229" s="204"/>
      <c r="N229" s="204"/>
      <c r="O229" s="205"/>
    </row>
    <row r="232" spans="7:15">
      <c r="G232" s="44" t="s">
        <v>125</v>
      </c>
    </row>
    <row r="234" spans="7:15" ht="15" thickBot="1"/>
    <row r="235" spans="7:15" ht="15" thickBot="1">
      <c r="J235" s="57" t="s">
        <v>69</v>
      </c>
      <c r="K235" s="58"/>
      <c r="L235" s="58"/>
      <c r="M235" s="58"/>
      <c r="N235" s="58"/>
      <c r="O235" s="59"/>
    </row>
    <row r="236" spans="7:15">
      <c r="J236" s="75"/>
      <c r="K236" s="73" t="s">
        <v>74</v>
      </c>
      <c r="L236" s="73" t="s">
        <v>75</v>
      </c>
      <c r="M236" s="73" t="s">
        <v>76</v>
      </c>
      <c r="N236" s="73" t="s">
        <v>77</v>
      </c>
      <c r="O236" s="76" t="s">
        <v>78</v>
      </c>
    </row>
    <row r="237" spans="7:15">
      <c r="J237" s="77" t="s">
        <v>70</v>
      </c>
      <c r="K237">
        <v>5</v>
      </c>
      <c r="L237">
        <v>5515.3975</v>
      </c>
      <c r="M237">
        <v>1103.0795000000001</v>
      </c>
      <c r="N237">
        <v>9173.2182952183302</v>
      </c>
      <c r="O237" s="79">
        <v>5.7711846854536388E-18</v>
      </c>
    </row>
    <row r="238" spans="7:15">
      <c r="J238" s="77" t="s">
        <v>71</v>
      </c>
      <c r="K238">
        <v>10</v>
      </c>
      <c r="L238">
        <v>1.2024999999999955</v>
      </c>
      <c r="M238">
        <v>0.12024999999999955</v>
      </c>
      <c r="O238" s="79"/>
    </row>
    <row r="239" spans="7:15" ht="15" thickBot="1">
      <c r="J239" s="30" t="s">
        <v>72</v>
      </c>
      <c r="K239" s="72">
        <v>15</v>
      </c>
      <c r="L239" s="72">
        <v>5516.6</v>
      </c>
      <c r="M239" s="72"/>
      <c r="N239" s="72"/>
      <c r="O239" s="80"/>
    </row>
    <row r="240" spans="7:15">
      <c r="J240" s="109"/>
      <c r="K240" s="109"/>
      <c r="L240" s="109"/>
      <c r="M240" s="109"/>
      <c r="N240" s="109"/>
      <c r="O240" s="109"/>
    </row>
    <row r="241" spans="10:21" ht="15">
      <c r="J241" s="21" t="s">
        <v>131</v>
      </c>
      <c r="K241" s="109"/>
      <c r="L241" s="109"/>
      <c r="M241" s="109"/>
      <c r="N241" s="109"/>
      <c r="O241" s="109"/>
    </row>
    <row r="242" spans="10:21">
      <c r="J242" t="s">
        <v>132</v>
      </c>
      <c r="K242" s="109"/>
      <c r="L242" s="109"/>
      <c r="M242" s="109"/>
      <c r="N242" s="109"/>
      <c r="O242" s="109"/>
    </row>
    <row r="243" spans="10:21">
      <c r="J243" s="109"/>
      <c r="K243" s="109"/>
      <c r="L243" s="109"/>
      <c r="M243" s="109"/>
      <c r="N243" s="109"/>
      <c r="O243" s="109"/>
    </row>
    <row r="245" spans="10:21">
      <c r="J245" t="s">
        <v>126</v>
      </c>
      <c r="L245">
        <f>M237</f>
        <v>1103.0795000000001</v>
      </c>
      <c r="N245" t="s">
        <v>134</v>
      </c>
      <c r="R245" s="187"/>
      <c r="S245" s="187"/>
      <c r="T245" s="187"/>
      <c r="U245" s="187"/>
    </row>
    <row r="246" spans="10:21">
      <c r="J246" t="s">
        <v>127</v>
      </c>
      <c r="L246">
        <f>M238</f>
        <v>0.12024999999999955</v>
      </c>
      <c r="N246" t="s">
        <v>268</v>
      </c>
      <c r="R246" s="187"/>
      <c r="S246" s="187"/>
      <c r="T246" s="187"/>
      <c r="U246" s="187"/>
    </row>
    <row r="247" spans="10:21">
      <c r="J247" t="s">
        <v>128</v>
      </c>
      <c r="L247">
        <f>O237</f>
        <v>5.7711846854536388E-18</v>
      </c>
      <c r="R247" s="187"/>
      <c r="S247" s="187"/>
      <c r="T247" s="187"/>
      <c r="U247" s="187"/>
    </row>
    <row r="248" spans="10:21">
      <c r="J248" t="s">
        <v>129</v>
      </c>
      <c r="L248">
        <f>N237</f>
        <v>9173.2182952183302</v>
      </c>
    </row>
    <row r="249" spans="10:21">
      <c r="J249" t="s">
        <v>267</v>
      </c>
      <c r="L249">
        <f>_xlfn.F.INV(0.95,K237,K238)</f>
        <v>3.3258345304130126</v>
      </c>
    </row>
    <row r="250" spans="10:21">
      <c r="J250" t="s">
        <v>130</v>
      </c>
      <c r="L250" t="s">
        <v>133</v>
      </c>
    </row>
    <row r="251" spans="10:21" ht="15">
      <c r="J251" s="20" t="s">
        <v>128</v>
      </c>
      <c r="K251" s="185">
        <f>L247</f>
        <v>5.7711846854536388E-18</v>
      </c>
      <c r="L251" s="56" t="s">
        <v>151</v>
      </c>
      <c r="M251" s="56" t="s">
        <v>266</v>
      </c>
    </row>
    <row r="252" spans="10:21" ht="15" thickBot="1"/>
    <row r="253" spans="10:21" ht="14.45" customHeight="1">
      <c r="J253" s="197" t="s">
        <v>265</v>
      </c>
      <c r="K253" s="198"/>
      <c r="L253" s="199"/>
    </row>
    <row r="254" spans="10:21">
      <c r="J254" s="200"/>
      <c r="K254" s="201"/>
      <c r="L254" s="202"/>
    </row>
    <row r="255" spans="10:21">
      <c r="J255" s="200"/>
      <c r="K255" s="201"/>
      <c r="L255" s="202"/>
    </row>
    <row r="256" spans="10:21">
      <c r="J256" s="200"/>
      <c r="K256" s="201"/>
      <c r="L256" s="202"/>
    </row>
    <row r="257" spans="7:20" ht="15" thickBot="1">
      <c r="J257" s="203"/>
      <c r="K257" s="204"/>
      <c r="L257" s="205"/>
    </row>
    <row r="262" spans="7:20">
      <c r="G262" s="44" t="s">
        <v>135</v>
      </c>
    </row>
    <row r="263" spans="7:20" ht="15" thickBot="1"/>
    <row r="264" spans="7:20" ht="15.75" thickBot="1">
      <c r="J264" s="35" t="s">
        <v>21</v>
      </c>
      <c r="K264" s="36" t="s">
        <v>22</v>
      </c>
      <c r="L264" s="36" t="s">
        <v>23</v>
      </c>
      <c r="M264" s="71" t="s">
        <v>43</v>
      </c>
      <c r="N264" s="71" t="s">
        <v>44</v>
      </c>
      <c r="O264" s="121" t="s">
        <v>24</v>
      </c>
      <c r="P264" s="136" t="s">
        <v>137</v>
      </c>
      <c r="Q264" s="137" t="s">
        <v>138</v>
      </c>
      <c r="S264" t="s">
        <v>62</v>
      </c>
    </row>
    <row r="265" spans="7:20" ht="15" thickBot="1">
      <c r="J265" s="32">
        <v>-1</v>
      </c>
      <c r="K265" s="33">
        <v>-1</v>
      </c>
      <c r="L265" s="33">
        <v>-1</v>
      </c>
      <c r="M265" s="33">
        <f t="shared" ref="M265:M280" si="20">J265*L265</f>
        <v>1</v>
      </c>
      <c r="N265" s="33">
        <f t="shared" ref="N265:N280" si="21">K265*L265</f>
        <v>1</v>
      </c>
      <c r="O265" s="122">
        <v>36.799999999999997</v>
      </c>
      <c r="P265" s="134">
        <f>DEVSQ(O265,O267)</f>
        <v>602.04500000000007</v>
      </c>
      <c r="Q265" s="135">
        <v>2</v>
      </c>
    </row>
    <row r="266" spans="7:20">
      <c r="J266" s="24">
        <v>-1</v>
      </c>
      <c r="K266" s="25">
        <v>-1</v>
      </c>
      <c r="L266" s="25">
        <v>-1</v>
      </c>
      <c r="M266" s="25">
        <f t="shared" si="20"/>
        <v>1</v>
      </c>
      <c r="N266" s="25">
        <f t="shared" si="21"/>
        <v>1</v>
      </c>
      <c r="O266" s="123">
        <v>37.1</v>
      </c>
      <c r="P266" s="130">
        <f>DEVSQ(O266,O268)</f>
        <v>609.00499999999988</v>
      </c>
      <c r="Q266" s="69"/>
      <c r="S266" s="143" t="s">
        <v>63</v>
      </c>
      <c r="T266" s="143"/>
    </row>
    <row r="267" spans="7:20">
      <c r="J267" s="24">
        <v>-1</v>
      </c>
      <c r="K267" s="25">
        <v>-1</v>
      </c>
      <c r="L267" s="25">
        <v>1</v>
      </c>
      <c r="M267" s="25">
        <f t="shared" si="20"/>
        <v>-1</v>
      </c>
      <c r="N267" s="25">
        <f t="shared" si="21"/>
        <v>-1</v>
      </c>
      <c r="O267" s="123">
        <v>71.5</v>
      </c>
      <c r="P267" s="130"/>
      <c r="Q267" s="69"/>
      <c r="S267" s="140" t="s">
        <v>64</v>
      </c>
      <c r="T267" s="140">
        <v>0.99960000777351832</v>
      </c>
    </row>
    <row r="268" spans="7:20">
      <c r="J268" s="24">
        <v>-1</v>
      </c>
      <c r="K268" s="25">
        <v>-1</v>
      </c>
      <c r="L268" s="25">
        <v>1</v>
      </c>
      <c r="M268" s="25">
        <f t="shared" si="20"/>
        <v>-1</v>
      </c>
      <c r="N268" s="25">
        <f t="shared" si="21"/>
        <v>-1</v>
      </c>
      <c r="O268" s="123">
        <v>72</v>
      </c>
      <c r="P268" s="130"/>
      <c r="Q268" s="69"/>
      <c r="S268" s="140" t="s">
        <v>65</v>
      </c>
      <c r="T268" s="140">
        <v>0.99920017554081797</v>
      </c>
    </row>
    <row r="269" spans="7:20">
      <c r="J269" s="24">
        <v>-1</v>
      </c>
      <c r="K269" s="25">
        <v>1</v>
      </c>
      <c r="L269" s="25">
        <v>-1</v>
      </c>
      <c r="M269" s="25">
        <f t="shared" si="20"/>
        <v>1</v>
      </c>
      <c r="N269" s="25">
        <f t="shared" si="21"/>
        <v>-1</v>
      </c>
      <c r="O269" s="123">
        <v>39.200000000000003</v>
      </c>
      <c r="P269" s="130">
        <f>DEVSQ(O269,O271)</f>
        <v>669.77999999999975</v>
      </c>
      <c r="Q269" s="69">
        <v>2</v>
      </c>
      <c r="S269" s="140" t="s">
        <v>66</v>
      </c>
      <c r="T269" s="140">
        <v>0.99893356738775718</v>
      </c>
    </row>
    <row r="270" spans="7:20">
      <c r="J270" s="24">
        <v>-1</v>
      </c>
      <c r="K270" s="25">
        <v>1</v>
      </c>
      <c r="L270" s="25">
        <v>-1</v>
      </c>
      <c r="M270" s="25">
        <f t="shared" si="20"/>
        <v>1</v>
      </c>
      <c r="N270" s="25">
        <f t="shared" si="21"/>
        <v>-1</v>
      </c>
      <c r="O270" s="123">
        <v>39.6</v>
      </c>
      <c r="P270" s="130">
        <f>DEVSQ(O270,O272)</f>
        <v>673.44499999999982</v>
      </c>
      <c r="Q270" s="69"/>
      <c r="S270" s="140" t="s">
        <v>67</v>
      </c>
      <c r="T270" s="140">
        <v>0.54251764655667978</v>
      </c>
    </row>
    <row r="271" spans="7:20" ht="15" thickBot="1">
      <c r="J271" s="24">
        <v>-1</v>
      </c>
      <c r="K271" s="25">
        <v>1</v>
      </c>
      <c r="L271" s="25">
        <v>1</v>
      </c>
      <c r="M271" s="25">
        <f t="shared" si="20"/>
        <v>-1</v>
      </c>
      <c r="N271" s="25">
        <f t="shared" si="21"/>
        <v>1</v>
      </c>
      <c r="O271" s="123">
        <v>75.8</v>
      </c>
      <c r="P271" s="130"/>
      <c r="Q271" s="69"/>
      <c r="S271" s="141" t="s">
        <v>68</v>
      </c>
      <c r="T271" s="141">
        <v>21</v>
      </c>
    </row>
    <row r="272" spans="7:20">
      <c r="J272" s="24">
        <v>-1</v>
      </c>
      <c r="K272" s="25">
        <v>1</v>
      </c>
      <c r="L272" s="25">
        <v>1</v>
      </c>
      <c r="M272" s="25">
        <f t="shared" si="20"/>
        <v>-1</v>
      </c>
      <c r="N272" s="25">
        <f t="shared" si="21"/>
        <v>1</v>
      </c>
      <c r="O272" s="123">
        <v>76.3</v>
      </c>
      <c r="P272" s="130"/>
      <c r="Q272" s="69"/>
    </row>
    <row r="273" spans="10:27" ht="15" thickBot="1">
      <c r="J273" s="24">
        <v>1</v>
      </c>
      <c r="K273" s="25">
        <v>-1</v>
      </c>
      <c r="L273" s="25">
        <v>-1</v>
      </c>
      <c r="M273" s="25">
        <f t="shared" si="20"/>
        <v>-1</v>
      </c>
      <c r="N273" s="25">
        <f t="shared" si="21"/>
        <v>1</v>
      </c>
      <c r="O273" s="123">
        <v>38.9</v>
      </c>
      <c r="P273" s="130">
        <f>DEVSQ(O273,O275)</f>
        <v>703.12500000000023</v>
      </c>
      <c r="Q273" s="69">
        <v>2</v>
      </c>
      <c r="S273" t="s">
        <v>69</v>
      </c>
    </row>
    <row r="274" spans="10:27">
      <c r="J274" s="24">
        <v>1</v>
      </c>
      <c r="K274" s="25">
        <v>-1</v>
      </c>
      <c r="L274" s="25">
        <v>-1</v>
      </c>
      <c r="M274" s="25">
        <f t="shared" si="20"/>
        <v>-1</v>
      </c>
      <c r="N274" s="25">
        <f t="shared" si="21"/>
        <v>1</v>
      </c>
      <c r="O274" s="123">
        <v>39.299999999999997</v>
      </c>
      <c r="P274" s="130">
        <f>DEVSQ(O274,O276)</f>
        <v>706.88000000000034</v>
      </c>
      <c r="Q274" s="69"/>
      <c r="S274" s="142"/>
      <c r="T274" s="142" t="s">
        <v>74</v>
      </c>
      <c r="U274" s="142" t="s">
        <v>75</v>
      </c>
      <c r="V274" s="142" t="s">
        <v>76</v>
      </c>
      <c r="W274" s="142" t="s">
        <v>77</v>
      </c>
      <c r="X274" s="142" t="s">
        <v>78</v>
      </c>
    </row>
    <row r="275" spans="10:27">
      <c r="J275" s="24">
        <v>1</v>
      </c>
      <c r="K275" s="25">
        <v>-1</v>
      </c>
      <c r="L275" s="25">
        <v>1</v>
      </c>
      <c r="M275" s="25">
        <f t="shared" si="20"/>
        <v>1</v>
      </c>
      <c r="N275" s="25">
        <f t="shared" si="21"/>
        <v>-1</v>
      </c>
      <c r="O275" s="123">
        <v>76.400000000000006</v>
      </c>
      <c r="P275" s="130"/>
      <c r="Q275" s="69"/>
      <c r="S275" s="140" t="s">
        <v>70</v>
      </c>
      <c r="T275" s="140">
        <v>5</v>
      </c>
      <c r="U275" s="140">
        <v>5515.3975</v>
      </c>
      <c r="V275" s="140">
        <v>1103.0795000000001</v>
      </c>
      <c r="W275" s="140">
        <v>3747.8230281784872</v>
      </c>
      <c r="X275" s="140">
        <v>1.1506227676901411E-22</v>
      </c>
    </row>
    <row r="276" spans="10:27">
      <c r="J276" s="24">
        <v>1</v>
      </c>
      <c r="K276" s="25">
        <v>-1</v>
      </c>
      <c r="L276" s="25">
        <v>1</v>
      </c>
      <c r="M276" s="25">
        <f t="shared" si="20"/>
        <v>1</v>
      </c>
      <c r="N276" s="25">
        <f t="shared" si="21"/>
        <v>-1</v>
      </c>
      <c r="O276" s="123">
        <v>76.900000000000006</v>
      </c>
      <c r="P276" s="130"/>
      <c r="Q276" s="69"/>
      <c r="S276" s="140" t="s">
        <v>71</v>
      </c>
      <c r="T276" s="140">
        <v>15</v>
      </c>
      <c r="U276" s="140">
        <v>4.4148809523809778</v>
      </c>
      <c r="V276" s="140">
        <v>0.29432539682539854</v>
      </c>
      <c r="W276" s="140"/>
      <c r="X276" s="140"/>
    </row>
    <row r="277" spans="10:27" ht="15" thickBot="1">
      <c r="J277" s="24">
        <v>1</v>
      </c>
      <c r="K277" s="25">
        <v>1</v>
      </c>
      <c r="L277" s="25">
        <v>-1</v>
      </c>
      <c r="M277" s="25">
        <f t="shared" si="20"/>
        <v>-1</v>
      </c>
      <c r="N277" s="25">
        <f t="shared" si="21"/>
        <v>-1</v>
      </c>
      <c r="O277" s="123">
        <v>41.5</v>
      </c>
      <c r="P277" s="130">
        <f>DEVSQ(O277,O279)</f>
        <v>733.44499999999994</v>
      </c>
      <c r="Q277" s="69">
        <v>2</v>
      </c>
      <c r="S277" s="141" t="s">
        <v>72</v>
      </c>
      <c r="T277" s="141">
        <v>20</v>
      </c>
      <c r="U277" s="141">
        <v>5519.8123809523813</v>
      </c>
      <c r="V277" s="141"/>
      <c r="W277" s="141"/>
      <c r="X277" s="141"/>
    </row>
    <row r="278" spans="10:27" ht="15" thickBot="1">
      <c r="J278" s="24">
        <v>1</v>
      </c>
      <c r="K278" s="25">
        <v>1</v>
      </c>
      <c r="L278" s="25">
        <v>-1</v>
      </c>
      <c r="M278" s="25">
        <f t="shared" si="20"/>
        <v>-1</v>
      </c>
      <c r="N278" s="25">
        <f t="shared" si="21"/>
        <v>-1</v>
      </c>
      <c r="O278" s="123">
        <v>41.9</v>
      </c>
      <c r="P278" s="130">
        <f>DEVSQ(O278,O280)</f>
        <v>733.44500000000016</v>
      </c>
      <c r="Q278" s="69"/>
    </row>
    <row r="279" spans="10:27">
      <c r="J279" s="24">
        <v>1</v>
      </c>
      <c r="K279" s="25">
        <v>1</v>
      </c>
      <c r="L279" s="25">
        <v>1</v>
      </c>
      <c r="M279" s="25">
        <f t="shared" si="20"/>
        <v>1</v>
      </c>
      <c r="N279" s="25">
        <f t="shared" si="21"/>
        <v>1</v>
      </c>
      <c r="O279" s="123">
        <v>79.8</v>
      </c>
      <c r="P279" s="130"/>
      <c r="Q279" s="69"/>
      <c r="S279" s="142"/>
      <c r="T279" s="142" t="s">
        <v>79</v>
      </c>
      <c r="U279" s="142" t="s">
        <v>67</v>
      </c>
      <c r="V279" s="142" t="s">
        <v>80</v>
      </c>
      <c r="W279" s="142" t="s">
        <v>81</v>
      </c>
      <c r="X279" s="142" t="s">
        <v>82</v>
      </c>
      <c r="Y279" s="142" t="s">
        <v>83</v>
      </c>
      <c r="Z279" s="142" t="s">
        <v>84</v>
      </c>
      <c r="AA279" s="142" t="s">
        <v>85</v>
      </c>
    </row>
    <row r="280" spans="10:27" ht="15" thickBot="1">
      <c r="J280" s="110">
        <v>1</v>
      </c>
      <c r="K280" s="111">
        <v>1</v>
      </c>
      <c r="L280" s="111">
        <v>1</v>
      </c>
      <c r="M280" s="111">
        <f t="shared" si="20"/>
        <v>1</v>
      </c>
      <c r="N280" s="111">
        <f t="shared" si="21"/>
        <v>1</v>
      </c>
      <c r="O280" s="124">
        <v>80.2</v>
      </c>
      <c r="P280" s="130"/>
      <c r="Q280" s="69"/>
      <c r="S280" s="140" t="s">
        <v>73</v>
      </c>
      <c r="T280" s="140">
        <v>57.74761904761904</v>
      </c>
      <c r="U280" s="140">
        <v>0.11838705624739446</v>
      </c>
      <c r="V280" s="140">
        <v>487.7865949039508</v>
      </c>
      <c r="W280" s="140">
        <v>6.3636281444659175E-33</v>
      </c>
      <c r="X280" s="140">
        <v>57.495283010380369</v>
      </c>
      <c r="Y280" s="140">
        <v>57.99995508485771</v>
      </c>
      <c r="Z280" s="140">
        <v>57.495283010380369</v>
      </c>
      <c r="AA280" s="140">
        <v>57.99995508485771</v>
      </c>
    </row>
    <row r="281" spans="10:27">
      <c r="J281" s="113">
        <v>0</v>
      </c>
      <c r="K281" s="114">
        <v>0</v>
      </c>
      <c r="L281" s="114">
        <v>0</v>
      </c>
      <c r="M281" s="114">
        <v>0</v>
      </c>
      <c r="N281" s="115">
        <v>0</v>
      </c>
      <c r="O281" s="125">
        <v>57.4</v>
      </c>
      <c r="P281" s="130">
        <f>DEVSQ(O281:O285)</f>
        <v>3.0600000000000089</v>
      </c>
      <c r="Q281" s="133">
        <v>4</v>
      </c>
      <c r="S281" s="140" t="s">
        <v>139</v>
      </c>
      <c r="T281" s="140">
        <v>1.6625000000000014</v>
      </c>
      <c r="U281" s="140">
        <v>0.13562941163916994</v>
      </c>
      <c r="V281" s="140">
        <v>12.257665796139673</v>
      </c>
      <c r="W281" s="140">
        <v>3.2316376809781516E-9</v>
      </c>
      <c r="X281" s="140">
        <v>1.3734127521971531</v>
      </c>
      <c r="Y281" s="140">
        <v>1.9515872478028498</v>
      </c>
      <c r="Z281" s="140">
        <v>1.3734127521971531</v>
      </c>
      <c r="AA281" s="140">
        <v>1.9515872478028498</v>
      </c>
    </row>
    <row r="282" spans="10:27">
      <c r="J282" s="116">
        <v>0</v>
      </c>
      <c r="K282" s="112">
        <v>0</v>
      </c>
      <c r="L282" s="112">
        <v>0</v>
      </c>
      <c r="M282" s="112">
        <v>0</v>
      </c>
      <c r="N282" s="117">
        <v>0</v>
      </c>
      <c r="O282" s="126">
        <v>59.1</v>
      </c>
      <c r="P282" s="130"/>
      <c r="Q282" s="69"/>
      <c r="S282" s="140" t="s">
        <v>140</v>
      </c>
      <c r="T282" s="140">
        <v>1.587499999999999</v>
      </c>
      <c r="U282" s="140">
        <v>0.13562941163916994</v>
      </c>
      <c r="V282" s="140">
        <v>11.704688391802527</v>
      </c>
      <c r="W282" s="140">
        <v>6.0719430163127988E-9</v>
      </c>
      <c r="X282" s="140">
        <v>1.2984127521971507</v>
      </c>
      <c r="Y282" s="140">
        <v>1.8765872478028474</v>
      </c>
      <c r="Z282" s="140">
        <v>1.2984127521971507</v>
      </c>
      <c r="AA282" s="140">
        <v>1.8765872478028474</v>
      </c>
    </row>
    <row r="283" spans="10:27">
      <c r="J283" s="116">
        <v>0</v>
      </c>
      <c r="K283" s="112">
        <v>0</v>
      </c>
      <c r="L283" s="112">
        <v>0</v>
      </c>
      <c r="M283" s="112">
        <v>0</v>
      </c>
      <c r="N283" s="117">
        <v>0</v>
      </c>
      <c r="O283" s="126">
        <v>56.8</v>
      </c>
      <c r="P283" s="130"/>
      <c r="Q283" s="69"/>
      <c r="S283" s="140" t="s">
        <v>141</v>
      </c>
      <c r="T283" s="140">
        <v>18.412499999999994</v>
      </c>
      <c r="U283" s="140">
        <v>0.13562941163916994</v>
      </c>
      <c r="V283" s="140">
        <v>135.7559527647648</v>
      </c>
      <c r="W283" s="140">
        <v>1.3597799464403357E-24</v>
      </c>
      <c r="X283" s="140">
        <v>18.123412752197147</v>
      </c>
      <c r="Y283" s="140">
        <v>18.701587247802841</v>
      </c>
      <c r="Z283" s="140">
        <v>18.123412752197147</v>
      </c>
      <c r="AA283" s="140">
        <v>18.701587247802841</v>
      </c>
    </row>
    <row r="284" spans="10:27">
      <c r="J284" s="116">
        <v>0</v>
      </c>
      <c r="K284" s="112">
        <v>0</v>
      </c>
      <c r="L284" s="112">
        <v>0</v>
      </c>
      <c r="M284" s="112">
        <v>0</v>
      </c>
      <c r="N284" s="117">
        <v>0</v>
      </c>
      <c r="O284" s="126">
        <v>58.3</v>
      </c>
      <c r="P284" s="130"/>
      <c r="Q284" s="69"/>
      <c r="S284" s="140" t="s">
        <v>142</v>
      </c>
      <c r="T284" s="140">
        <v>0.55000000000000249</v>
      </c>
      <c r="U284" s="140">
        <v>0.13562941163916994</v>
      </c>
      <c r="V284" s="140">
        <v>4.0551676318056211</v>
      </c>
      <c r="W284" s="140">
        <v>1.0363650801536769E-3</v>
      </c>
      <c r="X284" s="140">
        <v>0.26091275219715415</v>
      </c>
      <c r="Y284" s="140">
        <v>0.83908724780285082</v>
      </c>
      <c r="Z284" s="140">
        <v>0.26091275219715415</v>
      </c>
      <c r="AA284" s="140">
        <v>0.83908724780285082</v>
      </c>
    </row>
    <row r="285" spans="10:27" ht="15" thickBot="1">
      <c r="J285" s="118">
        <v>0</v>
      </c>
      <c r="K285" s="119">
        <v>0</v>
      </c>
      <c r="L285" s="119">
        <v>0</v>
      </c>
      <c r="M285" s="119">
        <v>0</v>
      </c>
      <c r="N285" s="120">
        <v>0</v>
      </c>
      <c r="O285" s="127">
        <v>57.9</v>
      </c>
      <c r="P285" s="131"/>
      <c r="Q285" s="128"/>
      <c r="S285" s="141" t="s">
        <v>143</v>
      </c>
      <c r="T285" s="141">
        <v>0.32499999999999896</v>
      </c>
      <c r="U285" s="141">
        <v>0.13562941163916994</v>
      </c>
      <c r="V285" s="141">
        <v>2.3962354187942121</v>
      </c>
      <c r="W285" s="141">
        <v>3.004514487529342E-2</v>
      </c>
      <c r="X285" s="141">
        <v>3.5912752197150621E-2</v>
      </c>
      <c r="Y285" s="141">
        <v>0.61408724780284729</v>
      </c>
      <c r="Z285" s="141">
        <v>3.5912752197150621E-2</v>
      </c>
      <c r="AA285" s="141">
        <v>0.61408724780284729</v>
      </c>
    </row>
    <row r="286" spans="10:27" ht="15" thickBot="1">
      <c r="O286" s="129" t="s">
        <v>136</v>
      </c>
      <c r="P286" s="132">
        <f>SUM(P265:P285)</f>
        <v>5434.2300000000005</v>
      </c>
      <c r="Q286" s="138">
        <f>SUM(Q264:Q285)</f>
        <v>12</v>
      </c>
    </row>
    <row r="289" spans="10:22" ht="15">
      <c r="J289" t="s">
        <v>144</v>
      </c>
      <c r="L289" s="144" t="s">
        <v>131</v>
      </c>
    </row>
    <row r="290" spans="10:22">
      <c r="K290" t="s">
        <v>74</v>
      </c>
      <c r="L290" t="s">
        <v>75</v>
      </c>
      <c r="M290" t="s">
        <v>76</v>
      </c>
      <c r="N290" t="s">
        <v>77</v>
      </c>
      <c r="O290" t="s">
        <v>145</v>
      </c>
      <c r="P290" t="s">
        <v>146</v>
      </c>
    </row>
    <row r="291" spans="10:22">
      <c r="J291" s="145" t="s">
        <v>147</v>
      </c>
      <c r="K291">
        <f>T276-Q286</f>
        <v>3</v>
      </c>
      <c r="L291">
        <f>U277-L292</f>
        <v>85.582380952380845</v>
      </c>
      <c r="M291">
        <f>L291/K291</f>
        <v>28.527460317460282</v>
      </c>
      <c r="N291">
        <f>M291/M292</f>
        <v>6.29950377163873E-2</v>
      </c>
      <c r="O291">
        <f>_xlfn.F.INV(0.95,K291,K292)</f>
        <v>3.4902948194976031</v>
      </c>
      <c r="P291">
        <f>X275</f>
        <v>1.1506227676901411E-22</v>
      </c>
      <c r="R291" s="186"/>
      <c r="S291" s="186"/>
      <c r="T291" s="186"/>
      <c r="U291" s="186"/>
      <c r="V291" s="186"/>
    </row>
    <row r="292" spans="10:22">
      <c r="J292" s="145" t="s">
        <v>148</v>
      </c>
      <c r="K292">
        <v>12</v>
      </c>
      <c r="L292">
        <f>P286</f>
        <v>5434.2300000000005</v>
      </c>
      <c r="M292">
        <f>L292/K292</f>
        <v>452.85250000000002</v>
      </c>
      <c r="R292" s="186"/>
      <c r="S292" s="186"/>
      <c r="T292" s="186"/>
      <c r="U292" s="186"/>
      <c r="V292" s="186"/>
    </row>
    <row r="293" spans="10:22">
      <c r="R293" s="186"/>
      <c r="S293" s="186"/>
      <c r="T293" s="186"/>
      <c r="U293" s="186"/>
      <c r="V293" s="186"/>
    </row>
    <row r="294" spans="10:22" ht="15">
      <c r="J294" s="21" t="s">
        <v>149</v>
      </c>
      <c r="K294" s="56"/>
      <c r="R294" s="186"/>
      <c r="S294" s="186"/>
      <c r="T294" s="186"/>
      <c r="U294" s="186"/>
      <c r="V294" s="186"/>
    </row>
    <row r="295" spans="10:22" ht="15">
      <c r="K295" s="56"/>
      <c r="R295" s="186"/>
      <c r="S295" s="186"/>
      <c r="T295" s="186"/>
      <c r="U295" s="186"/>
      <c r="V295" s="186"/>
    </row>
    <row r="296" spans="10:22">
      <c r="J296" s="22" t="s">
        <v>150</v>
      </c>
      <c r="K296" s="22">
        <f>N291</f>
        <v>6.29950377163873E-2</v>
      </c>
      <c r="L296" s="13" t="s">
        <v>151</v>
      </c>
      <c r="M296" s="145">
        <f>O291</f>
        <v>3.4902948194976031</v>
      </c>
      <c r="N296" t="s">
        <v>152</v>
      </c>
      <c r="R296" s="186"/>
      <c r="S296" s="186"/>
      <c r="T296" s="186"/>
      <c r="U296" s="186"/>
      <c r="V296" s="186"/>
    </row>
    <row r="297" spans="10:22">
      <c r="R297" s="186"/>
      <c r="S297" s="186"/>
      <c r="T297" s="186"/>
      <c r="U297" s="186"/>
      <c r="V297" s="186"/>
    </row>
    <row r="298" spans="10:22">
      <c r="J298" t="s">
        <v>128</v>
      </c>
      <c r="K298">
        <f>P291</f>
        <v>1.1506227676901411E-22</v>
      </c>
      <c r="L298" s="13" t="s">
        <v>151</v>
      </c>
      <c r="M298">
        <v>0.05</v>
      </c>
      <c r="O298" t="s">
        <v>269</v>
      </c>
      <c r="R298" s="186"/>
      <c r="S298" s="186"/>
      <c r="T298" s="186"/>
      <c r="U298" s="186"/>
      <c r="V298" s="186"/>
    </row>
    <row r="300" spans="10:22">
      <c r="K300" t="s">
        <v>153</v>
      </c>
    </row>
  </sheetData>
  <mergeCells count="17">
    <mergeCell ref="X31:X32"/>
    <mergeCell ref="A1:I5"/>
    <mergeCell ref="J223:O229"/>
    <mergeCell ref="J253:L257"/>
    <mergeCell ref="K219:M219"/>
    <mergeCell ref="X33:X34"/>
    <mergeCell ref="X35:X36"/>
    <mergeCell ref="W19:X20"/>
    <mergeCell ref="N195:R201"/>
    <mergeCell ref="J209:L210"/>
    <mergeCell ref="N209:O210"/>
    <mergeCell ref="Q209:V215"/>
    <mergeCell ref="X21:X22"/>
    <mergeCell ref="X23:X24"/>
    <mergeCell ref="X25:X26"/>
    <mergeCell ref="X27:X28"/>
    <mergeCell ref="X29:X30"/>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12"/>
  <sheetViews>
    <sheetView workbookViewId="0">
      <selection activeCell="B187" sqref="B187"/>
    </sheetView>
  </sheetViews>
  <sheetFormatPr defaultRowHeight="14.25"/>
  <cols>
    <col min="3" max="3" width="12" bestFit="1" customWidth="1"/>
    <col min="7" max="7" width="7.75" customWidth="1"/>
    <col min="10" max="11" width="12.5" customWidth="1"/>
  </cols>
  <sheetData>
    <row r="2" spans="2:11">
      <c r="B2" s="44" t="s">
        <v>154</v>
      </c>
    </row>
    <row r="4" spans="2:11" ht="15">
      <c r="K4" s="21" t="s">
        <v>161</v>
      </c>
    </row>
    <row r="5" spans="2:11" ht="15.75" thickBot="1">
      <c r="C5" s="225" t="s">
        <v>158</v>
      </c>
      <c r="D5" s="225"/>
      <c r="K5" s="21" t="s">
        <v>162</v>
      </c>
    </row>
    <row r="6" spans="2:11" ht="29.25" thickBot="1">
      <c r="C6" s="107" t="s">
        <v>157</v>
      </c>
      <c r="D6" s="107"/>
      <c r="G6" s="42" t="s">
        <v>159</v>
      </c>
      <c r="H6" s="108"/>
      <c r="K6" s="146">
        <v>36.799999999999997</v>
      </c>
    </row>
    <row r="7" spans="2:11">
      <c r="D7" s="146">
        <v>57.4</v>
      </c>
      <c r="G7" s="69">
        <f>(D7-$D$12)^2</f>
        <v>0.25</v>
      </c>
      <c r="H7" s="109"/>
      <c r="K7" s="147">
        <v>37.1</v>
      </c>
    </row>
    <row r="8" spans="2:11">
      <c r="D8" s="147">
        <v>59.1</v>
      </c>
      <c r="G8" s="69">
        <f t="shared" ref="G8:G11" si="0">(D8-$D$12)^2</f>
        <v>1.4400000000000068</v>
      </c>
      <c r="H8" s="109"/>
      <c r="K8" s="147">
        <v>71.5</v>
      </c>
    </row>
    <row r="9" spans="2:11">
      <c r="D9" s="147">
        <v>56.8</v>
      </c>
      <c r="G9" s="69">
        <f t="shared" si="0"/>
        <v>1.2100000000000031</v>
      </c>
      <c r="H9" s="109"/>
      <c r="K9" s="147">
        <v>72</v>
      </c>
    </row>
    <row r="10" spans="2:11">
      <c r="D10" s="147">
        <v>58.3</v>
      </c>
      <c r="G10" s="69">
        <f t="shared" si="0"/>
        <v>0.15999999999999887</v>
      </c>
      <c r="H10" s="109"/>
      <c r="K10" s="147">
        <v>39.200000000000003</v>
      </c>
    </row>
    <row r="11" spans="2:11" ht="15" thickBot="1">
      <c r="D11" s="147">
        <v>57.9</v>
      </c>
      <c r="G11" s="69">
        <f t="shared" si="0"/>
        <v>0</v>
      </c>
      <c r="H11" s="109"/>
      <c r="K11" s="147">
        <v>39.6</v>
      </c>
    </row>
    <row r="12" spans="2:11" ht="15" thickBot="1">
      <c r="C12" t="s">
        <v>155</v>
      </c>
      <c r="D12" s="148">
        <f>AVERAGE(D7:D11)</f>
        <v>57.9</v>
      </c>
      <c r="F12" s="138" t="s">
        <v>160</v>
      </c>
      <c r="G12" s="70">
        <f>SUM(G7:G11)</f>
        <v>3.0600000000000089</v>
      </c>
      <c r="H12" s="109"/>
      <c r="K12" s="147">
        <v>75.8</v>
      </c>
    </row>
    <row r="13" spans="2:11" ht="29.25" thickBot="1">
      <c r="C13" s="23" t="s">
        <v>156</v>
      </c>
      <c r="D13" s="149">
        <v>5</v>
      </c>
      <c r="K13" s="147">
        <v>76.3</v>
      </c>
    </row>
    <row r="14" spans="2:11">
      <c r="K14" s="147">
        <v>38.9</v>
      </c>
    </row>
    <row r="15" spans="2:11" ht="15">
      <c r="E15" s="20" t="s">
        <v>165</v>
      </c>
      <c r="F15">
        <f>(D13*K23*((K22-D12)^2))/(D13+K23)</f>
        <v>0.15238095238095672</v>
      </c>
      <c r="K15" s="147">
        <v>39.299999999999997</v>
      </c>
    </row>
    <row r="16" spans="2:11" ht="15">
      <c r="E16" s="20"/>
      <c r="K16" s="147">
        <v>76.400000000000006</v>
      </c>
    </row>
    <row r="17" spans="2:11">
      <c r="K17" s="147">
        <v>76.900000000000006</v>
      </c>
    </row>
    <row r="18" spans="2:11">
      <c r="K18" s="147">
        <v>41.5</v>
      </c>
    </row>
    <row r="19" spans="2:11" ht="15">
      <c r="B19" s="151" t="s">
        <v>166</v>
      </c>
      <c r="K19" s="147">
        <v>41.9</v>
      </c>
    </row>
    <row r="20" spans="2:11">
      <c r="B20" s="22" t="s">
        <v>167</v>
      </c>
      <c r="C20">
        <f>F15/1/(G12/(D13-1))</f>
        <v>0.19919078742608665</v>
      </c>
      <c r="D20" s="13" t="s">
        <v>151</v>
      </c>
      <c r="E20">
        <f>_xlfn.F.INV(0.95,1,4)</f>
        <v>7.7086474221767833</v>
      </c>
      <c r="F20" t="s">
        <v>168</v>
      </c>
      <c r="K20" s="147">
        <v>79.8</v>
      </c>
    </row>
    <row r="21" spans="2:11">
      <c r="B21" s="22" t="s">
        <v>128</v>
      </c>
      <c r="C21">
        <f>1-_xlfn.F.DIST(C20,1,4,1)</f>
        <v>0.67847021045522038</v>
      </c>
      <c r="D21" s="13" t="s">
        <v>169</v>
      </c>
      <c r="E21">
        <v>0.05</v>
      </c>
      <c r="K21" s="147">
        <v>80.2</v>
      </c>
    </row>
    <row r="22" spans="2:11" ht="15">
      <c r="B22" s="21" t="s">
        <v>170</v>
      </c>
      <c r="J22" t="s">
        <v>163</v>
      </c>
      <c r="K22" s="147">
        <f>AVERAGE(K6:K21)</f>
        <v>57.699999999999996</v>
      </c>
    </row>
    <row r="23" spans="2:11" ht="15.75" thickBot="1">
      <c r="B23" s="21" t="s">
        <v>171</v>
      </c>
      <c r="J23" t="s">
        <v>164</v>
      </c>
      <c r="K23" s="149">
        <v>16</v>
      </c>
    </row>
    <row r="26" spans="2:11">
      <c r="B26" s="44" t="s">
        <v>172</v>
      </c>
    </row>
    <row r="44" spans="2:7" ht="15" thickBot="1"/>
    <row r="45" spans="2:7" ht="15.75" thickBot="1">
      <c r="B45" s="35" t="s">
        <v>21</v>
      </c>
      <c r="C45" s="36" t="s">
        <v>22</v>
      </c>
      <c r="D45" s="36" t="s">
        <v>23</v>
      </c>
      <c r="E45" s="71" t="s">
        <v>43</v>
      </c>
      <c r="F45" s="71" t="s">
        <v>44</v>
      </c>
      <c r="G45" s="121" t="s">
        <v>24</v>
      </c>
    </row>
    <row r="46" spans="2:7">
      <c r="B46" s="32">
        <v>-1</v>
      </c>
      <c r="C46" s="33">
        <v>-1</v>
      </c>
      <c r="D46" s="33">
        <v>-1</v>
      </c>
      <c r="E46" s="33">
        <f t="shared" ref="E46:E61" si="1">B46*D46</f>
        <v>1</v>
      </c>
      <c r="F46" s="33">
        <f t="shared" ref="F46:F61" si="2">C46*D46</f>
        <v>1</v>
      </c>
      <c r="G46" s="122">
        <v>36.799999999999997</v>
      </c>
    </row>
    <row r="47" spans="2:7">
      <c r="B47" s="24">
        <v>-1</v>
      </c>
      <c r="C47" s="25">
        <v>-1</v>
      </c>
      <c r="D47" s="25">
        <v>-1</v>
      </c>
      <c r="E47" s="25">
        <f t="shared" si="1"/>
        <v>1</v>
      </c>
      <c r="F47" s="25">
        <f t="shared" si="2"/>
        <v>1</v>
      </c>
      <c r="G47" s="123">
        <v>37.1</v>
      </c>
    </row>
    <row r="48" spans="2:7">
      <c r="B48" s="24">
        <v>-1</v>
      </c>
      <c r="C48" s="25">
        <v>-1</v>
      </c>
      <c r="D48" s="25">
        <v>1</v>
      </c>
      <c r="E48" s="25">
        <f t="shared" si="1"/>
        <v>-1</v>
      </c>
      <c r="F48" s="25">
        <f t="shared" si="2"/>
        <v>-1</v>
      </c>
      <c r="G48" s="123">
        <v>71.5</v>
      </c>
    </row>
    <row r="49" spans="2:15">
      <c r="B49" s="24">
        <v>-1</v>
      </c>
      <c r="C49" s="25">
        <v>-1</v>
      </c>
      <c r="D49" s="25">
        <v>1</v>
      </c>
      <c r="E49" s="25">
        <f t="shared" si="1"/>
        <v>-1</v>
      </c>
      <c r="F49" s="25">
        <f t="shared" si="2"/>
        <v>-1</v>
      </c>
      <c r="G49" s="123">
        <v>72</v>
      </c>
    </row>
    <row r="50" spans="2:15">
      <c r="B50" s="24">
        <v>-1</v>
      </c>
      <c r="C50" s="25">
        <v>1</v>
      </c>
      <c r="D50" s="25">
        <v>-1</v>
      </c>
      <c r="E50" s="25">
        <f t="shared" si="1"/>
        <v>1</v>
      </c>
      <c r="F50" s="25">
        <f t="shared" si="2"/>
        <v>-1</v>
      </c>
      <c r="G50" s="123">
        <v>39.200000000000003</v>
      </c>
    </row>
    <row r="51" spans="2:15">
      <c r="B51" s="24">
        <v>-1</v>
      </c>
      <c r="C51" s="25">
        <v>1</v>
      </c>
      <c r="D51" s="25">
        <v>-1</v>
      </c>
      <c r="E51" s="25">
        <f t="shared" si="1"/>
        <v>1</v>
      </c>
      <c r="F51" s="25">
        <f t="shared" si="2"/>
        <v>-1</v>
      </c>
      <c r="G51" s="123">
        <v>39.6</v>
      </c>
      <c r="J51" t="s">
        <v>62</v>
      </c>
    </row>
    <row r="52" spans="2:15" ht="15" thickBot="1">
      <c r="B52" s="24">
        <v>-1</v>
      </c>
      <c r="C52" s="25">
        <v>1</v>
      </c>
      <c r="D52" s="25">
        <v>1</v>
      </c>
      <c r="E52" s="25">
        <f t="shared" si="1"/>
        <v>-1</v>
      </c>
      <c r="F52" s="25">
        <f t="shared" si="2"/>
        <v>1</v>
      </c>
      <c r="G52" s="123">
        <v>75.8</v>
      </c>
    </row>
    <row r="53" spans="2:15">
      <c r="B53" s="24">
        <v>-1</v>
      </c>
      <c r="C53" s="25">
        <v>1</v>
      </c>
      <c r="D53" s="25">
        <v>1</v>
      </c>
      <c r="E53" s="25">
        <f t="shared" si="1"/>
        <v>-1</v>
      </c>
      <c r="F53" s="25">
        <f t="shared" si="2"/>
        <v>1</v>
      </c>
      <c r="G53" s="123">
        <v>76.3</v>
      </c>
      <c r="J53" s="143" t="s">
        <v>63</v>
      </c>
      <c r="K53" s="143"/>
    </row>
    <row r="54" spans="2:15">
      <c r="B54" s="24">
        <v>1</v>
      </c>
      <c r="C54" s="25">
        <v>-1</v>
      </c>
      <c r="D54" s="25">
        <v>-1</v>
      </c>
      <c r="E54" s="25">
        <f t="shared" si="1"/>
        <v>-1</v>
      </c>
      <c r="F54" s="25">
        <f t="shared" si="2"/>
        <v>1</v>
      </c>
      <c r="G54" s="123">
        <v>38.9</v>
      </c>
      <c r="J54" s="140" t="s">
        <v>64</v>
      </c>
      <c r="K54" s="140">
        <v>0.99960000777351832</v>
      </c>
    </row>
    <row r="55" spans="2:15">
      <c r="B55" s="24">
        <v>1</v>
      </c>
      <c r="C55" s="25">
        <v>-1</v>
      </c>
      <c r="D55" s="25">
        <v>-1</v>
      </c>
      <c r="E55" s="25">
        <f t="shared" si="1"/>
        <v>-1</v>
      </c>
      <c r="F55" s="25">
        <f t="shared" si="2"/>
        <v>1</v>
      </c>
      <c r="G55" s="123">
        <v>39.299999999999997</v>
      </c>
      <c r="J55" s="140" t="s">
        <v>65</v>
      </c>
      <c r="K55" s="140">
        <v>0.99920017554081797</v>
      </c>
    </row>
    <row r="56" spans="2:15">
      <c r="B56" s="24">
        <v>1</v>
      </c>
      <c r="C56" s="25">
        <v>-1</v>
      </c>
      <c r="D56" s="25">
        <v>1</v>
      </c>
      <c r="E56" s="25">
        <f t="shared" si="1"/>
        <v>1</v>
      </c>
      <c r="F56" s="25">
        <f t="shared" si="2"/>
        <v>-1</v>
      </c>
      <c r="G56" s="123">
        <v>76.400000000000006</v>
      </c>
      <c r="J56" s="140" t="s">
        <v>66</v>
      </c>
      <c r="K56" s="140">
        <v>0.99893356738775718</v>
      </c>
    </row>
    <row r="57" spans="2:15">
      <c r="B57" s="24">
        <v>1</v>
      </c>
      <c r="C57" s="25">
        <v>-1</v>
      </c>
      <c r="D57" s="25">
        <v>1</v>
      </c>
      <c r="E57" s="25">
        <f t="shared" si="1"/>
        <v>1</v>
      </c>
      <c r="F57" s="25">
        <f t="shared" si="2"/>
        <v>-1</v>
      </c>
      <c r="G57" s="123">
        <v>76.900000000000006</v>
      </c>
      <c r="J57" s="140" t="s">
        <v>67</v>
      </c>
      <c r="K57" s="140">
        <v>0.54251764655667978</v>
      </c>
    </row>
    <row r="58" spans="2:15" ht="15" thickBot="1">
      <c r="B58" s="24">
        <v>1</v>
      </c>
      <c r="C58" s="25">
        <v>1</v>
      </c>
      <c r="D58" s="25">
        <v>-1</v>
      </c>
      <c r="E58" s="25">
        <f t="shared" si="1"/>
        <v>-1</v>
      </c>
      <c r="F58" s="25">
        <f t="shared" si="2"/>
        <v>-1</v>
      </c>
      <c r="G58" s="123">
        <v>41.5</v>
      </c>
      <c r="J58" s="141" t="s">
        <v>68</v>
      </c>
      <c r="K58" s="141">
        <v>21</v>
      </c>
    </row>
    <row r="59" spans="2:15">
      <c r="B59" s="24">
        <v>1</v>
      </c>
      <c r="C59" s="25">
        <v>1</v>
      </c>
      <c r="D59" s="25">
        <v>-1</v>
      </c>
      <c r="E59" s="25">
        <f t="shared" si="1"/>
        <v>-1</v>
      </c>
      <c r="F59" s="25">
        <f t="shared" si="2"/>
        <v>-1</v>
      </c>
      <c r="G59" s="123">
        <v>41.9</v>
      </c>
    </row>
    <row r="60" spans="2:15" ht="15" thickBot="1">
      <c r="B60" s="24">
        <v>1</v>
      </c>
      <c r="C60" s="25">
        <v>1</v>
      </c>
      <c r="D60" s="25">
        <v>1</v>
      </c>
      <c r="E60" s="25">
        <f t="shared" si="1"/>
        <v>1</v>
      </c>
      <c r="F60" s="25">
        <f t="shared" si="2"/>
        <v>1</v>
      </c>
      <c r="G60" s="123">
        <v>79.8</v>
      </c>
      <c r="J60" t="s">
        <v>69</v>
      </c>
    </row>
    <row r="61" spans="2:15" ht="15" thickBot="1">
      <c r="B61" s="110">
        <v>1</v>
      </c>
      <c r="C61" s="111">
        <v>1</v>
      </c>
      <c r="D61" s="111">
        <v>1</v>
      </c>
      <c r="E61" s="111">
        <f t="shared" si="1"/>
        <v>1</v>
      </c>
      <c r="F61" s="111">
        <f t="shared" si="2"/>
        <v>1</v>
      </c>
      <c r="G61" s="124">
        <v>80.2</v>
      </c>
      <c r="J61" s="142"/>
      <c r="K61" s="142" t="s">
        <v>74</v>
      </c>
      <c r="L61" s="142" t="s">
        <v>75</v>
      </c>
      <c r="M61" s="142" t="s">
        <v>76</v>
      </c>
      <c r="N61" s="142" t="s">
        <v>77</v>
      </c>
      <c r="O61" s="142" t="s">
        <v>78</v>
      </c>
    </row>
    <row r="62" spans="2:15">
      <c r="B62" s="113">
        <v>0</v>
      </c>
      <c r="C62" s="114">
        <v>0</v>
      </c>
      <c r="D62" s="114">
        <v>0</v>
      </c>
      <c r="E62" s="114">
        <v>0</v>
      </c>
      <c r="F62" s="115">
        <v>0</v>
      </c>
      <c r="G62" s="125">
        <v>57.4</v>
      </c>
      <c r="J62" s="140" t="s">
        <v>70</v>
      </c>
      <c r="K62" s="140">
        <v>5</v>
      </c>
      <c r="L62" s="140">
        <v>5515.3975</v>
      </c>
      <c r="M62" s="140">
        <v>1103.0795000000001</v>
      </c>
      <c r="N62" s="140">
        <v>3747.8230281784872</v>
      </c>
      <c r="O62" s="140">
        <v>1.1506227676901411E-22</v>
      </c>
    </row>
    <row r="63" spans="2:15">
      <c r="B63" s="116">
        <v>0</v>
      </c>
      <c r="C63" s="112">
        <v>0</v>
      </c>
      <c r="D63" s="112">
        <v>0</v>
      </c>
      <c r="E63" s="112">
        <v>0</v>
      </c>
      <c r="F63" s="117">
        <v>0</v>
      </c>
      <c r="G63" s="126">
        <v>59.1</v>
      </c>
      <c r="J63" s="140" t="s">
        <v>71</v>
      </c>
      <c r="K63" s="140">
        <v>15</v>
      </c>
      <c r="L63" s="140">
        <v>4.4148809523809778</v>
      </c>
      <c r="M63" s="140">
        <v>0.29432539682539854</v>
      </c>
      <c r="N63" s="140"/>
      <c r="O63" s="140"/>
    </row>
    <row r="64" spans="2:15" ht="15" thickBot="1">
      <c r="B64" s="116">
        <v>0</v>
      </c>
      <c r="C64" s="112">
        <v>0</v>
      </c>
      <c r="D64" s="112">
        <v>0</v>
      </c>
      <c r="E64" s="112">
        <v>0</v>
      </c>
      <c r="F64" s="117">
        <v>0</v>
      </c>
      <c r="G64" s="126">
        <v>56.8</v>
      </c>
      <c r="J64" s="141" t="s">
        <v>72</v>
      </c>
      <c r="K64" s="141">
        <v>20</v>
      </c>
      <c r="L64" s="141">
        <v>5519.8123809523813</v>
      </c>
      <c r="M64" s="141"/>
      <c r="N64" s="141"/>
      <c r="O64" s="141"/>
    </row>
    <row r="65" spans="2:18" ht="15" thickBot="1">
      <c r="B65" s="116">
        <v>0</v>
      </c>
      <c r="C65" s="112">
        <v>0</v>
      </c>
      <c r="D65" s="112">
        <v>0</v>
      </c>
      <c r="E65" s="112">
        <v>0</v>
      </c>
      <c r="F65" s="117">
        <v>0</v>
      </c>
      <c r="G65" s="126">
        <v>58.3</v>
      </c>
    </row>
    <row r="66" spans="2:18" ht="15" thickBot="1">
      <c r="B66" s="118">
        <v>0</v>
      </c>
      <c r="C66" s="119">
        <v>0</v>
      </c>
      <c r="D66" s="119">
        <v>0</v>
      </c>
      <c r="E66" s="119">
        <v>0</v>
      </c>
      <c r="F66" s="120">
        <v>0</v>
      </c>
      <c r="G66" s="127">
        <v>57.9</v>
      </c>
      <c r="J66" s="142"/>
      <c r="K66" s="142" t="s">
        <v>79</v>
      </c>
      <c r="L66" s="142" t="s">
        <v>67</v>
      </c>
      <c r="M66" s="142" t="s">
        <v>80</v>
      </c>
      <c r="N66" s="142" t="s">
        <v>81</v>
      </c>
      <c r="O66" s="142" t="s">
        <v>82</v>
      </c>
      <c r="P66" s="142" t="s">
        <v>83</v>
      </c>
      <c r="Q66" s="142" t="s">
        <v>84</v>
      </c>
      <c r="R66" s="142" t="s">
        <v>85</v>
      </c>
    </row>
    <row r="67" spans="2:18">
      <c r="J67" s="140" t="s">
        <v>73</v>
      </c>
      <c r="K67" s="140">
        <v>57.74761904761904</v>
      </c>
      <c r="L67" s="140">
        <v>0.11838705624739446</v>
      </c>
      <c r="M67" s="140">
        <v>487.7865949039508</v>
      </c>
      <c r="N67" s="140">
        <v>6.3636281444659175E-33</v>
      </c>
      <c r="O67" s="140">
        <v>57.495283010380369</v>
      </c>
      <c r="P67" s="140">
        <v>57.99995508485771</v>
      </c>
      <c r="Q67" s="140">
        <v>57.495283010380369</v>
      </c>
      <c r="R67" s="140">
        <v>57.99995508485771</v>
      </c>
    </row>
    <row r="68" spans="2:18">
      <c r="J68" s="140" t="s">
        <v>139</v>
      </c>
      <c r="K68" s="140">
        <v>1.6625000000000014</v>
      </c>
      <c r="L68" s="140">
        <v>0.13562941163916994</v>
      </c>
      <c r="M68" s="140">
        <v>12.257665796139673</v>
      </c>
      <c r="N68" s="140">
        <v>3.2316376809781516E-9</v>
      </c>
      <c r="O68" s="140">
        <v>1.3734127521971531</v>
      </c>
      <c r="P68" s="140">
        <v>1.9515872478028498</v>
      </c>
      <c r="Q68" s="140">
        <v>1.3734127521971531</v>
      </c>
      <c r="R68" s="140">
        <v>1.9515872478028498</v>
      </c>
    </row>
    <row r="69" spans="2:18">
      <c r="J69" s="140" t="s">
        <v>140</v>
      </c>
      <c r="K69" s="140">
        <v>1.587499999999999</v>
      </c>
      <c r="L69" s="140">
        <v>0.13562941163916994</v>
      </c>
      <c r="M69" s="140">
        <v>11.704688391802527</v>
      </c>
      <c r="N69" s="140">
        <v>6.0719430163127988E-9</v>
      </c>
      <c r="O69" s="140">
        <v>1.2984127521971507</v>
      </c>
      <c r="P69" s="140">
        <v>1.8765872478028474</v>
      </c>
      <c r="Q69" s="140">
        <v>1.2984127521971507</v>
      </c>
      <c r="R69" s="140">
        <v>1.8765872478028474</v>
      </c>
    </row>
    <row r="70" spans="2:18">
      <c r="J70" s="140" t="s">
        <v>141</v>
      </c>
      <c r="K70" s="140">
        <v>18.412499999999994</v>
      </c>
      <c r="L70" s="140">
        <v>0.13562941163916994</v>
      </c>
      <c r="M70" s="140">
        <v>135.7559527647648</v>
      </c>
      <c r="N70" s="140">
        <v>1.3597799464403357E-24</v>
      </c>
      <c r="O70" s="140">
        <v>18.123412752197147</v>
      </c>
      <c r="P70" s="140">
        <v>18.701587247802841</v>
      </c>
      <c r="Q70" s="140">
        <v>18.123412752197147</v>
      </c>
      <c r="R70" s="140">
        <v>18.701587247802841</v>
      </c>
    </row>
    <row r="71" spans="2:18">
      <c r="J71" s="140" t="s">
        <v>142</v>
      </c>
      <c r="K71" s="140">
        <v>0.55000000000000249</v>
      </c>
      <c r="L71" s="140">
        <v>0.13562941163916994</v>
      </c>
      <c r="M71" s="140">
        <v>4.0551676318056211</v>
      </c>
      <c r="N71" s="140">
        <v>1.0363650801536769E-3</v>
      </c>
      <c r="O71" s="140">
        <v>0.26091275219715415</v>
      </c>
      <c r="P71" s="140">
        <v>0.83908724780285082</v>
      </c>
      <c r="Q71" s="140">
        <v>0.26091275219715415</v>
      </c>
      <c r="R71" s="140">
        <v>0.83908724780285082</v>
      </c>
    </row>
    <row r="72" spans="2:18" ht="15" thickBot="1">
      <c r="J72" s="141" t="s">
        <v>143</v>
      </c>
      <c r="K72" s="141">
        <v>0.32499999999999896</v>
      </c>
      <c r="L72" s="141">
        <v>0.13562941163916994</v>
      </c>
      <c r="M72" s="141">
        <v>2.3962354187942121</v>
      </c>
      <c r="N72" s="141">
        <v>3.004514487529342E-2</v>
      </c>
      <c r="O72" s="141">
        <v>3.5912752197150621E-2</v>
      </c>
      <c r="P72" s="141">
        <v>0.61408724780284729</v>
      </c>
      <c r="Q72" s="141">
        <v>3.5912752197150621E-2</v>
      </c>
      <c r="R72" s="141">
        <v>0.61408724780284729</v>
      </c>
    </row>
    <row r="76" spans="2:18">
      <c r="J76" t="s">
        <v>173</v>
      </c>
    </row>
    <row r="77" spans="2:18" ht="15" thickBot="1"/>
    <row r="78" spans="2:18">
      <c r="J78" s="142" t="s">
        <v>174</v>
      </c>
      <c r="K78" s="142" t="s">
        <v>175</v>
      </c>
      <c r="L78" s="142" t="s">
        <v>176</v>
      </c>
      <c r="M78" s="142" t="s">
        <v>177</v>
      </c>
    </row>
    <row r="79" spans="2:18">
      <c r="J79" s="140">
        <v>1</v>
      </c>
      <c r="K79" s="140">
        <v>36.960119047619045</v>
      </c>
      <c r="L79" s="140">
        <v>-0.16011904761904816</v>
      </c>
      <c r="M79" s="140">
        <v>-0.34079914573096165</v>
      </c>
    </row>
    <row r="80" spans="2:18">
      <c r="J80" s="140">
        <v>2</v>
      </c>
      <c r="K80" s="140">
        <v>36.960119047619045</v>
      </c>
      <c r="L80" s="140">
        <v>0.1398809523809561</v>
      </c>
      <c r="M80" s="140">
        <v>0.29772416076869085</v>
      </c>
    </row>
    <row r="81" spans="10:13">
      <c r="J81" s="140">
        <v>3</v>
      </c>
      <c r="K81" s="140">
        <v>72.035119047619034</v>
      </c>
      <c r="L81" s="140">
        <v>-0.53511904761903395</v>
      </c>
      <c r="M81" s="140">
        <v>-1.1389532788554857</v>
      </c>
    </row>
    <row r="82" spans="10:13">
      <c r="J82" s="140">
        <v>4</v>
      </c>
      <c r="K82" s="140">
        <v>72.035119047619034</v>
      </c>
      <c r="L82" s="140">
        <v>-3.511904761903395E-2</v>
      </c>
      <c r="M82" s="140">
        <v>-7.4747768022746616E-2</v>
      </c>
    </row>
    <row r="83" spans="10:13">
      <c r="J83" s="140">
        <v>5</v>
      </c>
      <c r="K83" s="140">
        <v>39.485119047619051</v>
      </c>
      <c r="L83" s="140">
        <v>-0.28511904761904816</v>
      </c>
      <c r="M83" s="140">
        <v>-0.60685052343914636</v>
      </c>
    </row>
    <row r="84" spans="10:13">
      <c r="J84" s="140">
        <v>6</v>
      </c>
      <c r="K84" s="140">
        <v>39.485119047619051</v>
      </c>
      <c r="L84" s="140">
        <v>0.11488095238095042</v>
      </c>
      <c r="M84" s="140">
        <v>0.24451388522704182</v>
      </c>
    </row>
    <row r="85" spans="10:13">
      <c r="J85" s="140">
        <v>7</v>
      </c>
      <c r="K85" s="140">
        <v>75.860119047619037</v>
      </c>
      <c r="L85" s="140">
        <v>-6.0119047619039634E-2</v>
      </c>
      <c r="M85" s="140">
        <v>-0.12795804356439566</v>
      </c>
    </row>
    <row r="86" spans="10:13">
      <c r="J86" s="140">
        <v>8</v>
      </c>
      <c r="K86" s="140">
        <v>75.860119047619037</v>
      </c>
      <c r="L86" s="140">
        <v>0.43988095238096037</v>
      </c>
      <c r="M86" s="140">
        <v>0.93624746726834329</v>
      </c>
    </row>
    <row r="87" spans="10:13">
      <c r="J87" s="140">
        <v>9</v>
      </c>
      <c r="K87" s="140">
        <v>39.18511904761904</v>
      </c>
      <c r="L87" s="140">
        <v>-0.28511904761904105</v>
      </c>
      <c r="M87" s="140">
        <v>-0.60685052343913126</v>
      </c>
    </row>
    <row r="88" spans="10:13">
      <c r="J88" s="140">
        <v>10</v>
      </c>
      <c r="K88" s="140">
        <v>39.18511904761904</v>
      </c>
      <c r="L88" s="140">
        <v>0.11488095238095752</v>
      </c>
      <c r="M88" s="140">
        <v>0.24451388522705694</v>
      </c>
    </row>
    <row r="89" spans="10:13">
      <c r="J89" s="140">
        <v>11</v>
      </c>
      <c r="K89" s="140">
        <v>76.460119047619031</v>
      </c>
      <c r="L89" s="140">
        <v>-6.0119047619025423E-2</v>
      </c>
      <c r="M89" s="140">
        <v>-0.12795804356436544</v>
      </c>
    </row>
    <row r="90" spans="10:13">
      <c r="J90" s="140">
        <v>12</v>
      </c>
      <c r="K90" s="140">
        <v>76.460119047619031</v>
      </c>
      <c r="L90" s="140">
        <v>0.43988095238097458</v>
      </c>
      <c r="M90" s="140">
        <v>0.9362474672683736</v>
      </c>
    </row>
    <row r="91" spans="10:13">
      <c r="J91" s="140">
        <v>13</v>
      </c>
      <c r="K91" s="140">
        <v>41.710119047619045</v>
      </c>
      <c r="L91" s="140">
        <v>-0.21011904761904532</v>
      </c>
      <c r="M91" s="140">
        <v>-0.44721969681422946</v>
      </c>
    </row>
    <row r="92" spans="10:13">
      <c r="J92" s="140">
        <v>14</v>
      </c>
      <c r="K92" s="140">
        <v>41.710119047619045</v>
      </c>
      <c r="L92" s="140">
        <v>0.18988095238095326</v>
      </c>
      <c r="M92" s="140">
        <v>0.40414471185195872</v>
      </c>
    </row>
    <row r="93" spans="10:13">
      <c r="J93" s="140">
        <v>15</v>
      </c>
      <c r="K93" s="140">
        <v>80.285119047619034</v>
      </c>
      <c r="L93" s="140">
        <v>-0.48511904761903679</v>
      </c>
      <c r="M93" s="140">
        <v>-1.0325327277722178</v>
      </c>
    </row>
    <row r="94" spans="10:13">
      <c r="J94" s="140">
        <v>16</v>
      </c>
      <c r="K94" s="140">
        <v>80.285119047619034</v>
      </c>
      <c r="L94" s="140">
        <v>-8.5119047619031107E-2</v>
      </c>
      <c r="M94" s="140">
        <v>-0.18116831910601447</v>
      </c>
    </row>
    <row r="95" spans="10:13">
      <c r="J95" s="140">
        <v>17</v>
      </c>
      <c r="K95" s="140">
        <v>57.74761904761904</v>
      </c>
      <c r="L95" s="140">
        <v>-0.34761904761904105</v>
      </c>
      <c r="M95" s="140">
        <v>-0.73987621229322365</v>
      </c>
    </row>
    <row r="96" spans="10:13">
      <c r="J96" s="140">
        <v>18</v>
      </c>
      <c r="K96" s="140">
        <v>57.74761904761904</v>
      </c>
      <c r="L96" s="140">
        <v>1.3523809523809618</v>
      </c>
      <c r="M96" s="140">
        <v>2.8784225245380952</v>
      </c>
    </row>
    <row r="97" spans="2:13">
      <c r="J97" s="140">
        <v>19</v>
      </c>
      <c r="K97" s="140">
        <v>57.74761904761904</v>
      </c>
      <c r="L97" s="140">
        <v>-0.94761904761904248</v>
      </c>
      <c r="M97" s="140">
        <v>-2.0169228252925135</v>
      </c>
    </row>
    <row r="98" spans="2:13">
      <c r="J98" s="140">
        <v>20</v>
      </c>
      <c r="K98" s="140">
        <v>57.74761904761904</v>
      </c>
      <c r="L98" s="140">
        <v>0.55238095238095752</v>
      </c>
      <c r="M98" s="140">
        <v>1.1756937072057037</v>
      </c>
    </row>
    <row r="99" spans="2:13" ht="15" thickBot="1">
      <c r="J99" s="141">
        <v>21</v>
      </c>
      <c r="K99" s="141">
        <v>57.74761904761904</v>
      </c>
      <c r="L99" s="141">
        <v>0.15238095238095895</v>
      </c>
      <c r="M99" s="141">
        <v>0.32432929853951536</v>
      </c>
    </row>
    <row r="102" spans="2:13">
      <c r="B102" s="44" t="s">
        <v>178</v>
      </c>
    </row>
    <row r="104" spans="2:13" ht="15" thickBot="1"/>
    <row r="105" spans="2:13">
      <c r="B105" s="152"/>
      <c r="C105" s="142" t="s">
        <v>79</v>
      </c>
      <c r="D105" s="142" t="s">
        <v>67</v>
      </c>
      <c r="E105" s="142" t="s">
        <v>80</v>
      </c>
      <c r="F105" s="142" t="s">
        <v>81</v>
      </c>
      <c r="G105" s="142" t="s">
        <v>82</v>
      </c>
      <c r="H105" s="142" t="s">
        <v>83</v>
      </c>
      <c r="I105" s="142" t="s">
        <v>84</v>
      </c>
      <c r="J105" s="153" t="s">
        <v>85</v>
      </c>
    </row>
    <row r="106" spans="2:13">
      <c r="B106" s="154" t="s">
        <v>73</v>
      </c>
      <c r="C106" s="140">
        <v>57.74761904761904</v>
      </c>
      <c r="D106" s="140">
        <v>0.17509405997520955</v>
      </c>
      <c r="E106" s="140">
        <v>329.80912691038839</v>
      </c>
      <c r="F106" s="140">
        <v>8.4749374650221267E-34</v>
      </c>
      <c r="G106" s="140">
        <v>57.378202872297258</v>
      </c>
      <c r="H106" s="140">
        <v>58.117035222940821</v>
      </c>
      <c r="I106" s="140">
        <v>57.378202872297258</v>
      </c>
      <c r="J106" s="155">
        <v>58.117035222940821</v>
      </c>
    </row>
    <row r="107" spans="2:13">
      <c r="B107" s="154" t="s">
        <v>21</v>
      </c>
      <c r="C107" s="140">
        <v>1.662500000000001</v>
      </c>
      <c r="D107" s="140">
        <v>0.20059544589338385</v>
      </c>
      <c r="E107" s="140">
        <v>8.2878252424714418</v>
      </c>
      <c r="F107" s="140">
        <v>2.2482466092024919E-7</v>
      </c>
      <c r="G107" s="140">
        <v>1.2392806034117194</v>
      </c>
      <c r="H107" s="140">
        <v>2.0857193965882823</v>
      </c>
      <c r="I107" s="140">
        <v>1.2392806034117194</v>
      </c>
      <c r="J107" s="155">
        <v>2.0857193965882823</v>
      </c>
    </row>
    <row r="108" spans="2:13">
      <c r="B108" s="154" t="s">
        <v>22</v>
      </c>
      <c r="C108" s="140">
        <v>1.587499999999999</v>
      </c>
      <c r="D108" s="140">
        <v>0.20059544589338385</v>
      </c>
      <c r="E108" s="140">
        <v>7.9139383894276074</v>
      </c>
      <c r="F108" s="140">
        <v>4.2277101819717774E-7</v>
      </c>
      <c r="G108" s="140">
        <v>1.1642806034117175</v>
      </c>
      <c r="H108" s="140">
        <v>2.0107193965882804</v>
      </c>
      <c r="I108" s="140">
        <v>1.1642806034117175</v>
      </c>
      <c r="J108" s="155">
        <v>2.0107193965882804</v>
      </c>
    </row>
    <row r="109" spans="2:13" ht="15" thickBot="1">
      <c r="B109" s="156" t="s">
        <v>23</v>
      </c>
      <c r="C109" s="141">
        <v>18.412499999999994</v>
      </c>
      <c r="D109" s="141">
        <v>0.20059544589338385</v>
      </c>
      <c r="E109" s="141">
        <v>91.789222422258817</v>
      </c>
      <c r="F109" s="141">
        <v>2.3154759477824584E-24</v>
      </c>
      <c r="G109" s="141">
        <v>17.989280603411714</v>
      </c>
      <c r="H109" s="141">
        <v>18.835719396588274</v>
      </c>
      <c r="I109" s="141">
        <v>17.989280603411714</v>
      </c>
      <c r="J109" s="157">
        <v>18.835719396588274</v>
      </c>
    </row>
    <row r="110" spans="2:13" ht="15" thickBot="1">
      <c r="B110" s="140"/>
      <c r="C110" s="140"/>
      <c r="D110" s="140"/>
      <c r="E110" s="140"/>
      <c r="F110" s="140"/>
      <c r="G110" s="140"/>
      <c r="H110" s="140"/>
      <c r="I110" s="140"/>
      <c r="J110" s="140"/>
    </row>
    <row r="111" spans="2:13">
      <c r="B111" s="237" t="s">
        <v>180</v>
      </c>
      <c r="C111" s="238"/>
      <c r="D111" s="238"/>
      <c r="E111" s="238"/>
      <c r="F111" s="238"/>
      <c r="G111" s="239"/>
      <c r="H111" s="139"/>
      <c r="I111" s="139"/>
      <c r="J111" s="160"/>
    </row>
    <row r="112" spans="2:13">
      <c r="B112" s="240"/>
      <c r="C112" s="241"/>
      <c r="D112" s="241"/>
      <c r="E112" s="241"/>
      <c r="F112" s="241"/>
      <c r="G112" s="242"/>
      <c r="H112" s="140"/>
      <c r="I112" s="140"/>
      <c r="J112" s="155"/>
    </row>
    <row r="113" spans="2:11" ht="15" thickBot="1">
      <c r="B113" s="243"/>
      <c r="C113" s="244"/>
      <c r="D113" s="244"/>
      <c r="E113" s="244"/>
      <c r="F113" s="244"/>
      <c r="G113" s="245"/>
      <c r="H113" s="109"/>
      <c r="I113" s="109"/>
      <c r="J113" s="79"/>
    </row>
    <row r="114" spans="2:11">
      <c r="B114" s="77" t="s">
        <v>179</v>
      </c>
      <c r="C114" s="109"/>
      <c r="D114" s="109"/>
      <c r="E114" s="109"/>
      <c r="F114" s="109"/>
      <c r="G114" s="109"/>
      <c r="H114" s="109"/>
      <c r="I114" s="109"/>
      <c r="J114" s="79"/>
    </row>
    <row r="115" spans="2:11" ht="15">
      <c r="B115" s="77"/>
      <c r="C115" s="109"/>
      <c r="D115" s="109"/>
      <c r="E115" s="109"/>
      <c r="F115" s="109"/>
      <c r="G115" s="109"/>
      <c r="H115" s="161" t="s">
        <v>181</v>
      </c>
      <c r="I115" s="162"/>
      <c r="J115" s="79"/>
    </row>
    <row r="116" spans="2:11">
      <c r="B116" s="77"/>
      <c r="C116" s="109"/>
      <c r="D116" s="109"/>
      <c r="E116" s="109"/>
      <c r="F116" s="109"/>
      <c r="G116" s="109"/>
      <c r="H116" s="109"/>
      <c r="I116" s="109"/>
      <c r="J116" s="79"/>
    </row>
    <row r="117" spans="2:11">
      <c r="B117" s="163" t="s">
        <v>182</v>
      </c>
      <c r="C117" s="109">
        <f>C107/D107</f>
        <v>8.2878252424714418</v>
      </c>
      <c r="D117" s="109" t="s">
        <v>183</v>
      </c>
      <c r="E117" s="109"/>
      <c r="F117" s="109"/>
      <c r="G117" s="164"/>
      <c r="H117" s="109"/>
      <c r="I117" s="109"/>
      <c r="J117" s="79"/>
    </row>
    <row r="118" spans="2:11">
      <c r="B118" s="163" t="s">
        <v>208</v>
      </c>
      <c r="C118" s="109">
        <f>_xlfn.T.INV(1-0.05/2,12)</f>
        <v>2.178812829667228</v>
      </c>
      <c r="D118" s="109"/>
      <c r="E118" s="109"/>
      <c r="F118" s="109"/>
      <c r="G118" s="109"/>
      <c r="H118" s="109"/>
      <c r="I118" s="109"/>
      <c r="J118" s="79"/>
    </row>
    <row r="119" spans="2:11">
      <c r="B119" s="163" t="s">
        <v>184</v>
      </c>
      <c r="C119" s="109">
        <f>F107</f>
        <v>2.2482466092024919E-7</v>
      </c>
      <c r="D119" s="109" t="s">
        <v>185</v>
      </c>
      <c r="E119" s="109"/>
      <c r="F119" s="109"/>
      <c r="G119" s="109"/>
      <c r="H119" s="109"/>
      <c r="I119" s="109"/>
      <c r="J119" s="79"/>
    </row>
    <row r="120" spans="2:11" ht="15">
      <c r="B120" s="163" t="s">
        <v>186</v>
      </c>
      <c r="C120" s="109">
        <f>I107</f>
        <v>1.2392806034117194</v>
      </c>
      <c r="D120" s="109">
        <f>J107</f>
        <v>2.0857193965882823</v>
      </c>
      <c r="E120" s="109"/>
      <c r="F120" s="109"/>
      <c r="G120" s="109"/>
      <c r="H120" s="109"/>
      <c r="I120" s="109"/>
      <c r="J120" s="79"/>
      <c r="K120" s="159"/>
    </row>
    <row r="121" spans="2:11">
      <c r="B121" s="165"/>
      <c r="C121" s="166"/>
      <c r="D121" s="166"/>
      <c r="E121" s="166"/>
      <c r="F121" s="166"/>
      <c r="G121" s="166"/>
      <c r="H121" s="166"/>
      <c r="I121" s="166"/>
      <c r="J121" s="79"/>
    </row>
    <row r="122" spans="2:11" ht="15">
      <c r="B122" s="167" t="s">
        <v>131</v>
      </c>
      <c r="C122" s="162"/>
      <c r="D122" s="162"/>
      <c r="E122" s="162"/>
      <c r="F122" s="162"/>
      <c r="G122" s="162"/>
      <c r="H122" s="168" t="s">
        <v>187</v>
      </c>
      <c r="I122" s="168" t="s">
        <v>188</v>
      </c>
      <c r="J122" s="79"/>
    </row>
    <row r="123" spans="2:11" ht="15">
      <c r="B123" s="167" t="s">
        <v>189</v>
      </c>
      <c r="C123" s="162"/>
      <c r="D123" s="162"/>
      <c r="E123" s="162"/>
      <c r="F123" s="162"/>
      <c r="G123" s="162"/>
      <c r="H123" s="168" t="s">
        <v>190</v>
      </c>
      <c r="I123" s="168" t="s">
        <v>191</v>
      </c>
      <c r="J123" s="79"/>
    </row>
    <row r="124" spans="2:11" ht="15">
      <c r="B124" s="167" t="s">
        <v>192</v>
      </c>
      <c r="C124" s="162"/>
      <c r="D124" s="162"/>
      <c r="E124" s="162"/>
      <c r="F124" s="162"/>
      <c r="G124" s="162"/>
      <c r="H124" s="162"/>
      <c r="I124" s="162"/>
      <c r="J124" s="79"/>
    </row>
    <row r="125" spans="2:11" ht="15.75" thickBot="1">
      <c r="B125" s="167"/>
      <c r="C125" s="162"/>
      <c r="D125" s="162"/>
      <c r="E125" s="162"/>
      <c r="F125" s="162"/>
      <c r="G125" s="162"/>
      <c r="H125" s="162"/>
      <c r="I125" s="162"/>
      <c r="J125" s="79"/>
    </row>
    <row r="126" spans="2:11" ht="15.75" thickBot="1">
      <c r="B126" s="105" t="s">
        <v>210</v>
      </c>
      <c r="C126" s="162"/>
      <c r="D126" s="162"/>
      <c r="E126" s="162"/>
      <c r="F126" s="162"/>
      <c r="G126" s="162"/>
      <c r="H126" s="162"/>
      <c r="I126" s="162"/>
      <c r="J126" s="79"/>
    </row>
    <row r="127" spans="2:11">
      <c r="B127" s="226" t="s">
        <v>209</v>
      </c>
      <c r="C127" s="227"/>
      <c r="D127" s="227"/>
      <c r="E127" s="227"/>
      <c r="F127" s="227"/>
      <c r="G127" s="227"/>
      <c r="H127" s="227"/>
      <c r="I127" s="228"/>
      <c r="J127" s="79"/>
    </row>
    <row r="128" spans="2:11">
      <c r="B128" s="229"/>
      <c r="C128" s="246"/>
      <c r="D128" s="246"/>
      <c r="E128" s="246"/>
      <c r="F128" s="246"/>
      <c r="G128" s="246"/>
      <c r="H128" s="246"/>
      <c r="I128" s="231"/>
      <c r="J128" s="79"/>
    </row>
    <row r="129" spans="2:10">
      <c r="B129" s="229"/>
      <c r="C129" s="246"/>
      <c r="D129" s="246"/>
      <c r="E129" s="246"/>
      <c r="F129" s="246"/>
      <c r="G129" s="246"/>
      <c r="H129" s="246"/>
      <c r="I129" s="231"/>
      <c r="J129" s="79"/>
    </row>
    <row r="130" spans="2:10" ht="15" thickBot="1">
      <c r="B130" s="232"/>
      <c r="C130" s="233"/>
      <c r="D130" s="233"/>
      <c r="E130" s="233"/>
      <c r="F130" s="233"/>
      <c r="G130" s="233"/>
      <c r="H130" s="233"/>
      <c r="I130" s="234"/>
      <c r="J130" s="80"/>
    </row>
    <row r="131" spans="2:10" ht="15">
      <c r="B131" s="21"/>
      <c r="C131" s="21"/>
      <c r="D131" s="21"/>
      <c r="E131" s="21"/>
      <c r="F131" s="21"/>
      <c r="G131" s="21"/>
      <c r="H131" s="21"/>
      <c r="I131" s="21"/>
    </row>
    <row r="132" spans="2:10" ht="15.75" thickBot="1">
      <c r="B132" s="21"/>
      <c r="C132" s="21"/>
      <c r="D132" s="21"/>
      <c r="E132" s="21"/>
      <c r="F132" s="21"/>
      <c r="G132" s="21"/>
      <c r="H132" s="21"/>
      <c r="I132" s="21"/>
    </row>
    <row r="133" spans="2:10" ht="15">
      <c r="B133" s="237" t="s">
        <v>193</v>
      </c>
      <c r="C133" s="238"/>
      <c r="D133" s="238"/>
      <c r="E133" s="238"/>
      <c r="F133" s="238"/>
      <c r="G133" s="239"/>
      <c r="H133" s="169"/>
      <c r="I133" s="169"/>
      <c r="J133" s="59"/>
    </row>
    <row r="134" spans="2:10" ht="15">
      <c r="B134" s="240"/>
      <c r="C134" s="241"/>
      <c r="D134" s="241"/>
      <c r="E134" s="241"/>
      <c r="F134" s="241"/>
      <c r="G134" s="242"/>
      <c r="H134" s="170"/>
      <c r="I134" s="170"/>
      <c r="J134" s="79"/>
    </row>
    <row r="135" spans="2:10" ht="15.75" thickBot="1">
      <c r="B135" s="243"/>
      <c r="C135" s="244"/>
      <c r="D135" s="244"/>
      <c r="E135" s="244"/>
      <c r="F135" s="244"/>
      <c r="G135" s="245"/>
      <c r="H135" s="170"/>
      <c r="I135" s="170"/>
      <c r="J135" s="79"/>
    </row>
    <row r="136" spans="2:10">
      <c r="B136" s="77"/>
      <c r="C136" s="109"/>
      <c r="D136" s="109"/>
      <c r="E136" s="109"/>
      <c r="F136" s="109"/>
      <c r="G136" s="109"/>
      <c r="H136" s="109"/>
      <c r="I136" s="109"/>
      <c r="J136" s="79"/>
    </row>
    <row r="137" spans="2:10">
      <c r="B137" s="77" t="s">
        <v>179</v>
      </c>
      <c r="C137" s="109"/>
      <c r="D137" s="109"/>
      <c r="E137" s="109"/>
      <c r="F137" s="109"/>
      <c r="G137" s="109"/>
      <c r="H137" s="109"/>
      <c r="I137" s="109"/>
      <c r="J137" s="79"/>
    </row>
    <row r="138" spans="2:10" ht="15">
      <c r="B138" s="77" t="s">
        <v>193</v>
      </c>
      <c r="C138" s="109"/>
      <c r="D138" s="109"/>
      <c r="E138" s="109"/>
      <c r="F138" s="109"/>
      <c r="G138" s="109"/>
      <c r="H138" s="161" t="s">
        <v>194</v>
      </c>
      <c r="I138" s="162"/>
      <c r="J138" s="79"/>
    </row>
    <row r="139" spans="2:10">
      <c r="B139" s="77"/>
      <c r="C139" s="109"/>
      <c r="D139" s="109"/>
      <c r="E139" s="109"/>
      <c r="F139" s="109"/>
      <c r="G139" s="109"/>
      <c r="H139" s="109"/>
      <c r="I139" s="109"/>
      <c r="J139" s="79"/>
    </row>
    <row r="140" spans="2:10">
      <c r="B140" s="163" t="s">
        <v>195</v>
      </c>
      <c r="C140" s="109">
        <f>C108/D108</f>
        <v>7.9139383894276074</v>
      </c>
      <c r="D140" s="109" t="s">
        <v>183</v>
      </c>
      <c r="E140" s="109"/>
      <c r="F140" s="109"/>
      <c r="G140" s="164"/>
      <c r="H140" s="109"/>
      <c r="I140" s="109"/>
      <c r="J140" s="79"/>
    </row>
    <row r="141" spans="2:10">
      <c r="B141" s="163" t="s">
        <v>208</v>
      </c>
      <c r="C141" s="109">
        <f>_xlfn.T.INV(1-0.05/2,12)</f>
        <v>2.178812829667228</v>
      </c>
      <c r="D141" s="109"/>
      <c r="E141" s="109"/>
      <c r="F141" s="109"/>
      <c r="G141" s="109"/>
      <c r="H141" s="109"/>
      <c r="I141" s="109"/>
      <c r="J141" s="79"/>
    </row>
    <row r="142" spans="2:10">
      <c r="B142" s="163" t="s">
        <v>197</v>
      </c>
      <c r="C142" s="109">
        <f>F108</f>
        <v>4.2277101819717774E-7</v>
      </c>
      <c r="D142" s="109" t="s">
        <v>185</v>
      </c>
      <c r="E142" s="109"/>
      <c r="F142" s="109"/>
      <c r="G142" s="109"/>
      <c r="H142" s="109"/>
      <c r="I142" s="109"/>
      <c r="J142" s="79"/>
    </row>
    <row r="143" spans="2:10">
      <c r="B143" s="163" t="s">
        <v>186</v>
      </c>
      <c r="C143" s="109">
        <f>I108</f>
        <v>1.1642806034117175</v>
      </c>
      <c r="D143" s="109">
        <f>J108</f>
        <v>2.0107193965882804</v>
      </c>
      <c r="E143" s="109"/>
      <c r="F143" s="109"/>
      <c r="G143" s="109"/>
      <c r="H143" s="109"/>
      <c r="I143" s="109"/>
      <c r="J143" s="79"/>
    </row>
    <row r="144" spans="2:10">
      <c r="B144" s="77"/>
      <c r="C144" s="109"/>
      <c r="D144" s="109"/>
      <c r="E144" s="109"/>
      <c r="F144" s="109"/>
      <c r="G144" s="109"/>
      <c r="H144" s="109"/>
      <c r="I144" s="109"/>
      <c r="J144" s="79"/>
    </row>
    <row r="145" spans="2:10" ht="15">
      <c r="B145" s="167" t="s">
        <v>131</v>
      </c>
      <c r="C145" s="162"/>
      <c r="D145" s="162"/>
      <c r="E145" s="162"/>
      <c r="F145" s="162"/>
      <c r="G145" s="162"/>
      <c r="H145" s="168" t="s">
        <v>198</v>
      </c>
      <c r="I145" s="168" t="s">
        <v>188</v>
      </c>
      <c r="J145" s="79"/>
    </row>
    <row r="146" spans="2:10" ht="15">
      <c r="B146" s="167" t="s">
        <v>199</v>
      </c>
      <c r="C146" s="162"/>
      <c r="D146" s="162"/>
      <c r="E146" s="162"/>
      <c r="F146" s="162"/>
      <c r="G146" s="162"/>
      <c r="H146" s="168" t="s">
        <v>200</v>
      </c>
      <c r="I146" s="168" t="s">
        <v>191</v>
      </c>
      <c r="J146" s="79"/>
    </row>
    <row r="147" spans="2:10" ht="15">
      <c r="B147" s="167" t="s">
        <v>201</v>
      </c>
      <c r="C147" s="162"/>
      <c r="D147" s="162"/>
      <c r="E147" s="162"/>
      <c r="F147" s="162"/>
      <c r="G147" s="162"/>
      <c r="H147" s="162"/>
      <c r="I147" s="162"/>
      <c r="J147" s="79"/>
    </row>
    <row r="148" spans="2:10">
      <c r="B148" s="171"/>
      <c r="C148" s="166"/>
      <c r="D148" s="166"/>
      <c r="E148" s="166"/>
      <c r="F148" s="166"/>
      <c r="G148" s="166"/>
      <c r="H148" s="166"/>
      <c r="I148" s="166"/>
      <c r="J148" s="79"/>
    </row>
    <row r="149" spans="2:10" ht="15.75" thickBot="1">
      <c r="B149" s="167"/>
      <c r="C149" s="162"/>
      <c r="D149" s="162"/>
      <c r="E149" s="162"/>
      <c r="F149" s="162"/>
      <c r="G149" s="162"/>
      <c r="H149" s="162"/>
      <c r="I149" s="162"/>
      <c r="J149" s="79"/>
    </row>
    <row r="150" spans="2:10" ht="15.75" thickBot="1">
      <c r="B150" s="105" t="s">
        <v>210</v>
      </c>
      <c r="C150" s="162"/>
      <c r="D150" s="162"/>
      <c r="E150" s="162"/>
      <c r="F150" s="162"/>
      <c r="G150" s="162"/>
      <c r="H150" s="162"/>
      <c r="I150" s="162"/>
      <c r="J150" s="79"/>
    </row>
    <row r="151" spans="2:10">
      <c r="B151" s="226" t="s">
        <v>211</v>
      </c>
      <c r="C151" s="227"/>
      <c r="D151" s="227"/>
      <c r="E151" s="227"/>
      <c r="F151" s="227"/>
      <c r="G151" s="227"/>
      <c r="H151" s="227"/>
      <c r="I151" s="228"/>
      <c r="J151" s="79"/>
    </row>
    <row r="152" spans="2:10">
      <c r="B152" s="229"/>
      <c r="C152" s="246"/>
      <c r="D152" s="246"/>
      <c r="E152" s="246"/>
      <c r="F152" s="246"/>
      <c r="G152" s="246"/>
      <c r="H152" s="246"/>
      <c r="I152" s="231"/>
      <c r="J152" s="79"/>
    </row>
    <row r="153" spans="2:10">
      <c r="B153" s="229"/>
      <c r="C153" s="246"/>
      <c r="D153" s="246"/>
      <c r="E153" s="246"/>
      <c r="F153" s="246"/>
      <c r="G153" s="246"/>
      <c r="H153" s="246"/>
      <c r="I153" s="231"/>
      <c r="J153" s="79"/>
    </row>
    <row r="154" spans="2:10" ht="15" thickBot="1">
      <c r="B154" s="232"/>
      <c r="C154" s="233"/>
      <c r="D154" s="233"/>
      <c r="E154" s="233"/>
      <c r="F154" s="233"/>
      <c r="G154" s="233"/>
      <c r="H154" s="233"/>
      <c r="I154" s="234"/>
      <c r="J154" s="80"/>
    </row>
    <row r="155" spans="2:10" ht="15" thickBot="1">
      <c r="B155" s="22"/>
    </row>
    <row r="156" spans="2:10">
      <c r="B156" s="237" t="s">
        <v>202</v>
      </c>
      <c r="C156" s="238"/>
      <c r="D156" s="238"/>
      <c r="E156" s="238"/>
      <c r="F156" s="238"/>
      <c r="G156" s="239"/>
      <c r="H156" s="58"/>
      <c r="I156" s="58"/>
      <c r="J156" s="59"/>
    </row>
    <row r="157" spans="2:10">
      <c r="B157" s="240"/>
      <c r="C157" s="241"/>
      <c r="D157" s="241"/>
      <c r="E157" s="241"/>
      <c r="F157" s="241"/>
      <c r="G157" s="242"/>
      <c r="H157" s="109"/>
      <c r="I157" s="109"/>
      <c r="J157" s="79"/>
    </row>
    <row r="158" spans="2:10" ht="15" thickBot="1">
      <c r="B158" s="243"/>
      <c r="C158" s="244"/>
      <c r="D158" s="244"/>
      <c r="E158" s="244"/>
      <c r="F158" s="244"/>
      <c r="G158" s="245"/>
      <c r="H158" s="109"/>
      <c r="I158" s="109"/>
      <c r="J158" s="79"/>
    </row>
    <row r="159" spans="2:10">
      <c r="B159" s="163"/>
      <c r="C159" s="109"/>
      <c r="D159" s="109"/>
      <c r="E159" s="109"/>
      <c r="F159" s="109"/>
      <c r="G159" s="109"/>
      <c r="H159" s="109"/>
      <c r="I159" s="109"/>
      <c r="J159" s="79"/>
    </row>
    <row r="160" spans="2:10">
      <c r="B160" s="77" t="s">
        <v>179</v>
      </c>
      <c r="C160" s="109"/>
      <c r="D160" s="109"/>
      <c r="E160" s="109"/>
      <c r="F160" s="109"/>
      <c r="G160" s="109"/>
      <c r="H160" s="109"/>
      <c r="I160" s="109"/>
      <c r="J160" s="79"/>
    </row>
    <row r="161" spans="2:10">
      <c r="B161" s="77" t="s">
        <v>202</v>
      </c>
      <c r="C161" s="109"/>
      <c r="D161" s="109"/>
      <c r="E161" s="109"/>
      <c r="F161" s="109"/>
      <c r="G161" s="109"/>
      <c r="H161" s="109"/>
      <c r="I161" s="109"/>
      <c r="J161" s="79"/>
    </row>
    <row r="162" spans="2:10" ht="15">
      <c r="B162" s="77"/>
      <c r="C162" s="109"/>
      <c r="D162" s="109"/>
      <c r="E162" s="109"/>
      <c r="F162" s="109"/>
      <c r="G162" s="109"/>
      <c r="H162" s="161" t="s">
        <v>203</v>
      </c>
      <c r="I162" s="162"/>
      <c r="J162" s="79"/>
    </row>
    <row r="163" spans="2:10">
      <c r="B163" s="163" t="s">
        <v>204</v>
      </c>
      <c r="C163" s="109">
        <f>C109/D109</f>
        <v>91.789222422258817</v>
      </c>
      <c r="D163" s="109" t="s">
        <v>183</v>
      </c>
      <c r="E163" s="109"/>
      <c r="F163" s="109"/>
      <c r="G163" s="164"/>
      <c r="H163" s="109"/>
      <c r="I163" s="109"/>
      <c r="J163" s="79"/>
    </row>
    <row r="164" spans="2:10">
      <c r="B164" s="163" t="s">
        <v>208</v>
      </c>
      <c r="C164" s="109">
        <f>_xlfn.T.INV(1-0.05/2,12)</f>
        <v>2.178812829667228</v>
      </c>
      <c r="D164" s="109"/>
      <c r="E164" s="109"/>
      <c r="F164" s="109"/>
      <c r="G164" s="109"/>
      <c r="H164" s="109"/>
      <c r="I164" s="109"/>
      <c r="J164" s="79"/>
    </row>
    <row r="165" spans="2:10">
      <c r="B165" s="163" t="s">
        <v>205</v>
      </c>
      <c r="C165" s="109">
        <f>F109</f>
        <v>2.3154759477824584E-24</v>
      </c>
      <c r="D165" s="109" t="s">
        <v>185</v>
      </c>
      <c r="E165" s="109"/>
      <c r="F165" s="109"/>
      <c r="G165" s="109"/>
      <c r="H165" s="109"/>
      <c r="I165" s="109"/>
      <c r="J165" s="79"/>
    </row>
    <row r="166" spans="2:10">
      <c r="B166" s="163" t="s">
        <v>186</v>
      </c>
      <c r="C166" s="109">
        <f>I109</f>
        <v>17.989280603411714</v>
      </c>
      <c r="D166" s="109">
        <f>J109</f>
        <v>18.835719396588274</v>
      </c>
      <c r="E166" s="109"/>
      <c r="F166" s="109"/>
      <c r="G166" s="109"/>
      <c r="H166" s="109"/>
      <c r="I166" s="109"/>
      <c r="J166" s="79"/>
    </row>
    <row r="167" spans="2:10">
      <c r="B167" s="165"/>
      <c r="C167" s="166"/>
      <c r="D167" s="166"/>
      <c r="E167" s="166"/>
      <c r="F167" s="166"/>
      <c r="G167" s="166"/>
      <c r="H167" s="166"/>
      <c r="I167" s="166"/>
      <c r="J167" s="79"/>
    </row>
    <row r="168" spans="2:10" ht="15">
      <c r="B168" s="167" t="s">
        <v>131</v>
      </c>
      <c r="C168" s="162"/>
      <c r="D168" s="162"/>
      <c r="E168" s="162"/>
      <c r="F168" s="162"/>
      <c r="G168" s="162"/>
      <c r="H168" s="166"/>
      <c r="I168" s="166"/>
      <c r="J168" s="79"/>
    </row>
    <row r="169" spans="2:10" ht="15">
      <c r="B169" s="167" t="s">
        <v>206</v>
      </c>
      <c r="C169" s="162"/>
      <c r="D169" s="162"/>
      <c r="E169" s="162"/>
      <c r="F169" s="162"/>
      <c r="G169" s="162"/>
      <c r="H169" s="168" t="s">
        <v>198</v>
      </c>
      <c r="I169" s="168" t="s">
        <v>188</v>
      </c>
      <c r="J169" s="79"/>
    </row>
    <row r="170" spans="2:10" ht="15">
      <c r="B170" s="167" t="s">
        <v>207</v>
      </c>
      <c r="C170" s="162"/>
      <c r="D170" s="162"/>
      <c r="E170" s="162"/>
      <c r="F170" s="162"/>
      <c r="G170" s="162"/>
      <c r="H170" s="168" t="s">
        <v>200</v>
      </c>
      <c r="I170" s="168" t="s">
        <v>191</v>
      </c>
      <c r="J170" s="79"/>
    </row>
    <row r="171" spans="2:10" ht="15.75" thickBot="1">
      <c r="B171" s="165"/>
      <c r="C171" s="166"/>
      <c r="D171" s="166"/>
      <c r="E171" s="166"/>
      <c r="F171" s="166"/>
      <c r="G171" s="166"/>
      <c r="H171" s="162"/>
      <c r="I171" s="162"/>
      <c r="J171" s="79"/>
    </row>
    <row r="172" spans="2:10" ht="15.75" thickBot="1">
      <c r="B172" s="105" t="s">
        <v>210</v>
      </c>
      <c r="C172" s="162"/>
      <c r="D172" s="162"/>
      <c r="E172" s="162"/>
      <c r="F172" s="162"/>
      <c r="G172" s="162"/>
      <c r="H172" s="162"/>
      <c r="I172" s="162"/>
      <c r="J172" s="79"/>
    </row>
    <row r="173" spans="2:10">
      <c r="B173" s="226" t="s">
        <v>212</v>
      </c>
      <c r="C173" s="227"/>
      <c r="D173" s="227"/>
      <c r="E173" s="227"/>
      <c r="F173" s="227"/>
      <c r="G173" s="227"/>
      <c r="H173" s="227"/>
      <c r="I173" s="228"/>
      <c r="J173" s="79"/>
    </row>
    <row r="174" spans="2:10">
      <c r="B174" s="229"/>
      <c r="C174" s="246"/>
      <c r="D174" s="246"/>
      <c r="E174" s="246"/>
      <c r="F174" s="246"/>
      <c r="G174" s="246"/>
      <c r="H174" s="246"/>
      <c r="I174" s="231"/>
      <c r="J174" s="79"/>
    </row>
    <row r="175" spans="2:10">
      <c r="B175" s="229"/>
      <c r="C175" s="246"/>
      <c r="D175" s="246"/>
      <c r="E175" s="246"/>
      <c r="F175" s="246"/>
      <c r="G175" s="246"/>
      <c r="H175" s="246"/>
      <c r="I175" s="231"/>
      <c r="J175" s="79"/>
    </row>
    <row r="176" spans="2:10" ht="15" thickBot="1">
      <c r="B176" s="232"/>
      <c r="C176" s="233"/>
      <c r="D176" s="233"/>
      <c r="E176" s="233"/>
      <c r="F176" s="233"/>
      <c r="G176" s="233"/>
      <c r="H176" s="233"/>
      <c r="I176" s="234"/>
      <c r="J176" s="80"/>
    </row>
    <row r="185" spans="2:11">
      <c r="B185" s="44" t="s">
        <v>213</v>
      </c>
    </row>
    <row r="186" spans="2:11">
      <c r="B186" s="44"/>
    </row>
    <row r="187" spans="2:11" ht="15">
      <c r="B187" s="21" t="s">
        <v>179</v>
      </c>
    </row>
    <row r="188" spans="2:11" ht="15">
      <c r="B188" t="s">
        <v>215</v>
      </c>
      <c r="H188" s="161" t="s">
        <v>181</v>
      </c>
      <c r="I188" s="21"/>
    </row>
    <row r="190" spans="2:11">
      <c r="B190" s="22" t="s">
        <v>182</v>
      </c>
      <c r="C190">
        <f>E107</f>
        <v>8.2878252424714418</v>
      </c>
      <c r="D190" t="s">
        <v>183</v>
      </c>
    </row>
    <row r="191" spans="2:11">
      <c r="B191" s="22" t="s">
        <v>214</v>
      </c>
      <c r="C191">
        <f>_xlfn.F.INV(1-0.05/2,3,17)</f>
        <v>4.0111631180738776</v>
      </c>
    </row>
    <row r="192" spans="2:11" ht="15">
      <c r="B192" s="22" t="s">
        <v>184</v>
      </c>
      <c r="C192">
        <f>G200</f>
        <v>3.648855555197385E-23</v>
      </c>
      <c r="D192" t="s">
        <v>185</v>
      </c>
      <c r="K192" s="159"/>
    </row>
    <row r="193" spans="2:9">
      <c r="B193" s="22"/>
    </row>
    <row r="194" spans="2:9" ht="15">
      <c r="B194" s="21" t="s">
        <v>131</v>
      </c>
      <c r="C194" s="21"/>
      <c r="D194" s="150"/>
      <c r="E194" s="150"/>
      <c r="F194" s="150"/>
      <c r="G194" s="150"/>
    </row>
    <row r="195" spans="2:9" ht="15">
      <c r="B195" s="21" t="s">
        <v>189</v>
      </c>
      <c r="C195" s="21"/>
      <c r="D195" s="150"/>
      <c r="E195" s="150"/>
      <c r="F195" s="150"/>
      <c r="G195" s="150"/>
      <c r="H195" s="158" t="s">
        <v>198</v>
      </c>
      <c r="I195" s="158" t="s">
        <v>188</v>
      </c>
    </row>
    <row r="196" spans="2:9" ht="15">
      <c r="B196" s="21" t="s">
        <v>192</v>
      </c>
      <c r="C196" s="21"/>
      <c r="D196" s="150"/>
      <c r="E196" s="150"/>
      <c r="F196" s="150"/>
      <c r="G196" s="150"/>
      <c r="H196" s="158" t="s">
        <v>200</v>
      </c>
      <c r="I196" s="158" t="s">
        <v>191</v>
      </c>
    </row>
    <row r="197" spans="2:9" ht="15">
      <c r="H197" s="150"/>
      <c r="I197" s="150"/>
    </row>
    <row r="198" spans="2:9" ht="15" thickBot="1">
      <c r="B198" t="s">
        <v>69</v>
      </c>
    </row>
    <row r="199" spans="2:9">
      <c r="B199" s="152"/>
      <c r="C199" s="142" t="s">
        <v>74</v>
      </c>
      <c r="D199" s="142" t="s">
        <v>75</v>
      </c>
      <c r="E199" s="142" t="s">
        <v>76</v>
      </c>
      <c r="F199" s="142" t="s">
        <v>77</v>
      </c>
      <c r="G199" s="153" t="s">
        <v>78</v>
      </c>
    </row>
    <row r="200" spans="2:9">
      <c r="B200" s="154" t="s">
        <v>70</v>
      </c>
      <c r="C200" s="140">
        <v>3</v>
      </c>
      <c r="D200" s="140">
        <v>5508.8675000000003</v>
      </c>
      <c r="E200" s="140">
        <v>1836.2891666666667</v>
      </c>
      <c r="F200" s="140">
        <v>2852.1932736547697</v>
      </c>
      <c r="G200" s="155">
        <v>3.648855555197385E-23</v>
      </c>
    </row>
    <row r="201" spans="2:9">
      <c r="B201" s="154" t="s">
        <v>71</v>
      </c>
      <c r="C201" s="140">
        <v>17</v>
      </c>
      <c r="D201" s="140">
        <v>10.944880952381013</v>
      </c>
      <c r="E201" s="140">
        <v>0.64381652661064781</v>
      </c>
      <c r="F201" s="140"/>
      <c r="G201" s="155"/>
    </row>
    <row r="202" spans="2:9" ht="15" thickBot="1">
      <c r="B202" s="156" t="s">
        <v>72</v>
      </c>
      <c r="C202" s="141">
        <v>20</v>
      </c>
      <c r="D202" s="141">
        <v>5519.8123809523813</v>
      </c>
      <c r="E202" s="141"/>
      <c r="F202" s="141"/>
      <c r="G202" s="157"/>
    </row>
    <row r="204" spans="2:9" ht="15" thickBot="1">
      <c r="B204" t="s">
        <v>210</v>
      </c>
    </row>
    <row r="205" spans="2:9">
      <c r="B205" s="226" t="s">
        <v>216</v>
      </c>
      <c r="C205" s="227"/>
      <c r="D205" s="227"/>
      <c r="E205" s="227"/>
      <c r="F205" s="227"/>
      <c r="G205" s="227"/>
      <c r="H205" s="227"/>
      <c r="I205" s="228"/>
    </row>
    <row r="206" spans="2:9">
      <c r="B206" s="229"/>
      <c r="C206" s="246"/>
      <c r="D206" s="246"/>
      <c r="E206" s="246"/>
      <c r="F206" s="246"/>
      <c r="G206" s="246"/>
      <c r="H206" s="246"/>
      <c r="I206" s="231"/>
    </row>
    <row r="207" spans="2:9">
      <c r="B207" s="229"/>
      <c r="C207" s="246"/>
      <c r="D207" s="246"/>
      <c r="E207" s="246"/>
      <c r="F207" s="246"/>
      <c r="G207" s="246"/>
      <c r="H207" s="246"/>
      <c r="I207" s="231"/>
    </row>
    <row r="208" spans="2:9">
      <c r="B208" s="229"/>
      <c r="C208" s="246"/>
      <c r="D208" s="246"/>
      <c r="E208" s="246"/>
      <c r="F208" s="246"/>
      <c r="G208" s="246"/>
      <c r="H208" s="246"/>
      <c r="I208" s="231"/>
    </row>
    <row r="209" spans="2:9">
      <c r="B209" s="229"/>
      <c r="C209" s="246"/>
      <c r="D209" s="246"/>
      <c r="E209" s="246"/>
      <c r="F209" s="246"/>
      <c r="G209" s="246"/>
      <c r="H209" s="246"/>
      <c r="I209" s="231"/>
    </row>
    <row r="210" spans="2:9">
      <c r="B210" s="229"/>
      <c r="C210" s="246"/>
      <c r="D210" s="246"/>
      <c r="E210" s="246"/>
      <c r="F210" s="246"/>
      <c r="G210" s="246"/>
      <c r="H210" s="246"/>
      <c r="I210" s="231"/>
    </row>
    <row r="211" spans="2:9">
      <c r="B211" s="229"/>
      <c r="C211" s="246"/>
      <c r="D211" s="246"/>
      <c r="E211" s="246"/>
      <c r="F211" s="246"/>
      <c r="G211" s="246"/>
      <c r="H211" s="246"/>
      <c r="I211" s="231"/>
    </row>
    <row r="212" spans="2:9" ht="15" thickBot="1">
      <c r="B212" s="232"/>
      <c r="C212" s="233"/>
      <c r="D212" s="233"/>
      <c r="E212" s="233"/>
      <c r="F212" s="233"/>
      <c r="G212" s="233"/>
      <c r="H212" s="233"/>
      <c r="I212" s="234"/>
    </row>
  </sheetData>
  <mergeCells count="8">
    <mergeCell ref="C5:D5"/>
    <mergeCell ref="B111:G113"/>
    <mergeCell ref="B133:G135"/>
    <mergeCell ref="B156:G158"/>
    <mergeCell ref="B127:I130"/>
    <mergeCell ref="B151:I154"/>
    <mergeCell ref="B173:I176"/>
    <mergeCell ref="B205:I2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72"/>
  <sheetViews>
    <sheetView workbookViewId="0">
      <selection activeCell="F168" sqref="F168"/>
    </sheetView>
  </sheetViews>
  <sheetFormatPr defaultRowHeight="14.25"/>
  <cols>
    <col min="2" max="2" width="11.25" customWidth="1"/>
    <col min="5" max="5" width="12" bestFit="1" customWidth="1"/>
    <col min="9" max="9" width="20.125" customWidth="1"/>
  </cols>
  <sheetData>
    <row r="2" spans="2:10">
      <c r="B2" s="44" t="s">
        <v>217</v>
      </c>
    </row>
    <row r="3" spans="2:10" ht="15" thickBot="1"/>
    <row r="4" spans="2:10" ht="15" thickBot="1">
      <c r="B4" s="85"/>
      <c r="C4" s="86" t="s">
        <v>79</v>
      </c>
      <c r="D4" s="86" t="s">
        <v>67</v>
      </c>
      <c r="E4" s="86" t="s">
        <v>80</v>
      </c>
      <c r="F4" s="88" t="s">
        <v>81</v>
      </c>
      <c r="G4" s="86" t="s">
        <v>82</v>
      </c>
      <c r="H4" s="86" t="s">
        <v>83</v>
      </c>
      <c r="I4" s="86" t="s">
        <v>84</v>
      </c>
      <c r="J4" s="87" t="s">
        <v>85</v>
      </c>
    </row>
    <row r="5" spans="2:10" ht="15">
      <c r="B5" s="77" t="s">
        <v>42</v>
      </c>
      <c r="C5" s="78">
        <v>-0.10000000000000051</v>
      </c>
      <c r="D5">
        <v>7.6034531628727642E-2</v>
      </c>
      <c r="E5">
        <v>-1.3151918984428668</v>
      </c>
      <c r="F5" s="91">
        <v>0.22488916313113544</v>
      </c>
      <c r="G5">
        <v>-0.27533594435415848</v>
      </c>
      <c r="H5">
        <v>7.5335944354157469E-2</v>
      </c>
      <c r="I5">
        <v>-0.27533594435415848</v>
      </c>
      <c r="J5" s="79">
        <v>7.5335944354157469E-2</v>
      </c>
    </row>
    <row r="6" spans="2:10">
      <c r="B6" s="77" t="s">
        <v>43</v>
      </c>
      <c r="C6" s="78">
        <v>0.55000000000000038</v>
      </c>
      <c r="D6">
        <v>7.6034531628727642E-2</v>
      </c>
      <c r="E6">
        <v>7.2335554414357359</v>
      </c>
      <c r="F6" s="90">
        <v>8.9473768379447202E-5</v>
      </c>
      <c r="G6">
        <v>0.37466405564584238</v>
      </c>
      <c r="H6">
        <v>0.72533594435415838</v>
      </c>
      <c r="I6">
        <v>0.37466405564584238</v>
      </c>
      <c r="J6" s="79">
        <v>0.72533594435415838</v>
      </c>
    </row>
    <row r="7" spans="2:10">
      <c r="B7" s="77" t="s">
        <v>44</v>
      </c>
      <c r="C7" s="78">
        <v>0.32499999999999812</v>
      </c>
      <c r="D7">
        <v>7.6034531628727642E-2</v>
      </c>
      <c r="E7">
        <v>4.2743736699392709</v>
      </c>
      <c r="F7" s="90">
        <v>2.7080734154907881E-3</v>
      </c>
      <c r="G7">
        <v>0.14966405564584015</v>
      </c>
      <c r="H7">
        <v>0.50033594435415607</v>
      </c>
      <c r="I7">
        <v>0.14966405564584015</v>
      </c>
      <c r="J7" s="79">
        <v>0.50033594435415607</v>
      </c>
    </row>
    <row r="8" spans="2:10" ht="15.75" thickBot="1">
      <c r="B8" s="30" t="s">
        <v>45</v>
      </c>
      <c r="C8" s="74">
        <v>-0.13749999999999871</v>
      </c>
      <c r="D8" s="72">
        <v>7.6034531628727642E-2</v>
      </c>
      <c r="E8" s="72">
        <v>-1.8083888603589156</v>
      </c>
      <c r="F8" s="92">
        <v>0.10815683948902927</v>
      </c>
      <c r="G8" s="72">
        <v>-0.31283594435415668</v>
      </c>
      <c r="H8" s="72">
        <v>3.7835944354159268E-2</v>
      </c>
      <c r="I8" s="72">
        <v>-0.31283594435415668</v>
      </c>
      <c r="J8" s="80">
        <v>3.7835944354159268E-2</v>
      </c>
    </row>
    <row r="11" spans="2:10" ht="15">
      <c r="B11" s="151"/>
      <c r="C11" s="151"/>
      <c r="D11" s="151"/>
      <c r="E11" s="172" t="s">
        <v>218</v>
      </c>
      <c r="F11" s="151"/>
      <c r="G11" s="151"/>
      <c r="H11" s="151"/>
      <c r="I11" s="257" t="s">
        <v>219</v>
      </c>
      <c r="J11" s="257"/>
    </row>
    <row r="12" spans="2:10">
      <c r="B12" s="256"/>
      <c r="C12" s="256"/>
    </row>
    <row r="13" spans="2:10">
      <c r="C13" s="22" t="s">
        <v>220</v>
      </c>
      <c r="D13">
        <f>E5</f>
        <v>-1.3151918984428668</v>
      </c>
      <c r="E13" t="s">
        <v>196</v>
      </c>
      <c r="G13" s="145" t="s">
        <v>221</v>
      </c>
      <c r="H13" s="145"/>
    </row>
    <row r="14" spans="2:10">
      <c r="C14" s="22" t="s">
        <v>225</v>
      </c>
      <c r="D14">
        <f>_xlfn.T.INV(1-0.05/2,12)</f>
        <v>2.178812829667228</v>
      </c>
      <c r="G14" s="145" t="s">
        <v>222</v>
      </c>
      <c r="H14" s="145"/>
    </row>
    <row r="15" spans="2:10">
      <c r="C15" s="22" t="s">
        <v>223</v>
      </c>
      <c r="D15">
        <f>F5</f>
        <v>0.22488916313113544</v>
      </c>
      <c r="E15" t="s">
        <v>226</v>
      </c>
    </row>
    <row r="16" spans="2:10">
      <c r="C16" s="22" t="s">
        <v>224</v>
      </c>
      <c r="D16">
        <f>I5</f>
        <v>-0.27533594435415848</v>
      </c>
      <c r="E16">
        <f>J5</f>
        <v>7.5335944354157469E-2</v>
      </c>
    </row>
    <row r="17" spans="2:10" ht="15" thickBot="1"/>
    <row r="18" spans="2:10">
      <c r="B18" s="258" t="s">
        <v>231</v>
      </c>
      <c r="C18" s="259"/>
      <c r="D18" s="259"/>
      <c r="E18" s="259"/>
      <c r="F18" s="259"/>
      <c r="G18" s="259"/>
      <c r="H18" s="260"/>
    </row>
    <row r="19" spans="2:10">
      <c r="B19" s="261"/>
      <c r="C19" s="262"/>
      <c r="D19" s="262"/>
      <c r="E19" s="262"/>
      <c r="F19" s="262"/>
      <c r="G19" s="262"/>
      <c r="H19" s="263"/>
    </row>
    <row r="20" spans="2:10">
      <c r="B20" s="261"/>
      <c r="C20" s="262"/>
      <c r="D20" s="262"/>
      <c r="E20" s="262"/>
      <c r="F20" s="262"/>
      <c r="G20" s="262"/>
      <c r="H20" s="263"/>
    </row>
    <row r="21" spans="2:10">
      <c r="B21" s="261"/>
      <c r="C21" s="262"/>
      <c r="D21" s="262"/>
      <c r="E21" s="262"/>
      <c r="F21" s="262"/>
      <c r="G21" s="262"/>
      <c r="H21" s="263"/>
    </row>
    <row r="22" spans="2:10" ht="15" thickBot="1">
      <c r="B22" s="264"/>
      <c r="C22" s="265"/>
      <c r="D22" s="265"/>
      <c r="E22" s="265"/>
      <c r="F22" s="265"/>
      <c r="G22" s="265"/>
      <c r="H22" s="266"/>
    </row>
    <row r="25" spans="2:10" ht="15">
      <c r="B25" s="151"/>
      <c r="C25" s="151"/>
      <c r="D25" s="151"/>
      <c r="E25" s="172" t="s">
        <v>227</v>
      </c>
      <c r="F25" s="151"/>
      <c r="G25" s="151"/>
      <c r="H25" s="151"/>
      <c r="I25" s="257" t="s">
        <v>228</v>
      </c>
      <c r="J25" s="257"/>
    </row>
    <row r="26" spans="2:10">
      <c r="C26" s="256"/>
      <c r="D26" s="256"/>
    </row>
    <row r="27" spans="2:10">
      <c r="D27" s="22" t="s">
        <v>229</v>
      </c>
      <c r="E27">
        <f>E6</f>
        <v>7.2335554414357359</v>
      </c>
      <c r="F27" t="s">
        <v>183</v>
      </c>
      <c r="H27" s="145" t="s">
        <v>221</v>
      </c>
      <c r="I27" s="145"/>
    </row>
    <row r="28" spans="2:10">
      <c r="D28" s="22" t="s">
        <v>225</v>
      </c>
      <c r="E28">
        <f>_xlfn.T.INV(1-0.05/2,12)</f>
        <v>2.178812829667228</v>
      </c>
      <c r="H28" s="145" t="s">
        <v>222</v>
      </c>
      <c r="I28" s="145"/>
    </row>
    <row r="29" spans="2:10">
      <c r="D29" s="22" t="s">
        <v>230</v>
      </c>
      <c r="E29">
        <f>F6</f>
        <v>8.9473768379447202E-5</v>
      </c>
      <c r="F29" t="s">
        <v>185</v>
      </c>
    </row>
    <row r="30" spans="2:10">
      <c r="D30" s="22" t="s">
        <v>224</v>
      </c>
      <c r="E30">
        <f>I6</f>
        <v>0.37466405564584238</v>
      </c>
      <c r="F30">
        <f>J6</f>
        <v>0.72533594435415838</v>
      </c>
    </row>
    <row r="31" spans="2:10" ht="15" thickBot="1"/>
    <row r="32" spans="2:10">
      <c r="B32" s="258" t="s">
        <v>232</v>
      </c>
      <c r="C32" s="259"/>
      <c r="D32" s="259"/>
      <c r="E32" s="259"/>
      <c r="F32" s="259"/>
      <c r="G32" s="259"/>
      <c r="H32" s="260"/>
    </row>
    <row r="33" spans="2:9">
      <c r="B33" s="261"/>
      <c r="C33" s="262"/>
      <c r="D33" s="262"/>
      <c r="E33" s="262"/>
      <c r="F33" s="262"/>
      <c r="G33" s="262"/>
      <c r="H33" s="263"/>
    </row>
    <row r="34" spans="2:9">
      <c r="B34" s="261"/>
      <c r="C34" s="262"/>
      <c r="D34" s="262"/>
      <c r="E34" s="262"/>
      <c r="F34" s="262"/>
      <c r="G34" s="262"/>
      <c r="H34" s="263"/>
    </row>
    <row r="35" spans="2:9">
      <c r="B35" s="261"/>
      <c r="C35" s="262"/>
      <c r="D35" s="262"/>
      <c r="E35" s="262"/>
      <c r="F35" s="262"/>
      <c r="G35" s="262"/>
      <c r="H35" s="263"/>
    </row>
    <row r="36" spans="2:9" ht="15" thickBot="1">
      <c r="B36" s="264"/>
      <c r="C36" s="265"/>
      <c r="D36" s="265"/>
      <c r="E36" s="265"/>
      <c r="F36" s="265"/>
      <c r="G36" s="265"/>
      <c r="H36" s="266"/>
    </row>
    <row r="39" spans="2:9" ht="15">
      <c r="B39" s="151" t="s">
        <v>233</v>
      </c>
      <c r="C39" s="172"/>
      <c r="D39" s="151"/>
      <c r="E39" s="151"/>
      <c r="H39" s="257" t="s">
        <v>234</v>
      </c>
      <c r="I39" s="257"/>
    </row>
    <row r="40" spans="2:9">
      <c r="B40" s="256"/>
      <c r="C40" s="256"/>
    </row>
    <row r="41" spans="2:9">
      <c r="C41" s="22" t="s">
        <v>235</v>
      </c>
      <c r="D41">
        <f>E7</f>
        <v>4.2743736699392709</v>
      </c>
      <c r="E41" t="s">
        <v>237</v>
      </c>
      <c r="G41" s="145" t="s">
        <v>221</v>
      </c>
      <c r="H41" s="145"/>
    </row>
    <row r="42" spans="2:9">
      <c r="C42" s="22" t="s">
        <v>225</v>
      </c>
      <c r="D42">
        <f>_xlfn.T.INV(1-0.05/2,12)</f>
        <v>2.178812829667228</v>
      </c>
      <c r="G42" s="145" t="s">
        <v>222</v>
      </c>
      <c r="H42" s="145"/>
    </row>
    <row r="43" spans="2:9">
      <c r="C43" s="22" t="s">
        <v>236</v>
      </c>
      <c r="D43">
        <f>F7</f>
        <v>2.7080734154907881E-3</v>
      </c>
      <c r="E43" t="s">
        <v>185</v>
      </c>
    </row>
    <row r="44" spans="2:9">
      <c r="C44" s="22" t="s">
        <v>224</v>
      </c>
      <c r="D44">
        <f>I7</f>
        <v>0.14966405564584015</v>
      </c>
      <c r="E44">
        <f>J7</f>
        <v>0.50033594435415607</v>
      </c>
    </row>
    <row r="45" spans="2:9" ht="15" thickBot="1"/>
    <row r="46" spans="2:9">
      <c r="B46" s="258" t="s">
        <v>238</v>
      </c>
      <c r="C46" s="259"/>
      <c r="D46" s="259"/>
      <c r="E46" s="259"/>
      <c r="F46" s="259"/>
      <c r="G46" s="259"/>
      <c r="H46" s="260"/>
    </row>
    <row r="47" spans="2:9">
      <c r="B47" s="261"/>
      <c r="C47" s="262"/>
      <c r="D47" s="262"/>
      <c r="E47" s="262"/>
      <c r="F47" s="262"/>
      <c r="G47" s="262"/>
      <c r="H47" s="263"/>
    </row>
    <row r="48" spans="2:9">
      <c r="B48" s="261"/>
      <c r="C48" s="262"/>
      <c r="D48" s="262"/>
      <c r="E48" s="262"/>
      <c r="F48" s="262"/>
      <c r="G48" s="262"/>
      <c r="H48" s="263"/>
    </row>
    <row r="49" spans="2:10">
      <c r="B49" s="261"/>
      <c r="C49" s="262"/>
      <c r="D49" s="262"/>
      <c r="E49" s="262"/>
      <c r="F49" s="262"/>
      <c r="G49" s="262"/>
      <c r="H49" s="263"/>
    </row>
    <row r="50" spans="2:10" ht="15" thickBot="1">
      <c r="B50" s="264"/>
      <c r="C50" s="265"/>
      <c r="D50" s="265"/>
      <c r="E50" s="265"/>
      <c r="F50" s="265"/>
      <c r="G50" s="265"/>
      <c r="H50" s="266"/>
    </row>
    <row r="52" spans="2:10" ht="15">
      <c r="B52" s="151" t="s">
        <v>239</v>
      </c>
      <c r="C52" s="172"/>
      <c r="D52" s="151"/>
      <c r="E52" s="151"/>
      <c r="I52" s="257" t="s">
        <v>240</v>
      </c>
      <c r="J52" s="257"/>
    </row>
    <row r="53" spans="2:10">
      <c r="C53" s="256"/>
      <c r="D53" s="256"/>
    </row>
    <row r="54" spans="2:10">
      <c r="D54" s="22" t="s">
        <v>241</v>
      </c>
      <c r="E54">
        <f>E8</f>
        <v>-1.8083888603589156</v>
      </c>
      <c r="F54" t="s">
        <v>196</v>
      </c>
      <c r="H54" s="145" t="s">
        <v>221</v>
      </c>
      <c r="I54" s="145"/>
    </row>
    <row r="55" spans="2:10">
      <c r="D55" s="22" t="s">
        <v>225</v>
      </c>
      <c r="E55">
        <f>_xlfn.T.INV(1-0.05/2,12)</f>
        <v>2.178812829667228</v>
      </c>
      <c r="H55" s="145" t="s">
        <v>222</v>
      </c>
      <c r="I55" s="145"/>
    </row>
    <row r="56" spans="2:10">
      <c r="D56" s="22" t="s">
        <v>242</v>
      </c>
      <c r="E56">
        <f>F8</f>
        <v>0.10815683948902927</v>
      </c>
      <c r="F56" t="s">
        <v>226</v>
      </c>
    </row>
    <row r="57" spans="2:10">
      <c r="D57" s="22" t="s">
        <v>224</v>
      </c>
      <c r="E57">
        <f>I8</f>
        <v>-0.31283594435415668</v>
      </c>
      <c r="F57">
        <f>J8</f>
        <v>3.7835944354159268E-2</v>
      </c>
    </row>
    <row r="58" spans="2:10" ht="15" thickBot="1"/>
    <row r="59" spans="2:10">
      <c r="B59" s="258" t="s">
        <v>243</v>
      </c>
      <c r="C59" s="259"/>
      <c r="D59" s="259"/>
      <c r="E59" s="259"/>
      <c r="F59" s="259"/>
      <c r="G59" s="259"/>
      <c r="H59" s="260"/>
    </row>
    <row r="60" spans="2:10">
      <c r="B60" s="261"/>
      <c r="C60" s="262"/>
      <c r="D60" s="262"/>
      <c r="E60" s="262"/>
      <c r="F60" s="262"/>
      <c r="G60" s="262"/>
      <c r="H60" s="263"/>
    </row>
    <row r="61" spans="2:10">
      <c r="B61" s="261"/>
      <c r="C61" s="262"/>
      <c r="D61" s="262"/>
      <c r="E61" s="262"/>
      <c r="F61" s="262"/>
      <c r="G61" s="262"/>
      <c r="H61" s="263"/>
    </row>
    <row r="62" spans="2:10">
      <c r="B62" s="261"/>
      <c r="C62" s="262"/>
      <c r="D62" s="262"/>
      <c r="E62" s="262"/>
      <c r="F62" s="262"/>
      <c r="G62" s="262"/>
      <c r="H62" s="263"/>
    </row>
    <row r="63" spans="2:10" ht="15" thickBot="1">
      <c r="B63" s="264"/>
      <c r="C63" s="265"/>
      <c r="D63" s="265"/>
      <c r="E63" s="265"/>
      <c r="F63" s="265"/>
      <c r="G63" s="265"/>
      <c r="H63" s="266"/>
    </row>
    <row r="64" spans="2:10" ht="15">
      <c r="B64" s="173"/>
      <c r="C64" s="173"/>
      <c r="D64" s="173"/>
      <c r="E64" s="173"/>
      <c r="F64" s="173"/>
      <c r="G64" s="173"/>
      <c r="H64" s="173"/>
    </row>
    <row r="65" spans="2:18" ht="15">
      <c r="B65" s="173"/>
      <c r="C65" s="173"/>
      <c r="D65" s="173"/>
      <c r="E65" s="173"/>
      <c r="F65" s="173"/>
      <c r="G65" s="173"/>
      <c r="H65" s="173"/>
    </row>
    <row r="66" spans="2:18" ht="15">
      <c r="B66" s="173"/>
      <c r="C66" s="173"/>
      <c r="D66" s="173"/>
      <c r="E66" s="173"/>
      <c r="F66" s="173"/>
      <c r="G66" s="173"/>
      <c r="H66" s="173"/>
    </row>
    <row r="68" spans="2:18">
      <c r="B68" s="44" t="s">
        <v>244</v>
      </c>
    </row>
    <row r="70" spans="2:18" ht="15" thickBot="1">
      <c r="H70" t="s">
        <v>248</v>
      </c>
    </row>
    <row r="71" spans="2:18" ht="15.75" thickBot="1">
      <c r="B71" s="35" t="s">
        <v>21</v>
      </c>
      <c r="C71" s="36" t="s">
        <v>22</v>
      </c>
      <c r="D71" s="36" t="s">
        <v>23</v>
      </c>
      <c r="E71" s="37" t="s">
        <v>24</v>
      </c>
      <c r="H71" t="s">
        <v>16</v>
      </c>
    </row>
    <row r="72" spans="2:18">
      <c r="B72" s="32">
        <v>-1</v>
      </c>
      <c r="C72" s="33">
        <v>-1</v>
      </c>
      <c r="D72" s="33">
        <v>-1</v>
      </c>
      <c r="E72" s="34">
        <v>36.799999999999997</v>
      </c>
      <c r="H72">
        <v>-1</v>
      </c>
      <c r="I72">
        <f>AVERAGE(E82,E80,E74,E72,E76,E78,E84,E86)</f>
        <v>57.487500000000004</v>
      </c>
    </row>
    <row r="73" spans="2:18">
      <c r="B73" s="24">
        <v>-1</v>
      </c>
      <c r="C73" s="25">
        <v>-1</v>
      </c>
      <c r="D73" s="25">
        <v>-1</v>
      </c>
      <c r="E73" s="26">
        <v>37.1</v>
      </c>
      <c r="H73">
        <v>1</v>
      </c>
      <c r="I73">
        <f>AVERAGE(E79,E77,E87,E85,E83,E81,E75,E73)</f>
        <v>57.912500000000009</v>
      </c>
    </row>
    <row r="74" spans="2:18" ht="15">
      <c r="B74" s="24">
        <v>-1</v>
      </c>
      <c r="C74" s="25">
        <v>-1</v>
      </c>
      <c r="D74" s="25">
        <v>1</v>
      </c>
      <c r="E74" s="26">
        <v>71.5</v>
      </c>
      <c r="H74" s="22" t="s">
        <v>245</v>
      </c>
      <c r="I74">
        <f>I73-I72</f>
        <v>0.42500000000000426</v>
      </c>
      <c r="P74" s="20"/>
      <c r="Q74" s="21"/>
      <c r="R74" s="13"/>
    </row>
    <row r="75" spans="2:18" ht="15">
      <c r="B75" s="24">
        <v>-1</v>
      </c>
      <c r="C75" s="25">
        <v>-1</v>
      </c>
      <c r="D75" s="25">
        <v>1</v>
      </c>
      <c r="E75" s="26">
        <v>72</v>
      </c>
      <c r="P75" s="20"/>
      <c r="Q75" s="21"/>
      <c r="R75" s="13"/>
    </row>
    <row r="76" spans="2:18" ht="15">
      <c r="B76" s="24">
        <v>-1</v>
      </c>
      <c r="C76" s="25">
        <v>1</v>
      </c>
      <c r="D76" s="25">
        <v>-1</v>
      </c>
      <c r="E76" s="26">
        <v>39.200000000000003</v>
      </c>
      <c r="P76" s="20"/>
      <c r="Q76" s="21"/>
      <c r="R76" s="23"/>
    </row>
    <row r="77" spans="2:18" ht="15">
      <c r="B77" s="24">
        <v>-1</v>
      </c>
      <c r="C77" s="25">
        <v>1</v>
      </c>
      <c r="D77" s="25">
        <v>-1</v>
      </c>
      <c r="E77" s="26">
        <v>39.6</v>
      </c>
      <c r="H77" t="s">
        <v>249</v>
      </c>
      <c r="P77" s="22"/>
      <c r="Q77" s="20"/>
      <c r="R77" s="23"/>
    </row>
    <row r="78" spans="2:18">
      <c r="B78" s="24">
        <v>-1</v>
      </c>
      <c r="C78" s="25">
        <v>1</v>
      </c>
      <c r="D78" s="25">
        <v>1</v>
      </c>
      <c r="E78" s="26">
        <v>75.8</v>
      </c>
      <c r="H78" t="s">
        <v>18</v>
      </c>
    </row>
    <row r="79" spans="2:18" ht="15">
      <c r="B79" s="24">
        <v>-1</v>
      </c>
      <c r="C79" s="25">
        <v>1</v>
      </c>
      <c r="D79" s="25">
        <v>1</v>
      </c>
      <c r="E79" s="26">
        <v>76.3</v>
      </c>
      <c r="H79">
        <v>-1</v>
      </c>
      <c r="I79">
        <f>AVERAGE(E75,E73,E74,E72,E83,E81,E82,E80)</f>
        <v>56.112499999999997</v>
      </c>
      <c r="J79" s="174"/>
    </row>
    <row r="80" spans="2:18" ht="15">
      <c r="B80" s="24">
        <v>1</v>
      </c>
      <c r="C80" s="25">
        <v>-1</v>
      </c>
      <c r="D80" s="25">
        <v>-1</v>
      </c>
      <c r="E80" s="26">
        <v>38.9</v>
      </c>
      <c r="H80">
        <v>1</v>
      </c>
      <c r="I80">
        <f>AVERAGE(E79,E77,E87,E85,E86,E84,E78,E76)</f>
        <v>59.287500000000001</v>
      </c>
      <c r="J80" s="174"/>
    </row>
    <row r="81" spans="2:10" ht="15">
      <c r="B81" s="24">
        <v>1</v>
      </c>
      <c r="C81" s="25">
        <v>-1</v>
      </c>
      <c r="D81" s="25">
        <v>-1</v>
      </c>
      <c r="E81" s="26">
        <v>39.299999999999997</v>
      </c>
      <c r="H81" s="22" t="s">
        <v>246</v>
      </c>
      <c r="I81">
        <f>I80-I79</f>
        <v>3.1750000000000043</v>
      </c>
      <c r="J81" s="174"/>
    </row>
    <row r="82" spans="2:10" ht="15">
      <c r="B82" s="24">
        <v>1</v>
      </c>
      <c r="C82" s="25">
        <v>-1</v>
      </c>
      <c r="D82" s="25">
        <v>1</v>
      </c>
      <c r="E82" s="26">
        <v>76.400000000000006</v>
      </c>
      <c r="J82" s="174"/>
    </row>
    <row r="83" spans="2:10" ht="15">
      <c r="B83" s="24">
        <v>1</v>
      </c>
      <c r="C83" s="25">
        <v>-1</v>
      </c>
      <c r="D83" s="25">
        <v>1</v>
      </c>
      <c r="E83" s="26">
        <v>76.900000000000006</v>
      </c>
      <c r="J83" s="174"/>
    </row>
    <row r="84" spans="2:10" ht="15">
      <c r="B84" s="24">
        <v>1</v>
      </c>
      <c r="C84" s="25">
        <v>1</v>
      </c>
      <c r="D84" s="25">
        <v>-1</v>
      </c>
      <c r="E84" s="26">
        <v>41.5</v>
      </c>
      <c r="H84" t="s">
        <v>250</v>
      </c>
      <c r="J84" s="174"/>
    </row>
    <row r="85" spans="2:10">
      <c r="B85" s="24">
        <v>1</v>
      </c>
      <c r="C85" s="25">
        <v>1</v>
      </c>
      <c r="D85" s="25">
        <v>-1</v>
      </c>
      <c r="E85" s="26">
        <v>41.9</v>
      </c>
      <c r="H85" t="s">
        <v>17</v>
      </c>
    </row>
    <row r="86" spans="2:10">
      <c r="B86" s="24">
        <v>1</v>
      </c>
      <c r="C86" s="25">
        <v>1</v>
      </c>
      <c r="D86" s="25">
        <v>1</v>
      </c>
      <c r="E86" s="26">
        <v>79.8</v>
      </c>
      <c r="H86">
        <v>-1</v>
      </c>
      <c r="I86">
        <f>AVERAGE(E79,E77,E75,E73,E78,E76,E74,E72)</f>
        <v>56.037500000000001</v>
      </c>
    </row>
    <row r="87" spans="2:10" ht="15" thickBot="1">
      <c r="B87" s="27">
        <v>1</v>
      </c>
      <c r="C87" s="28">
        <v>1</v>
      </c>
      <c r="D87" s="28">
        <v>1</v>
      </c>
      <c r="E87" s="29">
        <v>80.2</v>
      </c>
      <c r="H87">
        <v>1</v>
      </c>
      <c r="I87">
        <f>AVERAGE(E86,E84,E82,E80,E83,E81,E87,E85)</f>
        <v>59.362499999999997</v>
      </c>
    </row>
    <row r="88" spans="2:10">
      <c r="H88" s="22" t="s">
        <v>247</v>
      </c>
      <c r="I88">
        <f>I87-I86</f>
        <v>3.3249999999999957</v>
      </c>
    </row>
    <row r="103" spans="5:12" ht="15" thickBot="1"/>
    <row r="104" spans="5:12">
      <c r="E104" s="247" t="s">
        <v>251</v>
      </c>
      <c r="F104" s="248"/>
      <c r="G104" s="248"/>
      <c r="H104" s="248"/>
      <c r="I104" s="248"/>
      <c r="J104" s="248"/>
      <c r="K104" s="248"/>
      <c r="L104" s="249"/>
    </row>
    <row r="105" spans="5:12">
      <c r="E105" s="250"/>
      <c r="F105" s="251"/>
      <c r="G105" s="251"/>
      <c r="H105" s="251"/>
      <c r="I105" s="251"/>
      <c r="J105" s="251"/>
      <c r="K105" s="251"/>
      <c r="L105" s="252"/>
    </row>
    <row r="106" spans="5:12">
      <c r="E106" s="250"/>
      <c r="F106" s="251"/>
      <c r="G106" s="251"/>
      <c r="H106" s="251"/>
      <c r="I106" s="251"/>
      <c r="J106" s="251"/>
      <c r="K106" s="251"/>
      <c r="L106" s="252"/>
    </row>
    <row r="107" spans="5:12">
      <c r="E107" s="250"/>
      <c r="F107" s="251"/>
      <c r="G107" s="251"/>
      <c r="H107" s="251"/>
      <c r="I107" s="251"/>
      <c r="J107" s="251"/>
      <c r="K107" s="251"/>
      <c r="L107" s="252"/>
    </row>
    <row r="108" spans="5:12">
      <c r="E108" s="250"/>
      <c r="F108" s="251"/>
      <c r="G108" s="251"/>
      <c r="H108" s="251"/>
      <c r="I108" s="251"/>
      <c r="J108" s="251"/>
      <c r="K108" s="251"/>
      <c r="L108" s="252"/>
    </row>
    <row r="109" spans="5:12" ht="15" thickBot="1">
      <c r="E109" s="253"/>
      <c r="F109" s="254"/>
      <c r="G109" s="254"/>
      <c r="H109" s="254"/>
      <c r="I109" s="254"/>
      <c r="J109" s="254"/>
      <c r="K109" s="254"/>
      <c r="L109" s="255"/>
    </row>
    <row r="113" spans="2:10">
      <c r="B113" s="44" t="s">
        <v>252</v>
      </c>
    </row>
    <row r="114" spans="2:10" ht="15" thickBot="1"/>
    <row r="115" spans="2:10" ht="15.75" thickBot="1">
      <c r="B115" s="35" t="s">
        <v>21</v>
      </c>
      <c r="C115" s="36" t="s">
        <v>22</v>
      </c>
      <c r="D115" s="36" t="s">
        <v>23</v>
      </c>
      <c r="E115" s="37" t="s">
        <v>24</v>
      </c>
      <c r="F115" s="175"/>
      <c r="H115" s="177" t="s">
        <v>4</v>
      </c>
      <c r="I115" s="178" t="s">
        <v>5</v>
      </c>
    </row>
    <row r="116" spans="2:10">
      <c r="B116" s="32">
        <v>-1</v>
      </c>
      <c r="C116" s="33">
        <v>-1</v>
      </c>
      <c r="D116" s="33">
        <v>-1</v>
      </c>
      <c r="E116" s="34">
        <v>36.799999999999997</v>
      </c>
      <c r="F116" s="176"/>
      <c r="G116" s="57" t="s">
        <v>89</v>
      </c>
      <c r="H116" s="93">
        <f>AVERAGE(130, 170)</f>
        <v>150</v>
      </c>
      <c r="I116" s="94">
        <f>(170-130)/2</f>
        <v>20</v>
      </c>
    </row>
    <row r="117" spans="2:10">
      <c r="B117" s="24">
        <v>-1</v>
      </c>
      <c r="C117" s="25">
        <v>-1</v>
      </c>
      <c r="D117" s="25">
        <v>-1</v>
      </c>
      <c r="E117" s="26">
        <v>37.1</v>
      </c>
      <c r="F117" s="176"/>
      <c r="G117" s="77" t="s">
        <v>90</v>
      </c>
      <c r="H117" s="93">
        <f>AVERAGE(600, 1000)</f>
        <v>800</v>
      </c>
      <c r="I117" s="94">
        <f>(1000-600)/2</f>
        <v>200</v>
      </c>
    </row>
    <row r="118" spans="2:10" ht="15" thickBot="1">
      <c r="B118" s="24">
        <v>-1</v>
      </c>
      <c r="C118" s="25">
        <v>-1</v>
      </c>
      <c r="D118" s="25">
        <v>1</v>
      </c>
      <c r="E118" s="26">
        <v>71.5</v>
      </c>
      <c r="F118" s="176"/>
      <c r="G118" s="30" t="s">
        <v>91</v>
      </c>
      <c r="H118" s="38">
        <f>AVERAGE(40,80)</f>
        <v>60</v>
      </c>
      <c r="I118" s="39">
        <f>(80-40)/2</f>
        <v>20</v>
      </c>
    </row>
    <row r="119" spans="2:10">
      <c r="B119" s="24">
        <v>-1</v>
      </c>
      <c r="C119" s="25">
        <v>-1</v>
      </c>
      <c r="D119" s="25">
        <v>1</v>
      </c>
      <c r="E119" s="26">
        <v>72</v>
      </c>
    </row>
    <row r="120" spans="2:10">
      <c r="B120" s="24">
        <v>-1</v>
      </c>
      <c r="C120" s="25">
        <v>1</v>
      </c>
      <c r="D120" s="25">
        <v>-1</v>
      </c>
      <c r="E120" s="26">
        <v>39.200000000000003</v>
      </c>
    </row>
    <row r="121" spans="2:10" ht="15">
      <c r="B121" s="24">
        <v>-1</v>
      </c>
      <c r="C121" s="25">
        <v>1</v>
      </c>
      <c r="D121" s="25">
        <v>-1</v>
      </c>
      <c r="E121" s="26">
        <v>39.6</v>
      </c>
      <c r="G121" s="20" t="s">
        <v>6</v>
      </c>
      <c r="H121" s="21" t="s">
        <v>11</v>
      </c>
      <c r="I121" s="13" t="s">
        <v>16</v>
      </c>
      <c r="J121" t="s">
        <v>8</v>
      </c>
    </row>
    <row r="122" spans="2:10" ht="15">
      <c r="B122" s="24">
        <v>-1</v>
      </c>
      <c r="C122" s="25">
        <v>1</v>
      </c>
      <c r="D122" s="25">
        <v>1</v>
      </c>
      <c r="E122" s="26">
        <v>75.8</v>
      </c>
      <c r="G122" s="20" t="s">
        <v>7</v>
      </c>
      <c r="H122" s="21" t="s">
        <v>12</v>
      </c>
      <c r="I122" s="13" t="s">
        <v>18</v>
      </c>
      <c r="J122" t="s">
        <v>15</v>
      </c>
    </row>
    <row r="123" spans="2:10" ht="29.25">
      <c r="B123" s="24">
        <v>-1</v>
      </c>
      <c r="C123" s="25">
        <v>1</v>
      </c>
      <c r="D123" s="25">
        <v>1</v>
      </c>
      <c r="E123" s="26">
        <v>76.3</v>
      </c>
      <c r="G123" s="20" t="s">
        <v>9</v>
      </c>
      <c r="H123" s="21" t="s">
        <v>13</v>
      </c>
      <c r="I123" s="23" t="s">
        <v>17</v>
      </c>
      <c r="J123" t="s">
        <v>14</v>
      </c>
    </row>
    <row r="124" spans="2:10" ht="29.25">
      <c r="B124" s="24">
        <v>1</v>
      </c>
      <c r="C124" s="25">
        <v>-1</v>
      </c>
      <c r="D124" s="25">
        <v>-1</v>
      </c>
      <c r="E124" s="26">
        <v>38.9</v>
      </c>
      <c r="G124" s="22"/>
      <c r="H124" s="20" t="s">
        <v>10</v>
      </c>
      <c r="I124" s="23" t="s">
        <v>19</v>
      </c>
      <c r="J124" t="s">
        <v>14</v>
      </c>
    </row>
    <row r="125" spans="2:10">
      <c r="B125" s="24">
        <v>1</v>
      </c>
      <c r="C125" s="25">
        <v>-1</v>
      </c>
      <c r="D125" s="25">
        <v>-1</v>
      </c>
      <c r="E125" s="26">
        <v>39.299999999999997</v>
      </c>
    </row>
    <row r="126" spans="2:10">
      <c r="B126" s="24">
        <v>1</v>
      </c>
      <c r="C126" s="25">
        <v>-1</v>
      </c>
      <c r="D126" s="25">
        <v>1</v>
      </c>
      <c r="E126" s="26">
        <v>76.400000000000006</v>
      </c>
    </row>
    <row r="127" spans="2:10">
      <c r="B127" s="24">
        <v>1</v>
      </c>
      <c r="C127" s="25">
        <v>-1</v>
      </c>
      <c r="D127" s="25">
        <v>1</v>
      </c>
      <c r="E127" s="26">
        <v>76.900000000000006</v>
      </c>
    </row>
    <row r="128" spans="2:10">
      <c r="B128" s="24">
        <v>1</v>
      </c>
      <c r="C128" s="25">
        <v>1</v>
      </c>
      <c r="D128" s="25">
        <v>-1</v>
      </c>
      <c r="E128" s="26">
        <v>41.5</v>
      </c>
    </row>
    <row r="129" spans="2:5">
      <c r="B129" s="24">
        <v>1</v>
      </c>
      <c r="C129" s="25">
        <v>1</v>
      </c>
      <c r="D129" s="25">
        <v>-1</v>
      </c>
      <c r="E129" s="26">
        <v>41.9</v>
      </c>
    </row>
    <row r="130" spans="2:5">
      <c r="B130" s="24">
        <v>1</v>
      </c>
      <c r="C130" s="25">
        <v>1</v>
      </c>
      <c r="D130" s="25">
        <v>1</v>
      </c>
      <c r="E130" s="26">
        <v>79.8</v>
      </c>
    </row>
    <row r="131" spans="2:5" ht="15" thickBot="1">
      <c r="B131" s="27">
        <v>1</v>
      </c>
      <c r="C131" s="28">
        <v>1</v>
      </c>
      <c r="D131" s="28">
        <v>1</v>
      </c>
      <c r="E131" s="29">
        <v>80.2</v>
      </c>
    </row>
    <row r="147" spans="2:14" ht="15" thickBot="1"/>
    <row r="148" spans="2:14">
      <c r="F148" s="197" t="s">
        <v>253</v>
      </c>
      <c r="G148" s="198"/>
      <c r="H148" s="198"/>
      <c r="I148" s="198"/>
      <c r="J148" s="198"/>
      <c r="K148" s="198"/>
      <c r="L148" s="198"/>
      <c r="M148" s="199"/>
    </row>
    <row r="149" spans="2:14">
      <c r="F149" s="200"/>
      <c r="G149" s="201"/>
      <c r="H149" s="201"/>
      <c r="I149" s="201"/>
      <c r="J149" s="201"/>
      <c r="K149" s="201"/>
      <c r="L149" s="201"/>
      <c r="M149" s="202"/>
    </row>
    <row r="150" spans="2:14">
      <c r="F150" s="200"/>
      <c r="G150" s="201"/>
      <c r="H150" s="201"/>
      <c r="I150" s="201"/>
      <c r="J150" s="201"/>
      <c r="K150" s="201"/>
      <c r="L150" s="201"/>
      <c r="M150" s="202"/>
    </row>
    <row r="151" spans="2:14">
      <c r="F151" s="200"/>
      <c r="G151" s="201"/>
      <c r="H151" s="201"/>
      <c r="I151" s="201"/>
      <c r="J151" s="201"/>
      <c r="K151" s="201"/>
      <c r="L151" s="201"/>
      <c r="M151" s="202"/>
    </row>
    <row r="152" spans="2:14" ht="15" thickBot="1">
      <c r="F152" s="203"/>
      <c r="G152" s="204"/>
      <c r="H152" s="204"/>
      <c r="I152" s="204"/>
      <c r="J152" s="204"/>
      <c r="K152" s="204"/>
      <c r="L152" s="204"/>
      <c r="M152" s="205"/>
    </row>
    <row r="155" spans="2:14">
      <c r="B155" s="44" t="s">
        <v>254</v>
      </c>
    </row>
    <row r="156" spans="2:14" ht="15" thickBot="1">
      <c r="B156" s="44"/>
    </row>
    <row r="157" spans="2:14" ht="15">
      <c r="B157" s="179" t="s">
        <v>257</v>
      </c>
      <c r="C157" s="180">
        <f>(151-F158)/G158</f>
        <v>0.05</v>
      </c>
      <c r="F157" s="14" t="s">
        <v>4</v>
      </c>
      <c r="G157" s="15" t="s">
        <v>5</v>
      </c>
    </row>
    <row r="158" spans="2:14" ht="15">
      <c r="B158" s="181" t="s">
        <v>258</v>
      </c>
      <c r="C158" s="182">
        <f>(801-F159)/G159</f>
        <v>5.0000000000000001E-3</v>
      </c>
      <c r="F158" s="14">
        <v>150</v>
      </c>
      <c r="G158" s="15">
        <v>20</v>
      </c>
    </row>
    <row r="159" spans="2:14" ht="15">
      <c r="B159" s="181" t="s">
        <v>259</v>
      </c>
      <c r="C159" s="183">
        <f>(61-F160)/G160</f>
        <v>0.05</v>
      </c>
      <c r="F159" s="16">
        <v>800</v>
      </c>
      <c r="G159" s="17">
        <v>200</v>
      </c>
      <c r="N159" s="23"/>
    </row>
    <row r="160" spans="2:14" ht="15.75" thickBot="1">
      <c r="B160" s="184" t="s">
        <v>260</v>
      </c>
      <c r="C160" s="66">
        <f>(C166+E166*C157)-(G166*C158)+(I166*C159)-(K166*(C157*C158))</f>
        <v>58.695675000000001</v>
      </c>
      <c r="F160" s="18">
        <v>60</v>
      </c>
      <c r="G160" s="19">
        <v>20</v>
      </c>
    </row>
    <row r="161" spans="2:12">
      <c r="B161" s="44"/>
    </row>
    <row r="162" spans="2:12">
      <c r="B162" s="44"/>
    </row>
    <row r="163" spans="2:12">
      <c r="B163" s="44"/>
    </row>
    <row r="164" spans="2:12">
      <c r="B164" s="44"/>
    </row>
    <row r="166" spans="2:12" ht="28.5">
      <c r="B166" s="23" t="s">
        <v>93</v>
      </c>
      <c r="C166">
        <v>57.699999999999996</v>
      </c>
      <c r="D166" t="s">
        <v>94</v>
      </c>
      <c r="E166">
        <v>1.6625000000000003</v>
      </c>
      <c r="F166" t="s">
        <v>95</v>
      </c>
      <c r="G166">
        <v>1.5874999999999992</v>
      </c>
      <c r="H166" t="s">
        <v>96</v>
      </c>
      <c r="I166">
        <v>18.412500000000001</v>
      </c>
      <c r="J166" t="s">
        <v>97</v>
      </c>
      <c r="K166">
        <v>0.55000000000000038</v>
      </c>
      <c r="L166" t="s">
        <v>255</v>
      </c>
    </row>
    <row r="167" spans="2:12">
      <c r="B167" s="23"/>
    </row>
    <row r="168" spans="2:12" ht="30">
      <c r="B168" s="104" t="s">
        <v>261</v>
      </c>
      <c r="C168" s="21" t="s">
        <v>262</v>
      </c>
      <c r="D168" s="21">
        <v>57.6</v>
      </c>
      <c r="E168" s="21" t="s">
        <v>263</v>
      </c>
    </row>
    <row r="169" spans="2:12">
      <c r="B169" s="23"/>
      <c r="L169" s="23"/>
    </row>
    <row r="170" spans="2:12" ht="28.5">
      <c r="B170" s="23" t="s">
        <v>100</v>
      </c>
      <c r="C170">
        <v>-8.1250000000014033E-2</v>
      </c>
      <c r="D170" t="s">
        <v>94</v>
      </c>
      <c r="E170">
        <v>8.3125000000000018E-2</v>
      </c>
      <c r="F170" t="s">
        <v>106</v>
      </c>
      <c r="G170">
        <v>7.9374999999999966E-3</v>
      </c>
      <c r="H170" t="s">
        <v>107</v>
      </c>
      <c r="I170">
        <v>0.92062500000000003</v>
      </c>
      <c r="J170" t="s">
        <v>108</v>
      </c>
      <c r="K170">
        <v>1.3750000000000008E-3</v>
      </c>
      <c r="L170" t="s">
        <v>256</v>
      </c>
    </row>
    <row r="172" spans="2:12" ht="15">
      <c r="B172" s="20" t="s">
        <v>264</v>
      </c>
      <c r="C172" s="21" t="s">
        <v>262</v>
      </c>
      <c r="D172" s="21">
        <f>(C170+E170*83)-(G170*567)+(I170*30)-(K170*83*567)</f>
        <v>-34.772562500000042</v>
      </c>
      <c r="E172" s="21" t="s">
        <v>263</v>
      </c>
    </row>
  </sheetData>
  <mergeCells count="14">
    <mergeCell ref="B32:H36"/>
    <mergeCell ref="B12:C12"/>
    <mergeCell ref="I11:J11"/>
    <mergeCell ref="B18:H22"/>
    <mergeCell ref="C26:D26"/>
    <mergeCell ref="I25:J25"/>
    <mergeCell ref="E104:L109"/>
    <mergeCell ref="F148:M152"/>
    <mergeCell ref="B40:C40"/>
    <mergeCell ref="H39:I39"/>
    <mergeCell ref="B46:H50"/>
    <mergeCell ref="C53:D53"/>
    <mergeCell ref="I52:J52"/>
    <mergeCell ref="B59:H6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Úvod_10</vt:lpstr>
      <vt:lpstr>11_14</vt:lpstr>
      <vt:lpstr>15_21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Bianka Benianová</dc:creator>
  <cp:lastModifiedBy>Janette Kotianová</cp:lastModifiedBy>
  <dcterms:created xsi:type="dcterms:W3CDTF">2025-12-29T21:55:06Z</dcterms:created>
  <dcterms:modified xsi:type="dcterms:W3CDTF">2026-02-02T11:34:27Z</dcterms:modified>
</cp:coreProperties>
</file>