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otianova\Desktop\stranka mmpve\"/>
    </mc:Choice>
  </mc:AlternateContent>
  <bookViews>
    <workbookView xWindow="0" yWindow="0" windowWidth="28800" windowHeight="12330"/>
  </bookViews>
  <sheets>
    <sheet name="Úvodná strana" sheetId="1" r:id="rId1"/>
    <sheet name="C-PLOT" sheetId="2" r:id="rId2"/>
    <sheet name="MNŠ" sheetId="5" r:id="rId3"/>
    <sheet name="Hierarchický model" sheetId="6" r:id="rId4"/>
    <sheet name="Index determinácie" sheetId="9" r:id="rId5"/>
    <sheet name="Testy" sheetId="10" r:id="rId6"/>
    <sheet name="Vplyvy faktorov" sheetId="14" r:id="rId7"/>
    <sheet name="Vybraný faktor" sheetId="12" r:id="rId8"/>
    <sheet name="Vplyvy interakcií" sheetId="7" r:id="rId9"/>
    <sheet name="Hlavné efekty a interakcie" sheetId="13" r:id="rId10"/>
    <sheet name="Predikcie hodnôt" sheetId="15" r:id="rId11"/>
    <sheet name="Overenie správnosti" sheetId="17" r:id="rId12"/>
    <sheet name="Požadovaná odozva" sheetId="16" r:id="rId13"/>
    <sheet name="Výstup z Minitabu" sheetId="18" r:id="rId1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8" i="12" l="1"/>
  <c r="C47" i="12"/>
  <c r="C40" i="12"/>
  <c r="C39" i="12"/>
  <c r="C38" i="12"/>
  <c r="L6" i="12"/>
  <c r="L13" i="12"/>
  <c r="L14" i="12"/>
  <c r="K5" i="12"/>
  <c r="K11" i="12"/>
  <c r="K15" i="12"/>
  <c r="K16" i="12"/>
  <c r="K4" i="12"/>
  <c r="J5" i="12"/>
  <c r="L5" i="12" s="1"/>
  <c r="J6" i="12"/>
  <c r="J7" i="12"/>
  <c r="L7" i="12" s="1"/>
  <c r="J8" i="12"/>
  <c r="L8" i="12" s="1"/>
  <c r="J9" i="12"/>
  <c r="L9" i="12" s="1"/>
  <c r="J10" i="12"/>
  <c r="L10" i="12" s="1"/>
  <c r="J11" i="12"/>
  <c r="L11" i="12" s="1"/>
  <c r="J12" i="12"/>
  <c r="L12" i="12" s="1"/>
  <c r="J13" i="12"/>
  <c r="J14" i="12"/>
  <c r="J15" i="12"/>
  <c r="L15" i="12" s="1"/>
  <c r="J16" i="12"/>
  <c r="L16" i="12" s="1"/>
  <c r="J17" i="12"/>
  <c r="L17" i="12" s="1"/>
  <c r="J18" i="12"/>
  <c r="L18" i="12" s="1"/>
  <c r="J19" i="12"/>
  <c r="L19" i="12" s="1"/>
  <c r="J4" i="12"/>
  <c r="L4" i="12" s="1"/>
  <c r="I4" i="12"/>
  <c r="I5" i="12"/>
  <c r="I6" i="12"/>
  <c r="K6" i="12" s="1"/>
  <c r="I7" i="12"/>
  <c r="K7" i="12" s="1"/>
  <c r="I8" i="12"/>
  <c r="K8" i="12" s="1"/>
  <c r="I9" i="12"/>
  <c r="K9" i="12" s="1"/>
  <c r="I10" i="12"/>
  <c r="K10" i="12" s="1"/>
  <c r="I11" i="12"/>
  <c r="I12" i="12"/>
  <c r="K12" i="12" s="1"/>
  <c r="I13" i="12"/>
  <c r="K13" i="12" s="1"/>
  <c r="I14" i="12"/>
  <c r="K14" i="12" s="1"/>
  <c r="I15" i="12"/>
  <c r="I16" i="12"/>
  <c r="I17" i="12"/>
  <c r="K17" i="12" s="1"/>
  <c r="I18" i="12"/>
  <c r="K18" i="12" s="1"/>
  <c r="I19" i="12"/>
  <c r="K19" i="12" s="1"/>
  <c r="L20" i="12" l="1"/>
  <c r="K20" i="12"/>
  <c r="L22" i="12" s="1"/>
  <c r="C37" i="12" s="1"/>
  <c r="J16" i="17" l="1"/>
  <c r="J15" i="17"/>
  <c r="G13" i="15"/>
  <c r="C13" i="15"/>
  <c r="I26" i="10" l="1"/>
  <c r="P25" i="7"/>
  <c r="P15" i="7"/>
  <c r="P5" i="7"/>
  <c r="P8" i="14"/>
  <c r="M22" i="14" l="1"/>
  <c r="P22" i="14"/>
  <c r="M15" i="14"/>
  <c r="P15" i="14"/>
  <c r="M8" i="14"/>
  <c r="F86" i="13" l="1"/>
  <c r="E86" i="13"/>
  <c r="G86" i="13" s="1"/>
  <c r="F85" i="13"/>
  <c r="E85" i="13"/>
  <c r="G85" i="13" s="1"/>
  <c r="G87" i="13" s="1"/>
  <c r="F76" i="13"/>
  <c r="E76" i="13"/>
  <c r="F75" i="13"/>
  <c r="E75" i="13"/>
  <c r="G75" i="13" s="1"/>
  <c r="F66" i="13"/>
  <c r="E66" i="13"/>
  <c r="F65" i="13"/>
  <c r="E65" i="13"/>
  <c r="G65" i="13" s="1"/>
  <c r="I16" i="13"/>
  <c r="I15" i="13"/>
  <c r="I12" i="13"/>
  <c r="I11" i="13"/>
  <c r="I10" i="13"/>
  <c r="I6" i="13"/>
  <c r="I5" i="13"/>
  <c r="I17" i="13" l="1"/>
  <c r="G76" i="13"/>
  <c r="I7" i="13"/>
  <c r="G66" i="13"/>
  <c r="G67" i="13"/>
  <c r="G77" i="13"/>
  <c r="H70" i="10" l="1"/>
  <c r="O63" i="10"/>
  <c r="C95" i="10" s="1"/>
  <c r="O55" i="10" l="1"/>
  <c r="O52" i="10"/>
  <c r="J51" i="10"/>
  <c r="K51" i="10" s="1"/>
  <c r="J52" i="10"/>
  <c r="K52" i="10" s="1"/>
  <c r="J53" i="10"/>
  <c r="K53" i="10" s="1"/>
  <c r="J54" i="10"/>
  <c r="K54" i="10" s="1"/>
  <c r="J55" i="10"/>
  <c r="K55" i="10" s="1"/>
  <c r="J56" i="10"/>
  <c r="K56" i="10" s="1"/>
  <c r="J57" i="10"/>
  <c r="K57" i="10" s="1"/>
  <c r="J58" i="10"/>
  <c r="K58" i="10" s="1"/>
  <c r="J59" i="10"/>
  <c r="K59" i="10" s="1"/>
  <c r="J60" i="10"/>
  <c r="K60" i="10" s="1"/>
  <c r="J61" i="10"/>
  <c r="K61" i="10" s="1"/>
  <c r="J62" i="10"/>
  <c r="K62" i="10" s="1"/>
  <c r="J63" i="10"/>
  <c r="K63" i="10" s="1"/>
  <c r="J64" i="10"/>
  <c r="K64" i="10" s="1"/>
  <c r="J65" i="10"/>
  <c r="K65" i="10" s="1"/>
  <c r="J50" i="10"/>
  <c r="K50" i="10" s="1"/>
  <c r="K66" i="10" l="1"/>
  <c r="K67" i="10" s="1"/>
  <c r="C96" i="10" s="1"/>
  <c r="C94" i="10"/>
  <c r="F95" i="10" s="1"/>
  <c r="C73" i="10"/>
  <c r="C72" i="10" s="1"/>
  <c r="G72" i="10" s="1"/>
  <c r="E81" i="10" s="1"/>
  <c r="I28" i="10"/>
  <c r="I27" i="10"/>
  <c r="C3" i="9"/>
  <c r="H42" i="9"/>
  <c r="H40" i="9"/>
  <c r="D73" i="10" l="1"/>
  <c r="D72" i="10" s="1"/>
  <c r="E72" i="10" s="1"/>
  <c r="O58" i="10"/>
  <c r="C97" i="10" s="1"/>
  <c r="F92" i="10" s="1"/>
  <c r="P51" i="6"/>
  <c r="N51" i="6"/>
  <c r="L51" i="6"/>
  <c r="J51" i="6"/>
  <c r="H51" i="6"/>
  <c r="E51" i="6"/>
  <c r="C51" i="6"/>
  <c r="E73" i="10" l="1"/>
  <c r="F72" i="10" s="1"/>
  <c r="E80" i="10" s="1"/>
  <c r="N69" i="10"/>
  <c r="O72" i="10" s="1"/>
  <c r="E82" i="10" s="1"/>
  <c r="H72" i="10" l="1"/>
  <c r="B22" i="5" l="1" a="1"/>
  <c r="B22" i="5" s="1"/>
  <c r="I20" i="5"/>
  <c r="H20" i="5"/>
  <c r="G20" i="5"/>
  <c r="F20" i="5"/>
  <c r="I19" i="5"/>
  <c r="H19" i="5"/>
  <c r="G19" i="5"/>
  <c r="F19" i="5"/>
  <c r="I18" i="5"/>
  <c r="H18" i="5"/>
  <c r="G18" i="5"/>
  <c r="F18" i="5"/>
  <c r="I17" i="5"/>
  <c r="H17" i="5"/>
  <c r="G17" i="5"/>
  <c r="F17" i="5"/>
  <c r="I16" i="5"/>
  <c r="H16" i="5"/>
  <c r="G16" i="5"/>
  <c r="F16" i="5"/>
  <c r="I15" i="5"/>
  <c r="H15" i="5"/>
  <c r="G15" i="5"/>
  <c r="F15" i="5"/>
  <c r="I14" i="5"/>
  <c r="H14" i="5"/>
  <c r="G14" i="5"/>
  <c r="F14" i="5"/>
  <c r="I13" i="5"/>
  <c r="H13" i="5"/>
  <c r="G13" i="5"/>
  <c r="F13" i="5"/>
  <c r="I12" i="5"/>
  <c r="H12" i="5"/>
  <c r="G12" i="5"/>
  <c r="F12" i="5"/>
  <c r="I11" i="5"/>
  <c r="H11" i="5"/>
  <c r="G11" i="5"/>
  <c r="F11" i="5"/>
  <c r="I10" i="5"/>
  <c r="H10" i="5"/>
  <c r="G10" i="5"/>
  <c r="F10" i="5"/>
  <c r="I9" i="5"/>
  <c r="H9" i="5"/>
  <c r="G9" i="5"/>
  <c r="F9" i="5"/>
  <c r="I8" i="5"/>
  <c r="H8" i="5"/>
  <c r="G8" i="5"/>
  <c r="F8" i="5"/>
  <c r="I7" i="5"/>
  <c r="H7" i="5"/>
  <c r="G7" i="5"/>
  <c r="F7" i="5"/>
  <c r="I6" i="5"/>
  <c r="H6" i="5"/>
  <c r="G6" i="5"/>
  <c r="F6" i="5"/>
  <c r="I5" i="5"/>
  <c r="H5" i="5"/>
  <c r="G5" i="5"/>
  <c r="F5" i="5"/>
  <c r="H12" i="2"/>
  <c r="H11" i="2"/>
  <c r="I29" i="5" l="1"/>
  <c r="M28" i="5"/>
  <c r="Q27" i="5"/>
  <c r="E27" i="5"/>
  <c r="I26" i="5"/>
  <c r="M25" i="5"/>
  <c r="Q24" i="5"/>
  <c r="I23" i="5"/>
  <c r="P29" i="5"/>
  <c r="L29" i="5"/>
  <c r="H29" i="5"/>
  <c r="D29" i="5"/>
  <c r="P28" i="5"/>
  <c r="L28" i="5"/>
  <c r="H28" i="5"/>
  <c r="D28" i="5"/>
  <c r="P27" i="5"/>
  <c r="L27" i="5"/>
  <c r="H27" i="5"/>
  <c r="D27" i="5"/>
  <c r="P26" i="5"/>
  <c r="L26" i="5"/>
  <c r="H26" i="5"/>
  <c r="D26" i="5"/>
  <c r="P25" i="5"/>
  <c r="L25" i="5"/>
  <c r="H25" i="5"/>
  <c r="D25" i="5"/>
  <c r="P24" i="5"/>
  <c r="L24" i="5"/>
  <c r="H24" i="5"/>
  <c r="D24" i="5"/>
  <c r="P23" i="5"/>
  <c r="L23" i="5"/>
  <c r="H23" i="5"/>
  <c r="D23" i="5"/>
  <c r="P22" i="5"/>
  <c r="L22" i="5"/>
  <c r="H22" i="5"/>
  <c r="D22" i="5"/>
  <c r="M29" i="5"/>
  <c r="Q28" i="5"/>
  <c r="E28" i="5"/>
  <c r="I27" i="5"/>
  <c r="M26" i="5"/>
  <c r="Q25" i="5"/>
  <c r="E25" i="5"/>
  <c r="I24" i="5"/>
  <c r="Q23" i="5"/>
  <c r="E23" i="5"/>
  <c r="M22" i="5"/>
  <c r="E22" i="5"/>
  <c r="O29" i="5"/>
  <c r="K29" i="5"/>
  <c r="G29" i="5"/>
  <c r="C29" i="5"/>
  <c r="O28" i="5"/>
  <c r="K28" i="5"/>
  <c r="G28" i="5"/>
  <c r="C28" i="5"/>
  <c r="O27" i="5"/>
  <c r="K27" i="5"/>
  <c r="G27" i="5"/>
  <c r="C27" i="5"/>
  <c r="O26" i="5"/>
  <c r="K26" i="5"/>
  <c r="G26" i="5"/>
  <c r="C26" i="5"/>
  <c r="O25" i="5"/>
  <c r="K25" i="5"/>
  <c r="G25" i="5"/>
  <c r="C25" i="5"/>
  <c r="O24" i="5"/>
  <c r="K24" i="5"/>
  <c r="G24" i="5"/>
  <c r="C24" i="5"/>
  <c r="O23" i="5"/>
  <c r="K23" i="5"/>
  <c r="G23" i="5"/>
  <c r="C23" i="5"/>
  <c r="O22" i="5"/>
  <c r="K22" i="5"/>
  <c r="G22" i="5"/>
  <c r="C22" i="5"/>
  <c r="Q29" i="5"/>
  <c r="E29" i="5"/>
  <c r="I28" i="5"/>
  <c r="M27" i="5"/>
  <c r="Q26" i="5"/>
  <c r="E26" i="5"/>
  <c r="I25" i="5"/>
  <c r="M24" i="5"/>
  <c r="E24" i="5"/>
  <c r="M23" i="5"/>
  <c r="Q22" i="5"/>
  <c r="I22" i="5"/>
  <c r="N29" i="5"/>
  <c r="J29" i="5"/>
  <c r="F29" i="5"/>
  <c r="B29" i="5"/>
  <c r="N28" i="5"/>
  <c r="J28" i="5"/>
  <c r="F28" i="5"/>
  <c r="B28" i="5"/>
  <c r="N27" i="5"/>
  <c r="J27" i="5"/>
  <c r="F27" i="5"/>
  <c r="B27" i="5"/>
  <c r="N26" i="5"/>
  <c r="J26" i="5"/>
  <c r="F26" i="5"/>
  <c r="B26" i="5"/>
  <c r="N25" i="5"/>
  <c r="J25" i="5"/>
  <c r="F25" i="5"/>
  <c r="B25" i="5"/>
  <c r="N24" i="5"/>
  <c r="J24" i="5"/>
  <c r="F24" i="5"/>
  <c r="B24" i="5"/>
  <c r="N23" i="5"/>
  <c r="J23" i="5"/>
  <c r="F23" i="5"/>
  <c r="B23" i="5"/>
  <c r="N22" i="5"/>
  <c r="J22" i="5"/>
  <c r="F22" i="5"/>
  <c r="H13" i="2"/>
  <c r="H14" i="2"/>
  <c r="H15" i="2"/>
  <c r="H16" i="2"/>
  <c r="H17" i="2"/>
  <c r="H18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6" i="2"/>
  <c r="H5" i="2"/>
  <c r="B31" i="5" l="1" a="1"/>
  <c r="B31" i="5" s="1"/>
  <c r="E31" i="5" s="1"/>
  <c r="H31" i="5" s="1"/>
  <c r="I7" i="2"/>
  <c r="I6" i="2"/>
  <c r="I5" i="2"/>
  <c r="L15" i="2" s="1"/>
  <c r="H7" i="2"/>
  <c r="H6" i="2"/>
  <c r="L6" i="2" l="1"/>
  <c r="B32" i="5"/>
  <c r="E32" i="5" s="1"/>
  <c r="H32" i="5" s="1"/>
  <c r="L13" i="2"/>
  <c r="B35" i="5"/>
  <c r="E35" i="5" s="1"/>
  <c r="H35" i="5" s="1"/>
  <c r="B38" i="5"/>
  <c r="E38" i="5" s="1"/>
  <c r="H38" i="5" s="1"/>
  <c r="L11" i="2"/>
  <c r="B37" i="5"/>
  <c r="E37" i="5" s="1"/>
  <c r="H37" i="5" s="1"/>
  <c r="L21" i="2"/>
  <c r="B34" i="5"/>
  <c r="E34" i="5" s="1"/>
  <c r="H34" i="5" s="1"/>
  <c r="B36" i="5"/>
  <c r="E36" i="5" s="1"/>
  <c r="H36" i="5" s="1"/>
  <c r="L19" i="2"/>
  <c r="B33" i="5"/>
  <c r="E33" i="5" s="1"/>
  <c r="H33" i="5" s="1"/>
  <c r="L14" i="2"/>
  <c r="M10" i="2"/>
  <c r="M18" i="2"/>
  <c r="M17" i="2"/>
  <c r="M11" i="2"/>
  <c r="M19" i="2"/>
  <c r="M7" i="2"/>
  <c r="M12" i="2"/>
  <c r="M20" i="2"/>
  <c r="M15" i="2"/>
  <c r="M8" i="2"/>
  <c r="M13" i="2"/>
  <c r="M21" i="2"/>
  <c r="M9" i="2"/>
  <c r="M14" i="2"/>
  <c r="M16" i="2"/>
  <c r="N17" i="2"/>
  <c r="N18" i="2"/>
  <c r="N15" i="2"/>
  <c r="N16" i="2"/>
  <c r="N19" i="2"/>
  <c r="N20" i="2"/>
  <c r="N14" i="2"/>
  <c r="N21" i="2"/>
  <c r="L20" i="2"/>
  <c r="L8" i="2"/>
  <c r="L16" i="2"/>
  <c r="L9" i="2"/>
  <c r="L17" i="2"/>
  <c r="L18" i="2"/>
  <c r="L12" i="2"/>
  <c r="L10" i="2"/>
  <c r="L7" i="2"/>
  <c r="N7" i="2"/>
  <c r="M6" i="2"/>
  <c r="N10" i="2"/>
  <c r="N8" i="2"/>
  <c r="N6" i="2"/>
  <c r="N13" i="2"/>
  <c r="N9" i="2"/>
  <c r="N12" i="2"/>
  <c r="N11" i="2"/>
</calcChain>
</file>

<file path=xl/sharedStrings.xml><?xml version="1.0" encoding="utf-8"?>
<sst xmlns="http://schemas.openxmlformats.org/spreadsheetml/2006/main" count="668" uniqueCount="305">
  <si>
    <t>Semestrálna práca z predmetu MMPVE - DOE - Design of Experiments</t>
  </si>
  <si>
    <t xml:space="preserve">  Bc. STELLA KATARÍNA BAJKAI</t>
  </si>
  <si>
    <t xml:space="preserve">  Bc. HOMOLOVÁ PETRA</t>
  </si>
  <si>
    <t xml:space="preserve">ROČNÍK: 1. ING, PMA DKM </t>
  </si>
  <si>
    <t xml:space="preserve">ŠK. ROK: 2025/2026 </t>
  </si>
  <si>
    <t>ZADANIE</t>
  </si>
  <si>
    <t xml:space="preserve">Zo svojej profesijnej oblasti alebo záujmovej činnosti si zvoľte problém, ktorý je možné riešiť pomocou plánovaného experimentu. Vyberte si minimálne tri nezávislé a jednu závislú premennú, pri ktorých je možné nezávislé premenné merať minimálne na 3 úrovniach. Údaje, ktoré budete v práci vyhodnocovať, je potrebné reálne namerať, získať z prieskumu alebo z publikácii zverejnených v dostupných databázach, t.j. dáta by nemali byť z dôvodu zmysluplnosti interpretácii výsledkov vymyslené. Vlastné merania doložte obrázkom, náčrtom alebo fotografiou experimentu. Pri nameraných hodnotách prevzatých z dostupného zdroja je potrebné uviesť použitý zdroj. </t>
  </si>
  <si>
    <t>1.</t>
  </si>
  <si>
    <t>2.</t>
  </si>
  <si>
    <t>3.</t>
  </si>
  <si>
    <t>4.</t>
  </si>
  <si>
    <t>5.</t>
  </si>
  <si>
    <t>6.</t>
  </si>
  <si>
    <t>7.</t>
  </si>
  <si>
    <t>8.</t>
  </si>
  <si>
    <t>VSTUPNÉ PARAMETRE</t>
  </si>
  <si>
    <t>MERANÉ PARAMETRE</t>
  </si>
  <si>
    <t xml:space="preserve">1. Pomocou CPLOT-u zobrazte, aké priemerné odozvy boli namerané v jednotlivých bodoch plánovaného experimentu. </t>
  </si>
  <si>
    <r>
      <t>Uhol uvoľnenia (</t>
    </r>
    <r>
      <rPr>
        <b/>
        <sz val="11"/>
        <color theme="1"/>
        <rFont val="Calibri"/>
        <family val="2"/>
        <charset val="238"/>
      </rPr>
      <t>°) x1</t>
    </r>
  </si>
  <si>
    <t>Uhol streľby (°) x2</t>
  </si>
  <si>
    <t>Výška misky (mm) x3</t>
  </si>
  <si>
    <t>x1</t>
  </si>
  <si>
    <t>x2</t>
  </si>
  <si>
    <t>x3</t>
  </si>
  <si>
    <t>s</t>
  </si>
  <si>
    <t>lambda</t>
  </si>
  <si>
    <t>t1</t>
  </si>
  <si>
    <t>t2</t>
  </si>
  <si>
    <t>t3</t>
  </si>
  <si>
    <t>y</t>
  </si>
  <si>
    <t>TRANSFORMÁCIA</t>
  </si>
  <si>
    <t>C-PLOT s priemernými nameranými odozvami v jednotlivých bodoch</t>
  </si>
  <si>
    <t xml:space="preserve">2. Metódou najmenších štvorcov odhadnite koeficienty transformovanej regresnej funkcie lineárneho typu. </t>
  </si>
  <si>
    <t>b0</t>
  </si>
  <si>
    <t>b1</t>
  </si>
  <si>
    <t>b2</t>
  </si>
  <si>
    <t>b3</t>
  </si>
  <si>
    <t>t1*t2</t>
  </si>
  <si>
    <t>b12</t>
  </si>
  <si>
    <t>t1*t3</t>
  </si>
  <si>
    <t>b13</t>
  </si>
  <si>
    <t>t2*t3</t>
  </si>
  <si>
    <t>b23</t>
  </si>
  <si>
    <t>b123</t>
  </si>
  <si>
    <t>t1*t2*t3</t>
  </si>
  <si>
    <t xml:space="preserve">b0 = </t>
  </si>
  <si>
    <t xml:space="preserve">b1 = </t>
  </si>
  <si>
    <t xml:space="preserve">b2 = </t>
  </si>
  <si>
    <t xml:space="preserve">b3 = </t>
  </si>
  <si>
    <t>b12 =</t>
  </si>
  <si>
    <t xml:space="preserve">b13 = </t>
  </si>
  <si>
    <t xml:space="preserve">b23 = </t>
  </si>
  <si>
    <t xml:space="preserve">b123 = </t>
  </si>
  <si>
    <t>X =</t>
  </si>
  <si>
    <t>Y =</t>
  </si>
  <si>
    <t>Odhad transformovanej regresnej funkcie lineárneho typu:</t>
  </si>
  <si>
    <t>y=b0​+b1​*t1​+b2*​t2​+b3*​t3​+b12​*t1*​t2​+b13*​t1*​t3​+b23*​t2*​t3​+b123*​t1*​t2*​t3​</t>
  </si>
  <si>
    <t>3. Na hladine významnosti 0,05 rozhodnite, ktoré z faktorov a interakcií nie sú štatisticky významné a možno ich vylúčiť, ak má zostať regresný model hierarchický.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</si>
  <si>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</si>
  <si>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</si>
  <si>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</si>
  <si>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</si>
  <si>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</si>
  <si>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</si>
  <si>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</si>
  <si>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</si>
  <si>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</si>
  <si>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</si>
  <si>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</si>
  <si>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</si>
  <si>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</si>
  <si>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</si>
  <si>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</si>
  <si>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</si>
  <si>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</si>
  <si>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</si>
  <si>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</si>
  <si>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</si>
  <si>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</si>
  <si>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</si>
  <si>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95,0%</t>
  </si>
  <si>
    <t>Upper 95,0%</t>
  </si>
  <si>
    <t>Namerané údaje, získané zo Six Sigma Zone Virtual Catapult, sú zobrazené nižsie. Vykonávali sme 2 merania.</t>
  </si>
  <si>
    <t>9.</t>
  </si>
  <si>
    <t>10.</t>
  </si>
  <si>
    <t>11.</t>
  </si>
  <si>
    <t>12.</t>
  </si>
  <si>
    <t>13.</t>
  </si>
  <si>
    <t>14.</t>
  </si>
  <si>
    <t>15.</t>
  </si>
  <si>
    <t>16.</t>
  </si>
  <si>
    <t>Vzdialenosť letu (mm) y</t>
  </si>
  <si>
    <t>Priemer y</t>
  </si>
  <si>
    <t xml:space="preserve">XT = </t>
  </si>
  <si>
    <t xml:space="preserve">XT*Y = </t>
  </si>
  <si>
    <t>b =</t>
  </si>
  <si>
    <t>y = 420,45 + 60,99*t1 + 49,09*t2 + 39,16*t3 + 20,66*t1*t2 + 5,44*t1*t3 + 5,13*t2*t3 + 0,38*t1*t2*t3</t>
  </si>
  <si>
    <t xml:space="preserve">4. Napíšte bodový odhad transformovanej regresnej funkcie lineárneho typu, ktorý vznikne po vylúčení štatisticky nevýznamných členov. Ďalej pracujte s týmto modelom. </t>
  </si>
  <si>
    <t>5. Napíšte rovnicu pôvodnej regresnej funkcie lineárneho typu, t.j. rovnicu regresného modelu v nekódovaných hodnotách s upravenými koeficientami.</t>
  </si>
  <si>
    <t>+</t>
  </si>
  <si>
    <r>
      <rPr>
        <sz val="11"/>
        <color theme="1"/>
        <rFont val="Aptos Narrow"/>
        <family val="2"/>
      </rPr>
      <t>α</t>
    </r>
    <r>
      <rPr>
        <sz val="6.6"/>
        <color theme="1"/>
        <rFont val="Calibri"/>
        <family val="2"/>
        <charset val="238"/>
      </rPr>
      <t xml:space="preserve"> = 0,05</t>
    </r>
  </si>
  <si>
    <t>H0: b1 = 0</t>
  </si>
  <si>
    <t xml:space="preserve"> patrí do W</t>
  </si>
  <si>
    <t>95% IS: 0 nepatrí do 95% IS</t>
  </si>
  <si>
    <t>zamietame</t>
  </si>
  <si>
    <t>príjmame</t>
  </si>
  <si>
    <t>patrí do W</t>
  </si>
  <si>
    <t>&lt; 0,05</t>
  </si>
  <si>
    <t>H0: b2 = 0</t>
  </si>
  <si>
    <t>H0: b3 = 0</t>
  </si>
  <si>
    <t>test. štat. B12:</t>
  </si>
  <si>
    <t>p(b12):</t>
  </si>
  <si>
    <t>H0: b12 = 0</t>
  </si>
  <si>
    <t>p(b13):</t>
  </si>
  <si>
    <t>H0: b13 = 0</t>
  </si>
  <si>
    <t>test. štat. B13:</t>
  </si>
  <si>
    <t>12. Analyzujte reziduá graficky a overte, či spĺňajú požadované podmienky aj pomocou testov.</t>
  </si>
  <si>
    <t>RESIDUAL OUTPUT</t>
  </si>
  <si>
    <t>Observation</t>
  </si>
  <si>
    <t>Predicted y</t>
  </si>
  <si>
    <t>Residuals</t>
  </si>
  <si>
    <t>Standard Residuals</t>
  </si>
  <si>
    <t>9. Otestujte celkovú štatistickú významnosť regresného modelu pomocou F testu.</t>
  </si>
  <si>
    <t xml:space="preserve">Fkrit = </t>
  </si>
  <si>
    <t>F =</t>
  </si>
  <si>
    <t>p =</t>
  </si>
  <si>
    <t>H0: všetky koeficienty sú nulové</t>
  </si>
  <si>
    <t>H1: aspoň jeden koeficient je nenulový</t>
  </si>
  <si>
    <t>prijímame</t>
  </si>
  <si>
    <t>Testujeme štatistickú významnosť regresného bodu</t>
  </si>
  <si>
    <t>fL (t1,t2,t3) =</t>
  </si>
  <si>
    <t>* t1 +</t>
  </si>
  <si>
    <t>* t2 +</t>
  </si>
  <si>
    <t>* t3 +</t>
  </si>
  <si>
    <t>* t1 * t2 +</t>
  </si>
  <si>
    <t>* t2 * t3</t>
  </si>
  <si>
    <t xml:space="preserve">fL (t1,t2,t3) = 420,45 + 60,99 * t1 + 49,09 * t2 + 39,16 * t3 + 20,66 * t1 * t2 + 5,44 * t1 * t3 + 5,13 * t2 * t3 </t>
  </si>
  <si>
    <t>Na základe P-hodnoty môžeme vylúčiť len trojitú interakciu faktorov t1*t2*t3, pretože P-hodnota je väčšia ako zadaná hodnota α = 0,05, čo znamená že trojitá interakcia faktorov nie je štatisticky významná.</t>
  </si>
  <si>
    <t>6. Charakterizujte kvalitu získaného modelu pomocou indexu determinácie. Číselnú hodnotu interpretujte slovne</t>
  </si>
  <si>
    <r>
      <t>R</t>
    </r>
    <r>
      <rPr>
        <sz val="11"/>
        <color theme="1"/>
        <rFont val="Calibri"/>
        <family val="2"/>
        <charset val="238"/>
      </rPr>
      <t xml:space="preserve">² = </t>
    </r>
  </si>
  <si>
    <t>7. Porovnajte upravený index determinácie pri modeli so všetkými pôvodnými premennými a pri modeli, ktorý dostanete po ich vylúčení. Výsledok interpretujte.</t>
  </si>
  <si>
    <t>Hodnoty pred vylúčením faktorov:</t>
  </si>
  <si>
    <t>Hodnoty po vylúčení faktorov:</t>
  </si>
  <si>
    <t xml:space="preserve">Upravený index determinácie pred vylúčením: </t>
  </si>
  <si>
    <t xml:space="preserve">Upravený index determinácie po vylúčení: </t>
  </si>
  <si>
    <t xml:space="preserve">R² adj = </t>
  </si>
  <si>
    <r>
      <t xml:space="preserve">Hoci sa R² po vylúčení štatisticky nevýznamného faktora modelu nepatrne znížil, </t>
    </r>
    <r>
      <rPr>
        <b/>
        <sz val="11"/>
        <color theme="1"/>
        <rFont val="Calibri"/>
        <family val="2"/>
        <charset val="238"/>
        <scheme val="minor"/>
      </rPr>
      <t>upravený index determinácie sa zvýšil</t>
    </r>
    <r>
      <rPr>
        <sz val="11"/>
        <color theme="1"/>
        <rFont val="Calibri"/>
        <family val="2"/>
        <charset val="238"/>
        <scheme val="minor"/>
      </rPr>
      <t xml:space="preserve">, čo potvrdzuje, že </t>
    </r>
    <r>
      <rPr>
        <b/>
        <sz val="11"/>
        <color theme="1"/>
        <rFont val="Calibri"/>
        <family val="2"/>
        <charset val="238"/>
        <scheme val="minor"/>
      </rPr>
      <t xml:space="preserve">zjednodušený model je efektívnejší </t>
    </r>
    <r>
      <rPr>
        <sz val="11"/>
        <color theme="1"/>
        <rFont val="Calibri"/>
        <family val="2"/>
        <charset val="238"/>
        <scheme val="minor"/>
      </rPr>
      <t>a vhodnejší než pôvodný model so všetkými premennými. Preto je vhodnejšie použiť redukovaný model bez trojitej interakcie.</t>
    </r>
  </si>
  <si>
    <t xml:space="preserve">8. Charakterizujte kvalitu modelu z hľadiska jeho predikcie. </t>
  </si>
  <si>
    <r>
      <t xml:space="preserve">Hodnota indexu determinácie R² = 0,99804416 znamená, že náš získaný regresný model </t>
    </r>
    <r>
      <rPr>
        <b/>
        <sz val="11"/>
        <color theme="1"/>
        <rFont val="Calibri"/>
        <family val="2"/>
        <charset val="238"/>
        <scheme val="minor"/>
      </rPr>
      <t>vysvetľuje približne 99,81% variability závislej premennej</t>
    </r>
    <r>
      <rPr>
        <sz val="11"/>
        <color theme="1"/>
        <rFont val="Calibri"/>
        <family val="2"/>
        <charset val="238"/>
        <scheme val="minor"/>
      </rPr>
      <t xml:space="preserve"> a iba zvyšných 0,19% predstavuje náhodná chyba alebo vplyv, ktoré v modeli nie sú zahrnuté. Z výsledku vyplýva, že náš model je z hľadiska štatistickej tesnosti takmer dokonalý a má excelentnú vysvetľujúcu schopnosť.</t>
    </r>
  </si>
  <si>
    <t>a) vysokú presnosť - model dokáže veľmi presne predpovedať hodnoty závislej premennej</t>
  </si>
  <si>
    <t>b) minimálnu chybu - štandardná chyba je relatívne nízka vzhľadom na mierku dát</t>
  </si>
  <si>
    <t>c) spoľahlivosť predikcie - dátové body sú veľmi blízko regresnej čiare, čo značí veľmi silnú štatistickú tesnosť</t>
  </si>
  <si>
    <r>
      <rPr>
        <b/>
        <sz val="11"/>
        <color theme="1"/>
        <rFont val="Calibri"/>
        <family val="2"/>
        <charset val="238"/>
        <scheme val="minor"/>
      </rPr>
      <t>Kvalita nášho získaného modelu z hľadiska predikcie je excelentná,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 xml:space="preserve">keďže model dosahuje vysoký index determinácie, kde 99,8% variability závislej premennej je vysvetlených premennými zahrnutými v modeli. </t>
    </r>
    <r>
      <rPr>
        <sz val="11"/>
        <color theme="1"/>
        <rFont val="Calibri"/>
        <family val="2"/>
        <charset val="238"/>
        <scheme val="minor"/>
      </rPr>
      <t>Z uvedeného vyplýva, že získaný model má:</t>
    </r>
  </si>
  <si>
    <t>Regresný model je štatisticky významný.</t>
  </si>
  <si>
    <t xml:space="preserve">10. Otestujte kvalitu modelu testom Lack of Fit. </t>
  </si>
  <si>
    <t>trojitú interakciu vynechávame pre hierarchickosť modelu</t>
  </si>
  <si>
    <r>
      <t xml:space="preserve">V rámci zadania sme sa rozhodli skúmať vplyv nastavenia vybraných parametrov virtuálneho katapultu na dosiahnutú vzdialenosť letu projektilu. Bolo skúmané, </t>
    </r>
    <r>
      <rPr>
        <sz val="11"/>
        <color rgb="FF002060"/>
        <rFont val="Times New Roman"/>
        <family val="1"/>
        <charset val="238"/>
      </rPr>
      <t xml:space="preserve">aký vplyv majú parametre </t>
    </r>
    <r>
      <rPr>
        <b/>
        <sz val="11"/>
        <color rgb="FF002060"/>
        <rFont val="Times New Roman"/>
        <family val="1"/>
        <charset val="238"/>
      </rPr>
      <t>uhol uvoľnenia</t>
    </r>
    <r>
      <rPr>
        <i/>
        <sz val="11"/>
        <color rgb="FF002060"/>
        <rFont val="Times New Roman"/>
        <family val="1"/>
        <charset val="238"/>
      </rPr>
      <t xml:space="preserve"> (release angle)</t>
    </r>
    <r>
      <rPr>
        <sz val="11"/>
        <color rgb="FF002060"/>
        <rFont val="Times New Roman"/>
        <family val="1"/>
        <charset val="238"/>
      </rPr>
      <t xml:space="preserve">, </t>
    </r>
    <r>
      <rPr>
        <b/>
        <sz val="11"/>
        <color rgb="FF002060"/>
        <rFont val="Times New Roman"/>
        <family val="1"/>
        <charset val="238"/>
      </rPr>
      <t>uhol streľby</t>
    </r>
    <r>
      <rPr>
        <sz val="11"/>
        <color rgb="FF002060"/>
        <rFont val="Times New Roman"/>
        <family val="1"/>
        <charset val="238"/>
      </rPr>
      <t xml:space="preserve"> </t>
    </r>
    <r>
      <rPr>
        <i/>
        <sz val="11"/>
        <color rgb="FF002060"/>
        <rFont val="Times New Roman"/>
        <family val="1"/>
        <charset val="238"/>
      </rPr>
      <t>(firing angle)</t>
    </r>
    <r>
      <rPr>
        <sz val="11"/>
        <color rgb="FF002060"/>
        <rFont val="Times New Roman"/>
        <family val="1"/>
        <charset val="238"/>
      </rPr>
      <t xml:space="preserve"> a </t>
    </r>
    <r>
      <rPr>
        <b/>
        <sz val="11"/>
        <color rgb="FF002060"/>
        <rFont val="Times New Roman"/>
        <family val="1"/>
        <charset val="238"/>
      </rPr>
      <t>výška misky</t>
    </r>
    <r>
      <rPr>
        <sz val="11"/>
        <color rgb="FF002060"/>
        <rFont val="Times New Roman"/>
        <family val="1"/>
        <charset val="238"/>
      </rPr>
      <t xml:space="preserve"> </t>
    </r>
    <r>
      <rPr>
        <i/>
        <sz val="11"/>
        <color rgb="FF002060"/>
        <rFont val="Times New Roman"/>
        <family val="1"/>
        <charset val="238"/>
      </rPr>
      <t>(cup elevation)</t>
    </r>
    <r>
      <rPr>
        <sz val="11"/>
        <color rgb="FF002060"/>
        <rFont val="Times New Roman"/>
        <family val="1"/>
        <charset val="238"/>
      </rPr>
      <t xml:space="preserve"> na dosiahnutú </t>
    </r>
    <r>
      <rPr>
        <b/>
        <sz val="11"/>
        <color rgb="FF002060"/>
        <rFont val="Times New Roman"/>
        <family val="1"/>
        <charset val="238"/>
      </rPr>
      <t>vzdialenosť letu</t>
    </r>
    <r>
      <rPr>
        <sz val="11"/>
        <color rgb="FF002060"/>
        <rFont val="Times New Roman"/>
        <family val="1"/>
        <charset val="238"/>
      </rPr>
      <t xml:space="preserve"> </t>
    </r>
    <r>
      <rPr>
        <i/>
        <sz val="11"/>
        <color rgb="FF002060"/>
        <rFont val="Times New Roman"/>
        <family val="1"/>
        <charset val="238"/>
      </rPr>
      <t>(distance)</t>
    </r>
    <r>
      <rPr>
        <sz val="11"/>
        <color theme="1"/>
        <rFont val="Times New Roman"/>
        <family val="1"/>
        <charset val="238"/>
      </rPr>
      <t xml:space="preserve">. Parametre </t>
    </r>
    <r>
      <rPr>
        <b/>
        <sz val="11"/>
        <color theme="1"/>
        <rFont val="Times New Roman"/>
        <family val="1"/>
        <charset val="238"/>
      </rPr>
      <t>výška čapu</t>
    </r>
    <r>
      <rPr>
        <sz val="11"/>
        <color theme="1"/>
        <rFont val="Times New Roman"/>
        <family val="1"/>
        <charset val="238"/>
      </rPr>
      <t xml:space="preserve"> </t>
    </r>
    <r>
      <rPr>
        <i/>
        <sz val="11"/>
        <color theme="1"/>
        <rFont val="Times New Roman"/>
        <family val="1"/>
        <charset val="238"/>
      </rPr>
      <t>(pin elevation)</t>
    </r>
    <r>
      <rPr>
        <sz val="11"/>
        <color theme="1"/>
        <rFont val="Times New Roman"/>
        <family val="1"/>
        <charset val="238"/>
      </rPr>
      <t xml:space="preserve"> a </t>
    </r>
    <r>
      <rPr>
        <b/>
        <sz val="11"/>
        <color theme="1"/>
        <rFont val="Times New Roman"/>
        <family val="1"/>
        <charset val="238"/>
      </rPr>
      <t>poloha gumy</t>
    </r>
    <r>
      <rPr>
        <sz val="11"/>
        <color theme="1"/>
        <rFont val="Times New Roman"/>
        <family val="1"/>
        <charset val="238"/>
      </rPr>
      <t xml:space="preserve"> </t>
    </r>
    <r>
      <rPr>
        <i/>
        <sz val="11"/>
        <color theme="1"/>
        <rFont val="Times New Roman"/>
        <family val="1"/>
        <charset val="238"/>
      </rPr>
      <t>(bungee position)</t>
    </r>
    <r>
      <rPr>
        <sz val="11"/>
        <color theme="1"/>
        <rFont val="Times New Roman"/>
        <family val="1"/>
        <charset val="238"/>
      </rPr>
      <t xml:space="preserve"> boli počas celého experimentu udržané na konštantnej úrovni, aby neovplyvňovali výsledky experimentu a aby bolo možné jednoznačne posúdiť vplyv menných faktorov.</t>
    </r>
  </si>
  <si>
    <t>C - PLOT z Minitabu</t>
  </si>
  <si>
    <t>(y - ȳ)</t>
  </si>
  <si>
    <t>ȳ</t>
  </si>
  <si>
    <r>
      <t>(y - ȳ)</t>
    </r>
    <r>
      <rPr>
        <b/>
        <sz val="11"/>
        <color theme="1"/>
        <rFont val="Calibri"/>
        <family val="2"/>
        <charset val="238"/>
      </rPr>
      <t>²</t>
    </r>
  </si>
  <si>
    <t>Stupne voľnosti pre Pure Error:</t>
  </si>
  <si>
    <t>Pure Error:</t>
  </si>
  <si>
    <t xml:space="preserve">N = </t>
  </si>
  <si>
    <t xml:space="preserve">g = </t>
  </si>
  <si>
    <t xml:space="preserve">SSe = </t>
  </si>
  <si>
    <t>SS Lack of Fit:</t>
  </si>
  <si>
    <t xml:space="preserve">SS Residual: </t>
  </si>
  <si>
    <t>Stupne voľnosti Lack of Fit:</t>
  </si>
  <si>
    <t xml:space="preserve">p = </t>
  </si>
  <si>
    <t>* počet parametrov modelu</t>
  </si>
  <si>
    <t xml:space="preserve">F = </t>
  </si>
  <si>
    <t xml:space="preserve">SSPE = </t>
  </si>
  <si>
    <t>Kritická hodnota - p-hodnota:</t>
  </si>
  <si>
    <t>α = 0,05</t>
  </si>
  <si>
    <t>Lack of Fit</t>
  </si>
  <si>
    <t>Pure Error</t>
  </si>
  <si>
    <t>Kritická hodnota F</t>
  </si>
  <si>
    <t>Testovanie kvality modelu pomocou Lack of Fit</t>
  </si>
  <si>
    <t xml:space="preserve">dfLF = </t>
  </si>
  <si>
    <t xml:space="preserve">dfPE = </t>
  </si>
  <si>
    <t xml:space="preserve">SSLF = </t>
  </si>
  <si>
    <t>H0: No LOF &gt;&lt; H1: LOF (H0: SSLF=SSPE &gt;&lt; H1: SSLF&gt;SSPE)</t>
  </si>
  <si>
    <t xml:space="preserve">F0 = </t>
  </si>
  <si>
    <t>neleží v kritickej oblasti</t>
  </si>
  <si>
    <t>&gt; 0,05</t>
  </si>
  <si>
    <t>&gt; prijímame nulovú hypotézu H0</t>
  </si>
  <si>
    <t xml:space="preserve"> &gt; zamietame alternatívnu hypotézu H1</t>
  </si>
  <si>
    <t>Na hladine významnosti α = 0,05 možno konštatovať, že lineárny regresný model je nedostatočný.</t>
  </si>
  <si>
    <t xml:space="preserve">11. Testom krivosti overte, či nie je potrebné do modelu zaradiť kvadratické členy. </t>
  </si>
  <si>
    <t>H0: Model je lineárny.</t>
  </si>
  <si>
    <t>H1: Model nie je lineárny.</t>
  </si>
  <si>
    <t>Hypotézy testu krivosti</t>
  </si>
  <si>
    <t>Údaje pre test krivosti</t>
  </si>
  <si>
    <t>Testovacia štatistika F</t>
  </si>
  <si>
    <t xml:space="preserve">F krit. = </t>
  </si>
  <si>
    <t>Porovnanie testovacej štatistiky a kritickej hodnoty</t>
  </si>
  <si>
    <t>F = 0,07134 &lt; Fkrit. ​= 5,3177</t>
  </si>
  <si>
    <t>&gt; Nezamietame nulovú hypotézu</t>
  </si>
  <si>
    <t>Na základe testu krivosti (curvature testu) pri hladine významnosti α = 0,05 nebola zistená štatisticky významná krivitosť. Lineárny model je adekvátny a nie je potrebné pridávať kvadratické členy.</t>
  </si>
  <si>
    <t>y predik s t1</t>
  </si>
  <si>
    <t>y predik bez t1</t>
  </si>
  <si>
    <t>SSR pre t1</t>
  </si>
  <si>
    <t>SSE(t1)</t>
  </si>
  <si>
    <t>F0</t>
  </si>
  <si>
    <t>F test štatistickej významnosti prínosu K-tej vysvetľujúcej premennej</t>
  </si>
  <si>
    <t>H0: príspevok t1 je nevýznamný</t>
  </si>
  <si>
    <t>H1: príspevok t1 je významný</t>
  </si>
  <si>
    <t xml:space="preserve">Fkrit = F0,95 (1;9) = </t>
  </si>
  <si>
    <t>Premenná t1 má štatisticky významný príspevok k vysvetleniu variability závislej premennej.</t>
  </si>
  <si>
    <t>(delta a t1)^2</t>
  </si>
  <si>
    <t>(delta bez t1)^2</t>
  </si>
  <si>
    <t>14. Určte, či je samostatný vplyv vybraného faktoru na hodnotu regresnej funkcie lineárneho typu štatisticky významný. Použite F test dodatočného príspevku vybraného faktora na vysvetlenie variability závislej premennej.</t>
  </si>
  <si>
    <t xml:space="preserve">15. Určte, či je vybraná interakcia faktorov na hodnotu regresnej funkcie lineárneho typu štatisticky významná. Použite t test nulovosti regresného koeficientu. </t>
  </si>
  <si>
    <t>Residual output z pôvodnej tabuľky so všetkými hodnotami</t>
  </si>
  <si>
    <t>Residual output z tabuľky so významnými hodnotami</t>
  </si>
  <si>
    <t>Hlavný efekt faktora A - uhoľ uvoľnenia</t>
  </si>
  <si>
    <t xml:space="preserve">ef(A) = </t>
  </si>
  <si>
    <t>Hlavný efekt faktora B - uhol streľby</t>
  </si>
  <si>
    <t xml:space="preserve">ef(B) = </t>
  </si>
  <si>
    <t>Hlavný efekt faktora C - výška misky</t>
  </si>
  <si>
    <t xml:space="preserve">ef(C) = </t>
  </si>
  <si>
    <t xml:space="preserve">16. Vypočítajte a zobrazte grafy hlavných efektov sledovaných faktorov (main effect plots). Grafy porovnajte a interpretujte. </t>
  </si>
  <si>
    <t>Na základe grafov hlavných efektov možno konštatovať, že najväčší vplyv na sledovanú veličinu y má faktor A - uhol uvoľnenia, nasledovaný faktorom B - uhlom streľby, zatiaľ čo faktor C má najmenší hlavný efekt.</t>
  </si>
  <si>
    <t>Efekt interakcie faktora A a B</t>
  </si>
  <si>
    <t>A</t>
  </si>
  <si>
    <t>B</t>
  </si>
  <si>
    <t xml:space="preserve">ef(AB) = </t>
  </si>
  <si>
    <t>Efekt interakcie faktora B a C</t>
  </si>
  <si>
    <t>os x -&gt; uhol streľby (B)</t>
  </si>
  <si>
    <t>os x -&gt; výška misky (C)</t>
  </si>
  <si>
    <t>os y -&gt; vzdialenosť letu</t>
  </si>
  <si>
    <t>C</t>
  </si>
  <si>
    <t xml:space="preserve">ef(BC) = </t>
  </si>
  <si>
    <t>Efekt interakcie faktora A a C</t>
  </si>
  <si>
    <t>os x -&gt; uhol uvoľnenia (A)</t>
  </si>
  <si>
    <t xml:space="preserve">17. Zobrazte efekt interakcií sledovaných faktorov (interaction plots) a interpretujte ich. </t>
  </si>
  <si>
    <t>Výstup z minitabu</t>
  </si>
  <si>
    <t>13. Určte, či je samostatný vplyv vybraného faktoru na hodnotu regresnej funkcie lineárneho typu štatisticky významný. Použite t test nulovosti regresného koeficientu.</t>
  </si>
  <si>
    <t>18. Pomocou nájdeného regresného modelu predikujte hodnotu odozvy pre zvolené úrovne faktorov. Správnosť výsledku overte výpočtom cez model v pôvodných aj kódovaných jednotkách.</t>
  </si>
  <si>
    <t>19. Overte správnosť nájdeného regresného modelu pomocou kontrolného merania.</t>
  </si>
  <si>
    <t xml:space="preserve">20. Analyzujte pri akom nastavení faktorov možno dostať požadovanú odozvu. </t>
  </si>
  <si>
    <t>hypotézy:</t>
  </si>
  <si>
    <t>H1: b1 ≠ 0</t>
  </si>
  <si>
    <t xml:space="preserve">t0(b1) = </t>
  </si>
  <si>
    <t xml:space="preserve">W = </t>
  </si>
  <si>
    <t>patrí do W -</t>
  </si>
  <si>
    <t>Na hladine významnosti α = 0,05 možno konštatovať, že regresný koeficient b1 je štatisticky významný, nemožno ho zanedbať. Uhol uvoľnenia je dôležitý faktor pre dosah katapultu.</t>
  </si>
  <si>
    <t>H1: b2 ≠ 0</t>
  </si>
  <si>
    <t xml:space="preserve">t0(b2) = </t>
  </si>
  <si>
    <t>Na hladine významnosti α = 0,05 možno konštatovať, že regresný koeficient b2 je štatisticky významný, nemožno ho zanedbať. Uhol streľby je dôležitý faktor pre dosah katapultu.</t>
  </si>
  <si>
    <t>H1: b3 ≠ 0</t>
  </si>
  <si>
    <t xml:space="preserve">t0(b3) = </t>
  </si>
  <si>
    <t>Na hladine významnosti α = 0,05 možno konštatovať, že regresný koeficient b3 je štatisticky významný, nemožno ho zanedbať. Výška misky je dôležitý faktor pre dosah katapultu.</t>
  </si>
  <si>
    <t>Predikcia 1:</t>
  </si>
  <si>
    <t>Predikcia 2:</t>
  </si>
  <si>
    <t xml:space="preserve">x1 = </t>
  </si>
  <si>
    <t xml:space="preserve">x2 = </t>
  </si>
  <si>
    <t xml:space="preserve">x3 = </t>
  </si>
  <si>
    <t>fL (x1, x2, x3) =</t>
  </si>
  <si>
    <t>fL (t1, t2, t3) =</t>
  </si>
  <si>
    <t>H1: b12 ≠ 0</t>
  </si>
  <si>
    <r>
      <t xml:space="preserve">c) Testovanie samostatného vplyvu faktora </t>
    </r>
    <r>
      <rPr>
        <b/>
        <sz val="11"/>
        <color theme="1"/>
        <rFont val="Calibri"/>
        <family val="2"/>
        <charset val="238"/>
        <scheme val="minor"/>
      </rPr>
      <t>b3</t>
    </r>
  </si>
  <si>
    <r>
      <t xml:space="preserve">a) Testovanie samostatného vplyvu faktora </t>
    </r>
    <r>
      <rPr>
        <b/>
        <sz val="11"/>
        <color theme="1"/>
        <rFont val="Calibri"/>
        <family val="2"/>
        <charset val="238"/>
        <scheme val="minor"/>
      </rPr>
      <t>b1</t>
    </r>
  </si>
  <si>
    <r>
      <t>b) Testovanie samostatného vplyvu faktora</t>
    </r>
    <r>
      <rPr>
        <b/>
        <sz val="11"/>
        <color theme="1"/>
        <rFont val="Calibri"/>
        <family val="2"/>
        <charset val="238"/>
        <scheme val="minor"/>
      </rPr>
      <t xml:space="preserve"> b2</t>
    </r>
  </si>
  <si>
    <t>a) Testovanie interakcie t1xt2 na ft</t>
  </si>
  <si>
    <t>Na hladine významnosti α = 0,05 možno konštatovať, že interakcia faktorov t1xt2 je štatisticky významná.</t>
  </si>
  <si>
    <t>H1: b13 ≠ 0</t>
  </si>
  <si>
    <t>b) Testovanie interakcie t1xt3 na ft</t>
  </si>
  <si>
    <t>Na hladine významnosti α = 0,05 možno konštatovať, že interakcia faktorov t1xt3 je štatisticky významná.</t>
  </si>
  <si>
    <t>c) Testovanie interakcie t2xt3 na ft</t>
  </si>
  <si>
    <t>p(b23):</t>
  </si>
  <si>
    <t>test. štat. B23:</t>
  </si>
  <si>
    <t>z pôvodnej tabulky so všetkými faktormi</t>
  </si>
  <si>
    <t>z tabulky, kde sú len výzmanmé hodnoty</t>
  </si>
  <si>
    <t>Výstup predikcie z Minitabu</t>
  </si>
  <si>
    <t>Predikcia 1 (170,110,280) =</t>
  </si>
  <si>
    <t>Predikcia 2 (175,115,290) =</t>
  </si>
  <si>
    <t>Správnosť regresného modelu bola overená porovnaním predikovaných hodnôt s hodnotami získanými z kontrolného merania. Zistené rozdiely medzi predikciou a experimentálnymi hodnotami sú malé a nachádzajú sa v rámci prijateľnej chyby merania, čo naznačuje, že regresný model dostatočne dobre opisuje sledovaný proces.</t>
  </si>
  <si>
    <t>Koeficienty regresného modelu:</t>
  </si>
  <si>
    <t>Riešenie úlohy z Minitabu</t>
  </si>
  <si>
    <t>Hľadáme požadovanú hodnotu odozvy, chceme vedieť aké vstupné parametre potrebujeme použiť, aby sme dostali vzdalenosť dostrelu 500 jednotiek.</t>
  </si>
  <si>
    <t>*vzhľadom na to, že virtuálny katapult nie je uvedený v jednotkách, zvolili sme si mm</t>
  </si>
  <si>
    <t>Na požadovanú hodnotu odozvy 500 mm vzdialenosti, je potrebné nastaviť vstupné parametre na: uhol uvoľnenia na 168,412 stupňov, uhol streľby na 120 stupňov a výšku misky na 300 mm.</t>
  </si>
  <si>
    <t>Vzhľadom na to, že po opakovanej aktualizácií a povolení makier nám táto funkcia v exceli nefunguje, prikladáme riešenie z minitabu.</t>
  </si>
  <si>
    <t xml:space="preserve">Príspevok t1: </t>
  </si>
  <si>
    <t>Príspevok t1</t>
  </si>
  <si>
    <t>fL (x1,x2,x3) =</t>
  </si>
  <si>
    <t xml:space="preserve">* t1 </t>
  </si>
  <si>
    <t xml:space="preserve">* (x1 - 170) </t>
  </si>
  <si>
    <t>* (x2 - 110) +</t>
  </si>
  <si>
    <t>* (x3 - 280) +</t>
  </si>
  <si>
    <t>* (x1 - 170) * (x2 - 110) +</t>
  </si>
  <si>
    <t>* t1 * t3 +</t>
  </si>
  <si>
    <t>* (x1 - 170) * (x3 - 280) +</t>
  </si>
  <si>
    <t>* (x2 - 110) * (x3 - 280)</t>
  </si>
  <si>
    <t>Výstup so zápisom nadefinovaných parametrov experimentu:</t>
  </si>
  <si>
    <t>Vygenerovaný plán experimentu s doplnením nameraných hodnôt odozvy:</t>
  </si>
  <si>
    <t>Cplot ako výstup Minitabu:</t>
  </si>
  <si>
    <t>Výstup analýzy nameraných hodnôt odozvy:</t>
  </si>
  <si>
    <t>Výstup analýzy po vylúčení členov, ktoré nie sú signifikantné:</t>
  </si>
  <si>
    <t>3D graf surface plot:</t>
  </si>
  <si>
    <t>Contour plot – vrstevnicový graf pre danú odozvovú plochu:</t>
  </si>
  <si>
    <t>Výstup s výsledkami pre predikciu:</t>
  </si>
  <si>
    <t>Nájdené optimálne riešenia: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</si>
</sst>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00"/>
    <numFmt numFmtId="165" formatCode="0.0000"/>
  </numFmts>
  <fonts count="44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1"/>
      <color theme="1"/>
      <name val="Calibri"/>
      <family val="2"/>
      <charset val="238"/>
    </font>
    <font>
      <sz val="11"/>
      <color theme="2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11"/>
      <color theme="3" tint="0.3999755851924192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Aptos Narrow"/>
      <family val="2"/>
    </font>
    <font>
      <sz val="6.6"/>
      <color theme="1"/>
      <name val="Calibri"/>
      <family val="2"/>
      <charset val="238"/>
    </font>
    <font>
      <i/>
      <u/>
      <sz val="11"/>
      <color theme="1"/>
      <name val="Calibri"/>
      <family val="2"/>
      <charset val="238"/>
      <scheme val="minor"/>
    </font>
    <font>
      <b/>
      <sz val="11"/>
      <color theme="9" tint="-0.249977111117893"/>
      <name val="Calibri"/>
      <family val="2"/>
      <charset val="238"/>
      <scheme val="minor"/>
    </font>
    <font>
      <i/>
      <sz val="11"/>
      <color rgb="FFA21F00"/>
      <name val="Calibri"/>
      <family val="2"/>
      <charset val="238"/>
      <scheme val="minor"/>
    </font>
    <font>
      <sz val="11"/>
      <color rgb="FF002060"/>
      <name val="Times New Roman"/>
      <family val="1"/>
      <charset val="238"/>
    </font>
    <font>
      <b/>
      <sz val="11"/>
      <color rgb="FF002060"/>
      <name val="Times New Roman"/>
      <family val="1"/>
      <charset val="238"/>
    </font>
    <font>
      <i/>
      <sz val="11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b/>
      <sz val="11"/>
      <color rgb="FFC00000"/>
      <name val="Calibri"/>
      <family val="2"/>
      <charset val="238"/>
      <scheme val="minor"/>
    </font>
    <font>
      <i/>
      <sz val="11"/>
      <color theme="3"/>
      <name val="Calibri"/>
      <family val="2"/>
      <charset val="238"/>
      <scheme val="minor"/>
    </font>
    <font>
      <b/>
      <i/>
      <sz val="11"/>
      <color rgb="FFA21F00"/>
      <name val="Calibri"/>
      <family val="2"/>
      <charset val="238"/>
      <scheme val="minor"/>
    </font>
    <font>
      <b/>
      <sz val="11"/>
      <color rgb="FFA21F00"/>
      <name val="Calibri"/>
      <family val="2"/>
      <charset val="238"/>
      <scheme val="minor"/>
    </font>
    <font>
      <b/>
      <sz val="11"/>
      <color rgb="FF7030A0"/>
      <name val="Calibri"/>
      <family val="2"/>
      <charset val="238"/>
      <scheme val="minor"/>
    </font>
    <font>
      <i/>
      <sz val="11"/>
      <color rgb="FFC0000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2"/>
      <color theme="1"/>
      <name val="Calibri"/>
      <family val="2"/>
      <charset val="238"/>
    </font>
    <font>
      <sz val="11"/>
      <color theme="9" tint="-0.249977111117893"/>
      <name val="Calibri"/>
      <family val="2"/>
      <charset val="238"/>
      <scheme val="minor"/>
    </font>
    <font>
      <sz val="11"/>
      <color rgb="FFC00000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4"/>
      <name val="Calibri"/>
      <family val="2"/>
      <charset val="238"/>
    </font>
    <font>
      <i/>
      <sz val="11"/>
      <color theme="9" tint="-0.249977111117893"/>
      <name val="Calibri"/>
      <family val="2"/>
      <charset val="238"/>
      <scheme val="minor"/>
    </font>
    <font>
      <sz val="11"/>
      <color theme="9" tint="-0.249977111117893"/>
      <name val="Calibri"/>
      <family val="2"/>
      <charset val="238"/>
    </font>
    <font>
      <sz val="11"/>
      <color rgb="FFC00000"/>
      <name val="Calibri"/>
      <family val="2"/>
      <charset val="238"/>
    </font>
    <font>
      <i/>
      <sz val="11"/>
      <color theme="4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E8EB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6EDF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CBABA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FF2F5"/>
        <bgColor indexed="64"/>
      </patternFill>
    </fill>
    <fill>
      <patternFill patternType="solid">
        <fgColor rgb="FFD99B9B"/>
        <bgColor indexed="64"/>
      </patternFill>
    </fill>
    <fill>
      <patternFill patternType="solid">
        <fgColor rgb="FFF6EAEA"/>
        <bgColor indexed="64"/>
      </patternFill>
    </fill>
    <fill>
      <patternFill patternType="solid">
        <fgColor rgb="FFCDEFD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DAC7D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0C6BE"/>
        <bgColor indexed="64"/>
      </patternFill>
    </fill>
    <fill>
      <patternFill patternType="solid">
        <fgColor rgb="FFD9CDC5"/>
        <bgColor indexed="64"/>
      </patternFill>
    </fill>
    <fill>
      <patternFill patternType="solid">
        <fgColor rgb="FFC2DCD3"/>
        <bgColor indexed="64"/>
      </patternFill>
    </fill>
    <fill>
      <patternFill patternType="solid">
        <fgColor rgb="FFD7C1A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BF7E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A3A3"/>
        <bgColor indexed="64"/>
      </patternFill>
    </fill>
  </fills>
  <borders count="267">
    <border>
      <left/>
      <right/>
      <top/>
      <bottom/>
      <diagonal/>
    </border>
    <border>
      <left style="medium">
        <color theme="3" tint="-0.249977111117893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/>
      <bottom style="medium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0"/>
      </left>
      <right/>
      <top style="medium">
        <color theme="3" tint="-0.249977111117893"/>
      </top>
      <bottom style="thin">
        <color theme="0"/>
      </bottom>
      <diagonal/>
    </border>
    <border>
      <left/>
      <right/>
      <top style="medium">
        <color theme="3" tint="-0.249977111117893"/>
      </top>
      <bottom style="thin">
        <color theme="0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thin">
        <color theme="0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3" tint="-0.249977111117893"/>
      </bottom>
      <diagonal/>
    </border>
    <border>
      <left/>
      <right style="thin">
        <color theme="0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/>
      <top/>
      <bottom/>
      <diagonal/>
    </border>
    <border>
      <left/>
      <right style="thin">
        <color theme="3" tint="-0.249977111117893"/>
      </right>
      <top/>
      <bottom/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theme="3" tint="-0.249977111117893"/>
      </bottom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medium">
        <color theme="3"/>
      </top>
      <bottom/>
      <diagonal/>
    </border>
    <border>
      <left/>
      <right style="thin">
        <color theme="3"/>
      </right>
      <top style="medium">
        <color theme="3"/>
      </top>
      <bottom/>
      <diagonal/>
    </border>
    <border>
      <left/>
      <right style="thin">
        <color theme="3"/>
      </right>
      <top style="medium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medium">
        <color theme="3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 style="medium">
        <color theme="3"/>
      </right>
      <top style="thin">
        <color theme="3"/>
      </top>
      <bottom style="medium">
        <color theme="3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0.39997558519241921"/>
      </right>
      <top style="medium">
        <color theme="9" tint="-0.249977111117893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-0.249977111117893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-0.249977111117893"/>
      </right>
      <top style="medium">
        <color theme="9" tint="-0.249977111117893"/>
      </top>
      <bottom style="thin">
        <color theme="9" tint="0.39997558519241921"/>
      </bottom>
      <diagonal/>
    </border>
    <border>
      <left style="medium">
        <color theme="9" tint="-0.249977111117893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-0.249977111117893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0.39997558519241921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 style="thin">
        <color theme="9" tint="0.39997558519241921"/>
      </bottom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9" tint="0.39997558519241921"/>
      </top>
      <bottom style="medium">
        <color theme="9" tint="-0.249977111117893"/>
      </bottom>
      <diagonal/>
    </border>
    <border>
      <left style="thin">
        <color theme="9" tint="0.39997558519241921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3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3"/>
      </right>
      <top style="thin">
        <color theme="0"/>
      </top>
      <bottom style="thin">
        <color theme="0"/>
      </bottom>
      <diagonal/>
    </border>
    <border>
      <left style="medium">
        <color theme="3"/>
      </left>
      <right style="thin">
        <color theme="0"/>
      </right>
      <top style="thin">
        <color theme="0"/>
      </top>
      <bottom style="medium">
        <color theme="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3"/>
      </bottom>
      <diagonal/>
    </border>
    <border>
      <left style="thin">
        <color theme="0"/>
      </left>
      <right style="medium">
        <color theme="3"/>
      </right>
      <top style="thin">
        <color theme="0"/>
      </top>
      <bottom style="medium">
        <color theme="3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3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/>
      </left>
      <right style="thin">
        <color theme="3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3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3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/>
      </right>
      <top/>
      <bottom style="thin">
        <color theme="0"/>
      </bottom>
      <diagonal/>
    </border>
    <border>
      <left style="thin">
        <color theme="3"/>
      </left>
      <right/>
      <top style="thin">
        <color theme="0"/>
      </top>
      <bottom style="thin">
        <color theme="0"/>
      </bottom>
      <diagonal/>
    </border>
    <border>
      <left/>
      <right style="thin">
        <color theme="3"/>
      </right>
      <top style="thin">
        <color theme="0"/>
      </top>
      <bottom style="thin">
        <color theme="0"/>
      </bottom>
      <diagonal/>
    </border>
    <border>
      <left style="thin">
        <color theme="3"/>
      </left>
      <right style="thin">
        <color theme="0"/>
      </right>
      <top style="thin">
        <color theme="0"/>
      </top>
      <bottom style="thin">
        <color theme="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/>
      </bottom>
      <diagonal/>
    </border>
    <border>
      <left style="thin">
        <color theme="0"/>
      </left>
      <right style="thin">
        <color theme="3"/>
      </right>
      <top style="thin">
        <color theme="0"/>
      </top>
      <bottom style="thin">
        <color theme="3"/>
      </bottom>
      <diagonal/>
    </border>
    <border>
      <left style="thin">
        <color theme="0"/>
      </left>
      <right/>
      <top/>
      <bottom style="medium">
        <color theme="3" tint="-0.249977111117893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theme="3"/>
      </left>
      <right style="medium">
        <color theme="3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3"/>
      </left>
      <right style="medium">
        <color theme="3"/>
      </right>
      <top style="thin">
        <color theme="1" tint="0.499984740745262"/>
      </top>
      <bottom style="medium">
        <color theme="3"/>
      </bottom>
      <diagonal/>
    </border>
    <border>
      <left style="medium">
        <color theme="3"/>
      </left>
      <right style="medium">
        <color theme="3"/>
      </right>
      <top style="thin">
        <color theme="1" tint="0.499984740745262"/>
      </top>
      <bottom/>
      <diagonal/>
    </border>
    <border>
      <left style="medium">
        <color theme="3"/>
      </left>
      <right style="thin">
        <color theme="1" tint="0.499984740745262"/>
      </right>
      <top style="medium">
        <color theme="3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3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medium">
        <color theme="3"/>
      </top>
      <bottom style="thin">
        <color theme="1" tint="0.499984740745262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thin">
        <color theme="1" tint="0.499984740745262"/>
      </bottom>
      <diagonal/>
    </border>
    <border>
      <left style="medium">
        <color theme="3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3"/>
      </left>
      <right style="thin">
        <color theme="1" tint="0.499984740745262"/>
      </right>
      <top style="thin">
        <color theme="1" tint="0.499984740745262"/>
      </top>
      <bottom style="medium">
        <color theme="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3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3"/>
      </bottom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/>
      <right style="thin">
        <color theme="1" tint="0.499984740745262"/>
      </right>
      <top style="medium">
        <color theme="3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3"/>
      </bottom>
      <diagonal/>
    </border>
    <border>
      <left style="medium">
        <color theme="3"/>
      </left>
      <right style="thin">
        <color theme="1" tint="0.499984740745262"/>
      </right>
      <top style="medium">
        <color theme="3"/>
      </top>
      <bottom style="medium">
        <color theme="3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3"/>
      </top>
      <bottom style="medium">
        <color theme="3"/>
      </bottom>
      <diagonal/>
    </border>
    <border>
      <left style="thin">
        <color theme="1" tint="0.499984740745262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 style="thin">
        <color theme="1" tint="0.499984740745262"/>
      </right>
      <top style="medium">
        <color theme="3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3"/>
      </top>
      <bottom/>
      <diagonal/>
    </border>
    <border>
      <left style="thin">
        <color theme="1" tint="0.499984740745262"/>
      </left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 style="thin">
        <color theme="1" tint="0.499984740745262"/>
      </right>
      <top/>
      <bottom style="medium">
        <color theme="3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3"/>
      </bottom>
      <diagonal/>
    </border>
    <border>
      <left style="thin">
        <color theme="1" tint="0.499984740745262"/>
      </left>
      <right style="medium">
        <color theme="3"/>
      </right>
      <top/>
      <bottom style="medium">
        <color theme="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9" tint="0.39997558519241921"/>
      </top>
      <bottom/>
      <diagonal/>
    </border>
    <border>
      <left style="medium">
        <color theme="9" tint="-0.249977111117893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-0.249977111117893"/>
      </bottom>
      <diagonal/>
    </border>
    <border>
      <left/>
      <right style="thin">
        <color theme="9" tint="0.39997558519241921"/>
      </right>
      <top style="medium">
        <color theme="9" tint="-0.249977111117893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medium">
        <color theme="9" tint="-0.249977111117893"/>
      </bottom>
      <diagonal/>
    </border>
    <border>
      <left style="thin">
        <color theme="9" tint="0.39997558519241921"/>
      </left>
      <right/>
      <top style="medium">
        <color theme="9" tint="-0.249977111117893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medium">
        <color theme="9" tint="-0.24997711111789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 style="thin">
        <color theme="0"/>
      </right>
      <top style="medium">
        <color theme="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3"/>
      </top>
      <bottom style="thin">
        <color theme="0"/>
      </bottom>
      <diagonal/>
    </border>
    <border>
      <left style="thin">
        <color theme="0"/>
      </left>
      <right style="medium">
        <color theme="3"/>
      </right>
      <top style="medium">
        <color theme="3"/>
      </top>
      <bottom style="thin">
        <color theme="0"/>
      </bottom>
      <diagonal/>
    </border>
    <border>
      <left style="medium">
        <color rgb="FF7F00AC"/>
      </left>
      <right style="medium">
        <color rgb="FF7F00AC"/>
      </right>
      <top style="medium">
        <color rgb="FF7F00AC"/>
      </top>
      <bottom style="medium">
        <color rgb="FF7F00AC"/>
      </bottom>
      <diagonal/>
    </border>
    <border>
      <left style="medium">
        <color rgb="FF7F00AC"/>
      </left>
      <right style="medium">
        <color rgb="FF7F00AC"/>
      </right>
      <top style="medium">
        <color rgb="FF7F00AC"/>
      </top>
      <bottom style="thin">
        <color rgb="FF7030A0"/>
      </bottom>
      <diagonal/>
    </border>
    <border>
      <left style="medium">
        <color rgb="FF7F00AC"/>
      </left>
      <right style="medium">
        <color rgb="FF7F00AC"/>
      </right>
      <top style="thin">
        <color rgb="FF7030A0"/>
      </top>
      <bottom style="thin">
        <color rgb="FF7030A0"/>
      </bottom>
      <diagonal/>
    </border>
    <border>
      <left style="medium">
        <color rgb="FF7F00AC"/>
      </left>
      <right style="medium">
        <color rgb="FF7F00AC"/>
      </right>
      <top style="thin">
        <color rgb="FF7030A0"/>
      </top>
      <bottom style="medium">
        <color rgb="FF7F00AC"/>
      </bottom>
      <diagonal/>
    </border>
    <border>
      <left style="medium">
        <color rgb="FF7F00AC"/>
      </left>
      <right style="medium">
        <color rgb="FF7F00AC"/>
      </right>
      <top/>
      <bottom style="thin">
        <color rgb="FF7030A0"/>
      </bottom>
      <diagonal/>
    </border>
    <border>
      <left style="medium">
        <color rgb="FFC00000"/>
      </left>
      <right/>
      <top style="medium">
        <color rgb="FFC00000"/>
      </top>
      <bottom style="thin">
        <color rgb="FFA21F00"/>
      </bottom>
      <diagonal/>
    </border>
    <border>
      <left style="medium">
        <color rgb="FFC00000"/>
      </left>
      <right/>
      <top style="thin">
        <color rgb="FFA21F00"/>
      </top>
      <bottom style="thin">
        <color rgb="FFA21F00"/>
      </bottom>
      <diagonal/>
    </border>
    <border>
      <left style="medium">
        <color rgb="FFC00000"/>
      </left>
      <right/>
      <top style="thin">
        <color rgb="FFA21F00"/>
      </top>
      <bottom style="medium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thin">
        <color rgb="FFA21F00"/>
      </bottom>
      <diagonal/>
    </border>
    <border>
      <left style="medium">
        <color rgb="FFC00000"/>
      </left>
      <right style="medium">
        <color rgb="FFC00000"/>
      </right>
      <top style="thin">
        <color rgb="FFA21F00"/>
      </top>
      <bottom style="thin">
        <color rgb="FFA21F00"/>
      </bottom>
      <diagonal/>
    </border>
    <border>
      <left style="medium">
        <color rgb="FFC00000"/>
      </left>
      <right style="medium">
        <color rgb="FFC00000"/>
      </right>
      <top style="thin">
        <color rgb="FFA21F00"/>
      </top>
      <bottom style="medium">
        <color rgb="FFC0000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3"/>
      </right>
      <top style="thin">
        <color theme="0"/>
      </top>
      <bottom/>
      <diagonal/>
    </border>
    <border>
      <left style="thin">
        <color theme="3"/>
      </left>
      <right style="thin">
        <color theme="0"/>
      </right>
      <top style="thin">
        <color theme="0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medium">
        <color theme="2" tint="-0.89999084444715716"/>
      </left>
      <right style="thin">
        <color theme="2" tint="-0.249977111117893"/>
      </right>
      <top style="medium">
        <color theme="2" tint="-0.89999084444715716"/>
      </top>
      <bottom style="medium">
        <color theme="2" tint="-0.89999084444715716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2" tint="-0.89999084444715716"/>
      </top>
      <bottom style="medium">
        <color theme="2" tint="-0.89999084444715716"/>
      </bottom>
      <diagonal/>
    </border>
    <border>
      <left style="thin">
        <color theme="2" tint="-0.249977111117893"/>
      </left>
      <right style="medium">
        <color theme="2" tint="-0.89999084444715716"/>
      </right>
      <top style="medium">
        <color theme="2" tint="-0.89999084444715716"/>
      </top>
      <bottom style="medium">
        <color theme="2" tint="-0.89999084444715716"/>
      </bottom>
      <diagonal/>
    </border>
    <border>
      <left style="medium">
        <color theme="2" tint="-0.89999084444715716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medium">
        <color theme="2" tint="-0.89999084444715716"/>
      </right>
      <top/>
      <bottom style="thin">
        <color theme="2" tint="-0.249977111117893"/>
      </bottom>
      <diagonal/>
    </border>
    <border>
      <left style="medium">
        <color theme="2" tint="-0.89999084444715716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medium">
        <color theme="2" tint="-0.89999084444715716"/>
      </right>
      <top style="thin">
        <color theme="2" tint="-0.249977111117893"/>
      </top>
      <bottom style="thin">
        <color theme="2" tint="-0.249977111117893"/>
      </bottom>
      <diagonal/>
    </border>
    <border>
      <left style="medium">
        <color theme="2" tint="-0.89999084444715716"/>
      </left>
      <right style="thin">
        <color theme="2" tint="-0.249977111117893"/>
      </right>
      <top style="thin">
        <color theme="2" tint="-0.249977111117893"/>
      </top>
      <bottom style="medium">
        <color theme="2" tint="-0.89999084444715716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medium">
        <color theme="2" tint="-0.89999084444715716"/>
      </bottom>
      <diagonal/>
    </border>
    <border>
      <left style="thin">
        <color theme="2" tint="-0.249977111117893"/>
      </left>
      <right style="medium">
        <color theme="2" tint="-0.89999084444715716"/>
      </right>
      <top style="thin">
        <color theme="2" tint="-0.249977111117893"/>
      </top>
      <bottom style="medium">
        <color theme="2" tint="-0.89999084444715716"/>
      </bottom>
      <diagonal/>
    </border>
    <border>
      <left style="medium">
        <color theme="2" tint="-0.89999084444715716"/>
      </left>
      <right/>
      <top style="medium">
        <color theme="2" tint="-0.89999084444715716"/>
      </top>
      <bottom style="medium">
        <color theme="2" tint="-0.89999084444715716"/>
      </bottom>
      <diagonal/>
    </border>
    <border>
      <left/>
      <right/>
      <top style="medium">
        <color theme="2" tint="-0.89999084444715716"/>
      </top>
      <bottom style="medium">
        <color theme="2" tint="-0.89999084444715716"/>
      </bottom>
      <diagonal/>
    </border>
    <border>
      <left/>
      <right style="medium">
        <color theme="2" tint="-0.89999084444715716"/>
      </right>
      <top style="medium">
        <color theme="2" tint="-0.89999084444715716"/>
      </top>
      <bottom style="medium">
        <color theme="2" tint="-0.89999084444715716"/>
      </bottom>
      <diagonal/>
    </border>
    <border>
      <left style="medium">
        <color rgb="FFA21F00"/>
      </left>
      <right/>
      <top style="medium">
        <color rgb="FFA21F00"/>
      </top>
      <bottom style="medium">
        <color rgb="FFA21F00"/>
      </bottom>
      <diagonal/>
    </border>
    <border>
      <left/>
      <right/>
      <top style="medium">
        <color rgb="FFA21F00"/>
      </top>
      <bottom style="medium">
        <color rgb="FFA21F00"/>
      </bottom>
      <diagonal/>
    </border>
    <border>
      <left/>
      <right style="medium">
        <color rgb="FFA21F00"/>
      </right>
      <top style="medium">
        <color rgb="FFA21F00"/>
      </top>
      <bottom style="medium">
        <color rgb="FFA21F00"/>
      </bottom>
      <diagonal/>
    </border>
    <border>
      <left style="medium">
        <color theme="5" tint="-0.249977111117893"/>
      </left>
      <right/>
      <top style="medium">
        <color theme="5" tint="-0.249977111117893"/>
      </top>
      <bottom/>
      <diagonal/>
    </border>
    <border>
      <left/>
      <right/>
      <top style="medium">
        <color theme="5" tint="-0.249977111117893"/>
      </top>
      <bottom/>
      <diagonal/>
    </border>
    <border>
      <left/>
      <right style="medium">
        <color theme="5" tint="-0.249977111117893"/>
      </right>
      <top style="medium">
        <color theme="5" tint="-0.249977111117893"/>
      </top>
      <bottom/>
      <diagonal/>
    </border>
    <border>
      <left style="medium">
        <color theme="5" tint="-0.249977111117893"/>
      </left>
      <right/>
      <top/>
      <bottom style="medium">
        <color theme="5" tint="-0.249977111117893"/>
      </bottom>
      <diagonal/>
    </border>
    <border>
      <left/>
      <right/>
      <top/>
      <bottom style="medium">
        <color theme="5" tint="-0.249977111117893"/>
      </bottom>
      <diagonal/>
    </border>
    <border>
      <left/>
      <right style="medium">
        <color theme="5" tint="-0.249977111117893"/>
      </right>
      <top/>
      <bottom style="medium">
        <color theme="5" tint="-0.249977111117893"/>
      </bottom>
      <diagonal/>
    </border>
    <border>
      <left style="medium">
        <color theme="5" tint="-0.249977111117893"/>
      </left>
      <right/>
      <top/>
      <bottom/>
      <diagonal/>
    </border>
    <border>
      <left/>
      <right style="medium">
        <color theme="5" tint="-0.249977111117893"/>
      </right>
      <top/>
      <bottom/>
      <diagonal/>
    </border>
    <border>
      <left style="medium">
        <color theme="5" tint="-0.249977111117893"/>
      </left>
      <right/>
      <top style="medium">
        <color theme="5" tint="-0.249977111117893"/>
      </top>
      <bottom style="medium">
        <color theme="5" tint="-0.249977111117893"/>
      </bottom>
      <diagonal/>
    </border>
    <border>
      <left/>
      <right/>
      <top style="medium">
        <color theme="5" tint="-0.249977111117893"/>
      </top>
      <bottom style="medium">
        <color theme="5" tint="-0.249977111117893"/>
      </bottom>
      <diagonal/>
    </border>
    <border>
      <left/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medium">
        <color theme="2" tint="-0.89999084444715716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/>
      <bottom style="thin">
        <color theme="9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/>
      <bottom style="thin">
        <color theme="8" tint="-0.249977111117893"/>
      </bottom>
      <diagonal/>
    </border>
    <border>
      <left/>
      <right/>
      <top/>
      <bottom style="thin">
        <color rgb="FFC00000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medium">
        <color theme="3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161616"/>
      </left>
      <right style="thin">
        <color rgb="FFAEAAAA"/>
      </right>
      <top style="medium">
        <color rgb="FF161616"/>
      </top>
      <bottom style="medium">
        <color rgb="FF161616"/>
      </bottom>
      <diagonal/>
    </border>
    <border>
      <left style="thin">
        <color rgb="FFAEAAAA"/>
      </left>
      <right style="thin">
        <color rgb="FFAEAAAA"/>
      </right>
      <top style="medium">
        <color rgb="FF161616"/>
      </top>
      <bottom style="medium">
        <color rgb="FF161616"/>
      </bottom>
      <diagonal/>
    </border>
    <border>
      <left style="thin">
        <color rgb="FFAEAAAA"/>
      </left>
      <right/>
      <top style="medium">
        <color rgb="FF161616"/>
      </top>
      <bottom style="medium">
        <color rgb="FF161616"/>
      </bottom>
      <diagonal/>
    </border>
    <border>
      <left style="medium">
        <color rgb="FF161616"/>
      </left>
      <right style="thin">
        <color rgb="FFAEAAAA"/>
      </right>
      <top/>
      <bottom style="thin">
        <color rgb="FFAEAAAA"/>
      </bottom>
      <diagonal/>
    </border>
    <border>
      <left style="thin">
        <color rgb="FFAEAAAA"/>
      </left>
      <right style="thin">
        <color rgb="FFAEAAAA"/>
      </right>
      <top/>
      <bottom style="thin">
        <color rgb="FFAEAAAA"/>
      </bottom>
      <diagonal/>
    </border>
    <border>
      <left style="thin">
        <color rgb="FFAEAAAA"/>
      </left>
      <right/>
      <top/>
      <bottom style="thin">
        <color rgb="FFAEAAAA"/>
      </bottom>
      <diagonal/>
    </border>
    <border>
      <left style="medium">
        <color rgb="FF161616"/>
      </left>
      <right style="thin">
        <color rgb="FFAEAAAA"/>
      </right>
      <top style="thin">
        <color rgb="FFAEAAAA"/>
      </top>
      <bottom style="thin">
        <color rgb="FFAEAAAA"/>
      </bottom>
      <diagonal/>
    </border>
    <border>
      <left style="thin">
        <color rgb="FFAEAAAA"/>
      </left>
      <right style="thin">
        <color rgb="FFAEAAAA"/>
      </right>
      <top style="thin">
        <color rgb="FFAEAAAA"/>
      </top>
      <bottom style="thin">
        <color rgb="FFAEAAAA"/>
      </bottom>
      <diagonal/>
    </border>
    <border>
      <left style="thin">
        <color rgb="FFAEAAAA"/>
      </left>
      <right/>
      <top style="thin">
        <color rgb="FFAEAAAA"/>
      </top>
      <bottom style="thin">
        <color rgb="FFAEAAAA"/>
      </bottom>
      <diagonal/>
    </border>
    <border>
      <left style="medium">
        <color rgb="FF161616"/>
      </left>
      <right style="thin">
        <color rgb="FFAEAAAA"/>
      </right>
      <top style="thin">
        <color rgb="FFAEAAAA"/>
      </top>
      <bottom style="medium">
        <color rgb="FF161616"/>
      </bottom>
      <diagonal/>
    </border>
    <border>
      <left style="thin">
        <color rgb="FFAEAAAA"/>
      </left>
      <right style="thin">
        <color rgb="FFAEAAAA"/>
      </right>
      <top style="thin">
        <color rgb="FFAEAAAA"/>
      </top>
      <bottom style="medium">
        <color rgb="FF161616"/>
      </bottom>
      <diagonal/>
    </border>
    <border>
      <left style="thin">
        <color rgb="FFAEAAAA"/>
      </left>
      <right/>
      <top style="thin">
        <color rgb="FFAEAAAA"/>
      </top>
      <bottom style="medium">
        <color rgb="FF161616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 tint="-0.249977111117893"/>
      </left>
      <right/>
      <top style="medium">
        <color theme="3" tint="-0.249977111117893"/>
      </top>
      <bottom/>
      <diagonal/>
    </border>
    <border>
      <left/>
      <right/>
      <top style="medium">
        <color theme="3" tint="-0.249977111117893"/>
      </top>
      <bottom/>
      <diagonal/>
    </border>
    <border>
      <left/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64"/>
      </left>
      <right style="thin">
        <color theme="2" tint="-0.249977111117893"/>
      </right>
      <top style="medium">
        <color indexed="64"/>
      </top>
      <bottom style="medium">
        <color theme="2" tint="-0.89999084444715716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indexed="64"/>
      </top>
      <bottom style="medium">
        <color theme="2" tint="-0.89999084444715716"/>
      </bottom>
      <diagonal/>
    </border>
    <border>
      <left style="thin">
        <color theme="2" tint="-0.249977111117893"/>
      </left>
      <right style="medium">
        <color indexed="64"/>
      </right>
      <top style="medium">
        <color indexed="64"/>
      </top>
      <bottom style="medium">
        <color theme="2" tint="-0.89999084444715716"/>
      </bottom>
      <diagonal/>
    </border>
    <border>
      <left style="medium">
        <color indexed="64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medium">
        <color indexed="64"/>
      </right>
      <top/>
      <bottom style="thin">
        <color theme="2" tint="-0.249977111117893"/>
      </bottom>
      <diagonal/>
    </border>
    <border>
      <left style="medium">
        <color indexed="64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medium">
        <color indexed="64"/>
      </right>
      <top style="thin">
        <color theme="2" tint="-0.249977111117893"/>
      </top>
      <bottom style="thin">
        <color theme="2" tint="-0.249977111117893"/>
      </bottom>
      <diagonal/>
    </border>
    <border>
      <left style="medium">
        <color indexed="64"/>
      </left>
      <right style="thin">
        <color theme="2" tint="-0.249977111117893"/>
      </right>
      <top style="thin">
        <color theme="2" tint="-0.249977111117893"/>
      </top>
      <bottom style="medium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medium">
        <color indexed="64"/>
      </bottom>
      <diagonal/>
    </border>
    <border>
      <left style="thin">
        <color theme="2" tint="-0.249977111117893"/>
      </left>
      <right style="medium">
        <color indexed="64"/>
      </right>
      <top style="thin">
        <color theme="2" tint="-0.249977111117893"/>
      </top>
      <bottom style="medium">
        <color indexed="64"/>
      </bottom>
      <diagonal/>
    </border>
    <border>
      <left/>
      <right/>
      <top/>
      <bottom style="thin">
        <color theme="5" tint="-0.249977111117893"/>
      </bottom>
      <diagonal/>
    </border>
    <border>
      <left style="thin">
        <color theme="5" tint="-0.249977111117893"/>
      </left>
      <right/>
      <top style="thin">
        <color theme="5" tint="-0.249977111117893"/>
      </top>
      <bottom/>
      <diagonal/>
    </border>
    <border>
      <left/>
      <right/>
      <top style="thin">
        <color theme="5" tint="-0.249977111117893"/>
      </top>
      <bottom/>
      <diagonal/>
    </border>
    <border>
      <left/>
      <right style="thin">
        <color theme="5" tint="-0.249977111117893"/>
      </right>
      <top style="thin">
        <color theme="5" tint="-0.249977111117893"/>
      </top>
      <bottom/>
      <diagonal/>
    </border>
    <border>
      <left style="thin">
        <color theme="5" tint="-0.249977111117893"/>
      </left>
      <right/>
      <top/>
      <bottom style="thin">
        <color theme="5" tint="-0.249977111117893"/>
      </bottom>
      <diagonal/>
    </border>
    <border>
      <left/>
      <right style="thin">
        <color theme="5" tint="-0.249977111117893"/>
      </right>
      <top/>
      <bottom style="thin">
        <color theme="5" tint="-0.249977111117893"/>
      </bottom>
      <diagonal/>
    </border>
    <border>
      <left style="thin">
        <color theme="5" tint="-0.249977111117893"/>
      </left>
      <right/>
      <top style="thin">
        <color theme="5" tint="-0.249977111117893"/>
      </top>
      <bottom style="thin">
        <color theme="5" tint="-0.249977111117893"/>
      </bottom>
      <diagonal/>
    </border>
    <border>
      <left/>
      <right/>
      <top style="thin">
        <color theme="5" tint="-0.249977111117893"/>
      </top>
      <bottom style="thin">
        <color theme="5" tint="-0.249977111117893"/>
      </bottom>
      <diagonal/>
    </border>
    <border>
      <left/>
      <right style="thin">
        <color theme="5" tint="-0.249977111117893"/>
      </right>
      <top style="thin">
        <color theme="5" tint="-0.249977111117893"/>
      </top>
      <bottom style="thin">
        <color theme="5" tint="-0.24997711111789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 style="thin">
        <color indexed="64"/>
      </right>
      <top style="medium">
        <color theme="3"/>
      </top>
      <bottom style="medium">
        <color theme="3"/>
      </bottom>
      <diagonal/>
    </border>
    <border>
      <left style="thin">
        <color indexed="64"/>
      </left>
      <right style="thin">
        <color indexed="64"/>
      </right>
      <top style="medium">
        <color theme="3"/>
      </top>
      <bottom style="medium">
        <color theme="3"/>
      </bottom>
      <diagonal/>
    </border>
    <border>
      <left style="thin">
        <color indexed="64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3"/>
      </right>
      <top/>
      <bottom style="thin">
        <color indexed="64"/>
      </bottom>
      <diagonal/>
    </border>
    <border>
      <left style="medium">
        <color theme="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/>
      </left>
      <right style="thin">
        <color indexed="64"/>
      </right>
      <top style="thin">
        <color indexed="64"/>
      </top>
      <bottom style="medium">
        <color theme="3"/>
      </bottom>
      <diagonal/>
    </border>
    <border>
      <left style="thin">
        <color indexed="64"/>
      </left>
      <right style="thin">
        <color indexed="64"/>
      </right>
      <top/>
      <bottom style="medium">
        <color theme="3"/>
      </bottom>
      <diagonal/>
    </border>
    <border>
      <left style="thin">
        <color indexed="64"/>
      </left>
      <right style="medium">
        <color theme="3"/>
      </right>
      <top/>
      <bottom style="medium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1">
    <xf numFmtId="0" fontId="0" fillId="0" borderId="0"/>
  </cellStyleXfs>
  <cellXfs count="533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0" borderId="12" xfId="0" applyBorder="1"/>
    <xf numFmtId="0" fontId="0" fillId="0" borderId="11" xfId="0" applyBorder="1"/>
    <xf numFmtId="0" fontId="7" fillId="0" borderId="0" xfId="0" applyFont="1" applyAlignment="1">
      <alignment wrapText="1"/>
    </xf>
    <xf numFmtId="0" fontId="7" fillId="0" borderId="0" xfId="0" applyFont="1" applyAlignment="1">
      <alignment horizontal="center" vertical="center" wrapText="1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6" borderId="43" xfId="0" applyFill="1" applyBorder="1" applyAlignment="1">
      <alignment horizontal="center"/>
    </xf>
    <xf numFmtId="0" fontId="0" fillId="6" borderId="44" xfId="0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0" fillId="7" borderId="42" xfId="0" applyFill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9" borderId="55" xfId="0" applyFill="1" applyBorder="1" applyAlignment="1">
      <alignment horizontal="center"/>
    </xf>
    <xf numFmtId="0" fontId="0" fillId="9" borderId="56" xfId="0" applyFill="1" applyBorder="1" applyAlignment="1">
      <alignment horizontal="center"/>
    </xf>
    <xf numFmtId="0" fontId="0" fillId="9" borderId="54" xfId="0" applyFill="1" applyBorder="1" applyAlignment="1">
      <alignment horizontal="center"/>
    </xf>
    <xf numFmtId="0" fontId="0" fillId="9" borderId="53" xfId="0" applyFill="1" applyBorder="1" applyAlignment="1">
      <alignment horizontal="center"/>
    </xf>
    <xf numFmtId="0" fontId="0" fillId="9" borderId="58" xfId="0" applyFill="1" applyBorder="1" applyAlignment="1">
      <alignment horizontal="center"/>
    </xf>
    <xf numFmtId="0" fontId="0" fillId="9" borderId="46" xfId="0" applyFill="1" applyBorder="1" applyAlignment="1">
      <alignment horizontal="center"/>
    </xf>
    <xf numFmtId="2" fontId="0" fillId="0" borderId="55" xfId="0" applyNumberFormat="1" applyBorder="1" applyAlignment="1">
      <alignment horizontal="center"/>
    </xf>
    <xf numFmtId="2" fontId="0" fillId="0" borderId="59" xfId="0" applyNumberFormat="1" applyBorder="1" applyAlignment="1">
      <alignment horizontal="center"/>
    </xf>
    <xf numFmtId="0" fontId="1" fillId="0" borderId="0" xfId="0" applyFont="1"/>
    <xf numFmtId="0" fontId="0" fillId="0" borderId="60" xfId="0" applyBorder="1" applyAlignment="1">
      <alignment horizont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61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4" xfId="0" applyBorder="1" applyAlignment="1">
      <alignment horizontal="center"/>
    </xf>
    <xf numFmtId="0" fontId="10" fillId="0" borderId="0" xfId="0" applyFont="1" applyAlignment="1">
      <alignment vertical="center"/>
    </xf>
    <xf numFmtId="0" fontId="0" fillId="0" borderId="60" xfId="0" applyBorder="1"/>
    <xf numFmtId="0" fontId="0" fillId="0" borderId="66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9" xfId="0" applyBorder="1"/>
    <xf numFmtId="0" fontId="0" fillId="0" borderId="70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72" xfId="0" applyBorder="1" applyAlignment="1">
      <alignment horizontal="center"/>
    </xf>
    <xf numFmtId="0" fontId="1" fillId="0" borderId="66" xfId="0" applyFont="1" applyBorder="1" applyAlignment="1">
      <alignment horizontal="center"/>
    </xf>
    <xf numFmtId="2" fontId="0" fillId="0" borderId="71" xfId="0" applyNumberFormat="1" applyBorder="1" applyAlignment="1">
      <alignment horizontal="center"/>
    </xf>
    <xf numFmtId="0" fontId="1" fillId="0" borderId="73" xfId="0" applyFont="1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68" xfId="0" applyBorder="1"/>
    <xf numFmtId="0" fontId="0" fillId="0" borderId="74" xfId="0" applyBorder="1"/>
    <xf numFmtId="0" fontId="0" fillId="0" borderId="75" xfId="0" applyBorder="1"/>
    <xf numFmtId="0" fontId="0" fillId="0" borderId="72" xfId="0" applyBorder="1"/>
    <xf numFmtId="0" fontId="1" fillId="0" borderId="76" xfId="0" applyFont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70" xfId="0" applyBorder="1"/>
    <xf numFmtId="0" fontId="0" fillId="0" borderId="78" xfId="0" applyBorder="1"/>
    <xf numFmtId="0" fontId="0" fillId="0" borderId="79" xfId="0" applyBorder="1"/>
    <xf numFmtId="0" fontId="0" fillId="0" borderId="80" xfId="0" applyBorder="1"/>
    <xf numFmtId="0" fontId="0" fillId="0" borderId="5" xfId="0" applyBorder="1"/>
    <xf numFmtId="0" fontId="0" fillId="0" borderId="81" xfId="0" applyBorder="1"/>
    <xf numFmtId="0" fontId="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2" fontId="9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1" fillId="2" borderId="90" xfId="0" applyFont="1" applyFill="1" applyBorder="1" applyAlignment="1">
      <alignment horizontal="center"/>
    </xf>
    <xf numFmtId="0" fontId="1" fillId="2" borderId="84" xfId="0" applyFont="1" applyFill="1" applyBorder="1" applyAlignment="1">
      <alignment horizontal="center"/>
    </xf>
    <xf numFmtId="0" fontId="1" fillId="2" borderId="86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0" fontId="1" fillId="2" borderId="44" xfId="0" applyFont="1" applyFill="1" applyBorder="1" applyAlignment="1">
      <alignment horizontal="center"/>
    </xf>
    <xf numFmtId="0" fontId="1" fillId="2" borderId="45" xfId="0" applyFont="1" applyFill="1" applyBorder="1" applyAlignment="1">
      <alignment horizontal="center"/>
    </xf>
    <xf numFmtId="0" fontId="0" fillId="4" borderId="90" xfId="0" applyFill="1" applyBorder="1" applyAlignment="1">
      <alignment horizontal="center"/>
    </xf>
    <xf numFmtId="0" fontId="0" fillId="4" borderId="84" xfId="0" applyFill="1" applyBorder="1" applyAlignment="1">
      <alignment horizontal="center"/>
    </xf>
    <xf numFmtId="0" fontId="0" fillId="4" borderId="85" xfId="0" applyFill="1" applyBorder="1" applyAlignment="1">
      <alignment horizontal="center"/>
    </xf>
    <xf numFmtId="0" fontId="1" fillId="5" borderId="42" xfId="0" applyFont="1" applyFill="1" applyBorder="1" applyAlignment="1">
      <alignment horizontal="center"/>
    </xf>
    <xf numFmtId="0" fontId="0" fillId="9" borderId="111" xfId="0" applyFill="1" applyBorder="1" applyAlignment="1">
      <alignment horizontal="center"/>
    </xf>
    <xf numFmtId="0" fontId="0" fillId="0" borderId="112" xfId="0" applyBorder="1" applyAlignment="1">
      <alignment horizontal="center"/>
    </xf>
    <xf numFmtId="0" fontId="0" fillId="0" borderId="113" xfId="0" applyBorder="1" applyAlignment="1">
      <alignment horizontal="center"/>
    </xf>
    <xf numFmtId="0" fontId="0" fillId="0" borderId="114" xfId="0" applyBorder="1" applyAlignment="1">
      <alignment horizontal="center"/>
    </xf>
    <xf numFmtId="2" fontId="0" fillId="0" borderId="115" xfId="0" applyNumberFormat="1" applyBorder="1" applyAlignment="1">
      <alignment horizontal="center"/>
    </xf>
    <xf numFmtId="0" fontId="0" fillId="0" borderId="116" xfId="0" applyBorder="1" applyAlignment="1">
      <alignment horizontal="center"/>
    </xf>
    <xf numFmtId="0" fontId="0" fillId="0" borderId="117" xfId="0" applyBorder="1" applyAlignment="1">
      <alignment horizontal="center"/>
    </xf>
    <xf numFmtId="0" fontId="0" fillId="0" borderId="118" xfId="0" applyBorder="1" applyAlignment="1">
      <alignment horizontal="center"/>
    </xf>
    <xf numFmtId="0" fontId="0" fillId="0" borderId="119" xfId="0" applyBorder="1" applyAlignment="1">
      <alignment horizontal="center"/>
    </xf>
    <xf numFmtId="0" fontId="0" fillId="0" borderId="120" xfId="0" applyBorder="1" applyAlignment="1">
      <alignment horizontal="center"/>
    </xf>
    <xf numFmtId="0" fontId="0" fillId="0" borderId="121" xfId="0" applyBorder="1" applyAlignment="1">
      <alignment horizontal="center"/>
    </xf>
    <xf numFmtId="0" fontId="0" fillId="0" borderId="122" xfId="0" applyBorder="1" applyAlignment="1">
      <alignment horizontal="center"/>
    </xf>
    <xf numFmtId="0" fontId="0" fillId="0" borderId="123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9" borderId="59" xfId="0" applyFill="1" applyBorder="1" applyAlignment="1">
      <alignment horizontal="center"/>
    </xf>
    <xf numFmtId="0" fontId="0" fillId="9" borderId="57" xfId="0" applyFill="1" applyBorder="1" applyAlignment="1">
      <alignment horizontal="center"/>
    </xf>
    <xf numFmtId="0" fontId="1" fillId="0" borderId="61" xfId="0" applyFont="1" applyBorder="1" applyAlignment="1">
      <alignment horizontal="center"/>
    </xf>
    <xf numFmtId="2" fontId="0" fillId="0" borderId="127" xfId="0" applyNumberFormat="1" applyBorder="1" applyAlignment="1">
      <alignment horizontal="center"/>
    </xf>
    <xf numFmtId="0" fontId="0" fillId="0" borderId="128" xfId="0" applyBorder="1" applyAlignment="1">
      <alignment horizontal="center"/>
    </xf>
    <xf numFmtId="0" fontId="0" fillId="0" borderId="128" xfId="0" applyBorder="1"/>
    <xf numFmtId="0" fontId="0" fillId="0" borderId="129" xfId="0" applyBorder="1" applyAlignment="1">
      <alignment horizontal="center"/>
    </xf>
    <xf numFmtId="2" fontId="0" fillId="0" borderId="61" xfId="0" applyNumberFormat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4" xfId="0" applyBorder="1"/>
    <xf numFmtId="0" fontId="0" fillId="0" borderId="65" xfId="0" applyBorder="1" applyAlignment="1">
      <alignment horizontal="center"/>
    </xf>
    <xf numFmtId="2" fontId="9" fillId="0" borderId="130" xfId="0" applyNumberFormat="1" applyFont="1" applyBorder="1" applyAlignment="1">
      <alignment horizontal="center"/>
    </xf>
    <xf numFmtId="2" fontId="0" fillId="11" borderId="131" xfId="0" applyNumberFormat="1" applyFill="1" applyBorder="1" applyAlignment="1">
      <alignment horizontal="center"/>
    </xf>
    <xf numFmtId="2" fontId="0" fillId="11" borderId="132" xfId="0" applyNumberFormat="1" applyFill="1" applyBorder="1" applyAlignment="1">
      <alignment horizontal="center"/>
    </xf>
    <xf numFmtId="0" fontId="0" fillId="11" borderId="132" xfId="0" applyFill="1" applyBorder="1" applyAlignment="1">
      <alignment horizontal="center"/>
    </xf>
    <xf numFmtId="0" fontId="0" fillId="11" borderId="133" xfId="0" applyFill="1" applyBorder="1" applyAlignment="1">
      <alignment horizontal="center"/>
    </xf>
    <xf numFmtId="2" fontId="0" fillId="0" borderId="134" xfId="0" applyNumberFormat="1" applyBorder="1" applyAlignment="1">
      <alignment horizontal="center"/>
    </xf>
    <xf numFmtId="2" fontId="0" fillId="0" borderId="132" xfId="0" applyNumberFormat="1" applyBorder="1" applyAlignment="1">
      <alignment horizontal="center"/>
    </xf>
    <xf numFmtId="2" fontId="0" fillId="0" borderId="133" xfId="0" applyNumberFormat="1" applyBorder="1" applyAlignment="1">
      <alignment horizontal="center"/>
    </xf>
    <xf numFmtId="2" fontId="1" fillId="11" borderId="130" xfId="0" applyNumberFormat="1" applyFont="1" applyFill="1" applyBorder="1" applyAlignment="1">
      <alignment horizontal="center"/>
    </xf>
    <xf numFmtId="2" fontId="0" fillId="0" borderId="138" xfId="0" applyNumberFormat="1" applyBorder="1" applyAlignment="1">
      <alignment horizontal="center"/>
    </xf>
    <xf numFmtId="2" fontId="0" fillId="0" borderId="139" xfId="0" applyNumberFormat="1" applyBorder="1" applyAlignment="1">
      <alignment horizontal="center"/>
    </xf>
    <xf numFmtId="2" fontId="0" fillId="0" borderId="140" xfId="0" applyNumberFormat="1" applyBorder="1" applyAlignment="1">
      <alignment horizontal="center"/>
    </xf>
    <xf numFmtId="0" fontId="1" fillId="10" borderId="135" xfId="0" applyFont="1" applyFill="1" applyBorder="1" applyAlignment="1">
      <alignment horizontal="right"/>
    </xf>
    <xf numFmtId="0" fontId="1" fillId="10" borderId="136" xfId="0" applyFont="1" applyFill="1" applyBorder="1" applyAlignment="1">
      <alignment horizontal="right"/>
    </xf>
    <xf numFmtId="0" fontId="1" fillId="10" borderId="137" xfId="0" applyFont="1" applyFill="1" applyBorder="1" applyAlignment="1">
      <alignment horizontal="right"/>
    </xf>
    <xf numFmtId="0" fontId="0" fillId="0" borderId="77" xfId="0" applyBorder="1"/>
    <xf numFmtId="0" fontId="0" fillId="0" borderId="144" xfId="0" applyBorder="1"/>
    <xf numFmtId="0" fontId="0" fillId="0" borderId="145" xfId="0" applyBorder="1"/>
    <xf numFmtId="0" fontId="0" fillId="0" borderId="146" xfId="0" applyBorder="1" applyAlignment="1">
      <alignment horizontal="center"/>
    </xf>
    <xf numFmtId="0" fontId="0" fillId="0" borderId="147" xfId="0" applyBorder="1" applyAlignment="1">
      <alignment horizontal="center"/>
    </xf>
    <xf numFmtId="0" fontId="0" fillId="0" borderId="148" xfId="0" applyBorder="1" applyAlignment="1">
      <alignment horizontal="center"/>
    </xf>
    <xf numFmtId="0" fontId="0" fillId="0" borderId="149" xfId="0" applyBorder="1" applyAlignment="1">
      <alignment horizontal="center"/>
    </xf>
    <xf numFmtId="0" fontId="0" fillId="0" borderId="150" xfId="0" applyBorder="1" applyAlignment="1">
      <alignment horizontal="center"/>
    </xf>
    <xf numFmtId="0" fontId="0" fillId="0" borderId="151" xfId="0" applyBorder="1" applyAlignment="1">
      <alignment horizontal="center"/>
    </xf>
    <xf numFmtId="0" fontId="0" fillId="0" borderId="152" xfId="0" applyBorder="1" applyAlignment="1">
      <alignment horizontal="center"/>
    </xf>
    <xf numFmtId="0" fontId="0" fillId="0" borderId="153" xfId="0" applyBorder="1" applyAlignment="1">
      <alignment horizontal="center"/>
    </xf>
    <xf numFmtId="0" fontId="0" fillId="0" borderId="154" xfId="0" applyBorder="1" applyAlignment="1">
      <alignment horizontal="center"/>
    </xf>
    <xf numFmtId="0" fontId="0" fillId="0" borderId="155" xfId="0" applyBorder="1" applyAlignment="1">
      <alignment horizontal="center"/>
    </xf>
    <xf numFmtId="0" fontId="0" fillId="0" borderId="156" xfId="0" applyBorder="1" applyAlignment="1">
      <alignment horizontal="center"/>
    </xf>
    <xf numFmtId="0" fontId="0" fillId="0" borderId="157" xfId="0" applyBorder="1" applyAlignment="1">
      <alignment horizontal="center"/>
    </xf>
    <xf numFmtId="0" fontId="0" fillId="0" borderId="82" xfId="0" applyBorder="1"/>
    <xf numFmtId="0" fontId="11" fillId="0" borderId="83" xfId="0" applyFont="1" applyBorder="1" applyAlignment="1">
      <alignment horizontal="center"/>
    </xf>
    <xf numFmtId="0" fontId="11" fillId="0" borderId="83" xfId="0" applyFont="1" applyBorder="1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/>
    <xf numFmtId="0" fontId="11" fillId="0" borderId="0" xfId="0" applyFont="1" applyAlignment="1">
      <alignment horizontal="centerContinuous"/>
    </xf>
    <xf numFmtId="0" fontId="0" fillId="9" borderId="0" xfId="0" applyFill="1" applyAlignment="1">
      <alignment horizontal="center"/>
    </xf>
    <xf numFmtId="0" fontId="0" fillId="2" borderId="124" xfId="0" applyFill="1" applyBorder="1" applyAlignment="1">
      <alignment horizontal="center"/>
    </xf>
    <xf numFmtId="0" fontId="0" fillId="2" borderId="126" xfId="0" applyFill="1" applyBorder="1"/>
    <xf numFmtId="0" fontId="18" fillId="0" borderId="0" xfId="0" applyFont="1"/>
    <xf numFmtId="0" fontId="0" fillId="12" borderId="0" xfId="0" applyFill="1"/>
    <xf numFmtId="0" fontId="0" fillId="0" borderId="0" xfId="0" applyAlignment="1">
      <alignment horizontal="right"/>
    </xf>
    <xf numFmtId="0" fontId="0" fillId="8" borderId="175" xfId="0" applyFill="1" applyBorder="1" applyAlignment="1">
      <alignment horizontal="right"/>
    </xf>
    <xf numFmtId="0" fontId="0" fillId="8" borderId="176" xfId="0" applyFill="1" applyBorder="1" applyAlignment="1">
      <alignment horizontal="left"/>
    </xf>
    <xf numFmtId="0" fontId="0" fillId="0" borderId="0" xfId="0" applyAlignment="1">
      <alignment wrapText="1"/>
    </xf>
    <xf numFmtId="0" fontId="2" fillId="0" borderId="0" xfId="0" applyFont="1" applyAlignment="1">
      <alignment vertical="center"/>
    </xf>
    <xf numFmtId="0" fontId="0" fillId="14" borderId="180" xfId="0" applyFill="1" applyBorder="1"/>
    <xf numFmtId="0" fontId="0" fillId="14" borderId="181" xfId="0" applyFill="1" applyBorder="1"/>
    <xf numFmtId="0" fontId="0" fillId="14" borderId="182" xfId="0" applyFill="1" applyBorder="1"/>
    <xf numFmtId="0" fontId="0" fillId="14" borderId="184" xfId="0" applyFill="1" applyBorder="1"/>
    <xf numFmtId="0" fontId="1" fillId="0" borderId="0" xfId="0" applyFont="1" applyAlignment="1">
      <alignment vertical="center"/>
    </xf>
    <xf numFmtId="0" fontId="0" fillId="15" borderId="149" xfId="0" applyFill="1" applyBorder="1" applyAlignment="1">
      <alignment horizontal="center"/>
    </xf>
    <xf numFmtId="0" fontId="0" fillId="15" borderId="147" xfId="0" applyFill="1" applyBorder="1" applyAlignment="1">
      <alignment horizontal="center"/>
    </xf>
    <xf numFmtId="0" fontId="0" fillId="15" borderId="146" xfId="0" applyFill="1" applyBorder="1" applyAlignment="1">
      <alignment horizontal="center"/>
    </xf>
    <xf numFmtId="0" fontId="0" fillId="15" borderId="156" xfId="0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186" xfId="0" applyBorder="1" applyAlignment="1">
      <alignment horizontal="center"/>
    </xf>
    <xf numFmtId="0" fontId="0" fillId="0" borderId="187" xfId="0" applyBorder="1" applyAlignment="1">
      <alignment horizontal="center"/>
    </xf>
    <xf numFmtId="0" fontId="0" fillId="0" borderId="188" xfId="0" applyBorder="1" applyAlignment="1">
      <alignment horizontal="center"/>
    </xf>
    <xf numFmtId="0" fontId="1" fillId="8" borderId="189" xfId="0" applyFont="1" applyFill="1" applyBorder="1" applyAlignment="1">
      <alignment horizontal="center"/>
    </xf>
    <xf numFmtId="2" fontId="0" fillId="9" borderId="190" xfId="0" applyNumberFormat="1" applyFill="1" applyBorder="1" applyAlignment="1">
      <alignment horizontal="center"/>
    </xf>
    <xf numFmtId="2" fontId="0" fillId="9" borderId="191" xfId="0" applyNumberFormat="1" applyFill="1" applyBorder="1" applyAlignment="1">
      <alignment horizontal="center"/>
    </xf>
    <xf numFmtId="2" fontId="0" fillId="9" borderId="192" xfId="0" applyNumberFormat="1" applyFill="1" applyBorder="1" applyAlignment="1">
      <alignment horizontal="center"/>
    </xf>
    <xf numFmtId="2" fontId="0" fillId="9" borderId="193" xfId="0" applyNumberFormat="1" applyFill="1" applyBorder="1" applyAlignment="1">
      <alignment horizontal="center"/>
    </xf>
    <xf numFmtId="2" fontId="0" fillId="14" borderId="195" xfId="0" applyNumberFormat="1" applyFill="1" applyBorder="1" applyAlignment="1">
      <alignment horizontal="center"/>
    </xf>
    <xf numFmtId="2" fontId="0" fillId="14" borderId="196" xfId="0" applyNumberFormat="1" applyFill="1" applyBorder="1" applyAlignment="1">
      <alignment horizontal="center"/>
    </xf>
    <xf numFmtId="2" fontId="0" fillId="14" borderId="197" xfId="0" applyNumberFormat="1" applyFill="1" applyBorder="1" applyAlignment="1">
      <alignment horizontal="center"/>
    </xf>
    <xf numFmtId="2" fontId="0" fillId="14" borderId="199" xfId="0" applyNumberFormat="1" applyFill="1" applyBorder="1" applyAlignment="1">
      <alignment horizontal="center"/>
    </xf>
    <xf numFmtId="2" fontId="0" fillId="14" borderId="200" xfId="0" applyNumberFormat="1" applyFill="1" applyBorder="1" applyAlignment="1">
      <alignment horizontal="center"/>
    </xf>
    <xf numFmtId="2" fontId="0" fillId="14" borderId="201" xfId="0" applyNumberFormat="1" applyFill="1" applyBorder="1" applyAlignment="1">
      <alignment horizontal="center"/>
    </xf>
    <xf numFmtId="0" fontId="1" fillId="16" borderId="198" xfId="0" applyFont="1" applyFill="1" applyBorder="1" applyAlignment="1">
      <alignment horizontal="center"/>
    </xf>
    <xf numFmtId="0" fontId="1" fillId="16" borderId="194" xfId="0" applyFont="1" applyFill="1" applyBorder="1" applyAlignment="1">
      <alignment horizontal="center"/>
    </xf>
    <xf numFmtId="2" fontId="0" fillId="14" borderId="202" xfId="0" applyNumberFormat="1" applyFill="1" applyBorder="1" applyAlignment="1">
      <alignment horizontal="center"/>
    </xf>
    <xf numFmtId="0" fontId="0" fillId="0" borderId="203" xfId="0" applyBorder="1" applyAlignment="1">
      <alignment horizontal="right"/>
    </xf>
    <xf numFmtId="0" fontId="0" fillId="0" borderId="203" xfId="0" applyBorder="1" applyAlignment="1">
      <alignment horizontal="center"/>
    </xf>
    <xf numFmtId="0" fontId="1" fillId="0" borderId="0" xfId="0" applyFont="1" applyAlignment="1">
      <alignment horizontal="right"/>
    </xf>
    <xf numFmtId="2" fontId="1" fillId="0" borderId="0" xfId="0" applyNumberFormat="1" applyFont="1" applyAlignment="1">
      <alignment horizontal="center"/>
    </xf>
    <xf numFmtId="0" fontId="28" fillId="0" borderId="0" xfId="0" applyFont="1" applyAlignment="1">
      <alignment horizontal="right"/>
    </xf>
    <xf numFmtId="2" fontId="28" fillId="0" borderId="0" xfId="0" applyNumberFormat="1" applyFont="1" applyAlignment="1">
      <alignment horizontal="center"/>
    </xf>
    <xf numFmtId="0" fontId="29" fillId="0" borderId="204" xfId="0" applyFont="1" applyBorder="1" applyAlignment="1">
      <alignment horizontal="right"/>
    </xf>
    <xf numFmtId="0" fontId="29" fillId="0" borderId="34" xfId="0" applyFont="1" applyBorder="1"/>
    <xf numFmtId="0" fontId="0" fillId="9" borderId="0" xfId="0" applyFill="1"/>
    <xf numFmtId="164" fontId="0" fillId="9" borderId="0" xfId="0" applyNumberFormat="1" applyFill="1"/>
    <xf numFmtId="0" fontId="0" fillId="0" borderId="206" xfId="0" applyBorder="1"/>
    <xf numFmtId="0" fontId="11" fillId="17" borderId="207" xfId="0" applyFont="1" applyFill="1" applyBorder="1" applyAlignment="1">
      <alignment horizontal="center"/>
    </xf>
    <xf numFmtId="0" fontId="0" fillId="17" borderId="0" xfId="0" applyFill="1"/>
    <xf numFmtId="0" fontId="0" fillId="17" borderId="206" xfId="0" applyFill="1" applyBorder="1"/>
    <xf numFmtId="0" fontId="0" fillId="0" borderId="208" xfId="0" applyBorder="1" applyAlignment="1">
      <alignment horizontal="right"/>
    </xf>
    <xf numFmtId="0" fontId="0" fillId="0" borderId="209" xfId="0" applyBorder="1"/>
    <xf numFmtId="0" fontId="0" fillId="0" borderId="211" xfId="0" applyBorder="1"/>
    <xf numFmtId="0" fontId="0" fillId="0" borderId="212" xfId="0" applyBorder="1"/>
    <xf numFmtId="0" fontId="0" fillId="0" borderId="211" xfId="0" applyBorder="1" applyAlignment="1">
      <alignment horizontal="right"/>
    </xf>
    <xf numFmtId="0" fontId="0" fillId="0" borderId="213" xfId="0" applyBorder="1" applyAlignment="1">
      <alignment horizontal="right"/>
    </xf>
    <xf numFmtId="0" fontId="0" fillId="0" borderId="205" xfId="0" applyBorder="1"/>
    <xf numFmtId="0" fontId="0" fillId="0" borderId="214" xfId="0" applyBorder="1"/>
    <xf numFmtId="0" fontId="30" fillId="0" borderId="185" xfId="0" applyFont="1" applyBorder="1" applyAlignment="1">
      <alignment horizontal="center"/>
    </xf>
    <xf numFmtId="0" fontId="0" fillId="18" borderId="27" xfId="0" applyFill="1" applyBorder="1" applyAlignment="1">
      <alignment horizontal="center"/>
    </xf>
    <xf numFmtId="0" fontId="0" fillId="18" borderId="28" xfId="0" applyFill="1" applyBorder="1" applyAlignment="1">
      <alignment horizontal="center"/>
    </xf>
    <xf numFmtId="2" fontId="0" fillId="18" borderId="28" xfId="0" applyNumberFormat="1" applyFill="1" applyBorder="1" applyAlignment="1">
      <alignment horizontal="center"/>
    </xf>
    <xf numFmtId="0" fontId="0" fillId="18" borderId="29" xfId="0" applyFill="1" applyBorder="1" applyAlignment="1">
      <alignment horizontal="center"/>
    </xf>
    <xf numFmtId="2" fontId="0" fillId="18" borderId="31" xfId="0" applyNumberFormat="1" applyFill="1" applyBorder="1" applyAlignment="1">
      <alignment horizontal="center"/>
    </xf>
    <xf numFmtId="0" fontId="0" fillId="18" borderId="27" xfId="0" applyFill="1" applyBorder="1"/>
    <xf numFmtId="0" fontId="0" fillId="18" borderId="28" xfId="0" applyFill="1" applyBorder="1"/>
    <xf numFmtId="0" fontId="1" fillId="18" borderId="29" xfId="0" applyFont="1" applyFill="1" applyBorder="1" applyAlignment="1">
      <alignment horizontal="right"/>
    </xf>
    <xf numFmtId="0" fontId="1" fillId="18" borderId="31" xfId="0" applyFont="1" applyFill="1" applyBorder="1"/>
    <xf numFmtId="0" fontId="0" fillId="18" borderId="31" xfId="0" applyFill="1" applyBorder="1"/>
    <xf numFmtId="0" fontId="31" fillId="0" borderId="0" xfId="0" applyFont="1"/>
    <xf numFmtId="0" fontId="1" fillId="0" borderId="0" xfId="0" applyFont="1" applyAlignment="1">
      <alignment wrapText="1"/>
    </xf>
    <xf numFmtId="0" fontId="0" fillId="21" borderId="0" xfId="0" applyFill="1"/>
    <xf numFmtId="0" fontId="15" fillId="0" borderId="217" xfId="0" applyFont="1" applyBorder="1" applyAlignment="1">
      <alignment horizontal="center"/>
    </xf>
    <xf numFmtId="0" fontId="15" fillId="0" borderId="218" xfId="0" applyFont="1" applyBorder="1" applyAlignment="1">
      <alignment horizontal="center"/>
    </xf>
    <xf numFmtId="0" fontId="15" fillId="0" borderId="219" xfId="0" applyFont="1" applyBorder="1" applyAlignment="1">
      <alignment horizontal="center"/>
    </xf>
    <xf numFmtId="0" fontId="15" fillId="0" borderId="220" xfId="0" applyFont="1" applyBorder="1" applyAlignment="1">
      <alignment horizontal="center"/>
    </xf>
    <xf numFmtId="0" fontId="15" fillId="0" borderId="221" xfId="0" applyFont="1" applyBorder="1" applyAlignment="1">
      <alignment horizontal="center"/>
    </xf>
    <xf numFmtId="0" fontId="15" fillId="0" borderId="222" xfId="0" applyFont="1" applyBorder="1" applyAlignment="1">
      <alignment horizontal="center"/>
    </xf>
    <xf numFmtId="4" fontId="15" fillId="0" borderId="215" xfId="0" applyNumberFormat="1" applyFont="1" applyBorder="1"/>
    <xf numFmtId="0" fontId="15" fillId="0" borderId="223" xfId="0" applyFont="1" applyBorder="1" applyAlignment="1">
      <alignment horizontal="center"/>
    </xf>
    <xf numFmtId="0" fontId="15" fillId="0" borderId="224" xfId="0" applyFont="1" applyBorder="1" applyAlignment="1">
      <alignment horizontal="center"/>
    </xf>
    <xf numFmtId="0" fontId="15" fillId="0" borderId="225" xfId="0" applyFont="1" applyBorder="1" applyAlignment="1">
      <alignment horizontal="center"/>
    </xf>
    <xf numFmtId="4" fontId="15" fillId="0" borderId="216" xfId="0" applyNumberFormat="1" applyFont="1" applyBorder="1"/>
    <xf numFmtId="0" fontId="15" fillId="0" borderId="226" xfId="0" applyFont="1" applyBorder="1" applyAlignment="1">
      <alignment horizontal="center"/>
    </xf>
    <xf numFmtId="0" fontId="15" fillId="0" borderId="227" xfId="0" applyFont="1" applyBorder="1" applyAlignment="1">
      <alignment horizontal="center"/>
    </xf>
    <xf numFmtId="0" fontId="15" fillId="0" borderId="228" xfId="0" applyFont="1" applyBorder="1" applyAlignment="1">
      <alignment horizontal="center"/>
    </xf>
    <xf numFmtId="4" fontId="15" fillId="0" borderId="0" xfId="0" applyNumberFormat="1" applyFont="1"/>
    <xf numFmtId="0" fontId="33" fillId="0" borderId="83" xfId="0" applyFont="1" applyBorder="1" applyAlignment="1">
      <alignment horizontal="center"/>
    </xf>
    <xf numFmtId="0" fontId="15" fillId="0" borderId="82" xfId="0" applyFont="1" applyBorder="1"/>
    <xf numFmtId="0" fontId="15" fillId="23" borderId="216" xfId="0" applyFont="1" applyFill="1" applyBorder="1"/>
    <xf numFmtId="0" fontId="34" fillId="0" borderId="0" xfId="0" applyFont="1"/>
    <xf numFmtId="0" fontId="0" fillId="22" borderId="229" xfId="0" applyFill="1" applyBorder="1" applyAlignment="1">
      <alignment horizontal="center"/>
    </xf>
    <xf numFmtId="0" fontId="0" fillId="22" borderId="230" xfId="0" applyFill="1" applyBorder="1" applyAlignment="1">
      <alignment horizontal="center"/>
    </xf>
    <xf numFmtId="0" fontId="0" fillId="22" borderId="231" xfId="0" applyFill="1" applyBorder="1"/>
    <xf numFmtId="0" fontId="0" fillId="22" borderId="211" xfId="0" applyFill="1" applyBorder="1" applyAlignment="1">
      <alignment horizontal="center"/>
    </xf>
    <xf numFmtId="0" fontId="0" fillId="22" borderId="0" xfId="0" applyFill="1" applyAlignment="1">
      <alignment horizontal="center"/>
    </xf>
    <xf numFmtId="0" fontId="0" fillId="22" borderId="212" xfId="0" applyFill="1" applyBorder="1"/>
    <xf numFmtId="0" fontId="0" fillId="22" borderId="213" xfId="0" applyFill="1" applyBorder="1" applyAlignment="1">
      <alignment horizontal="center"/>
    </xf>
    <xf numFmtId="0" fontId="0" fillId="22" borderId="205" xfId="0" applyFill="1" applyBorder="1" applyAlignment="1">
      <alignment horizontal="center"/>
    </xf>
    <xf numFmtId="0" fontId="0" fillId="22" borderId="214" xfId="0" applyFill="1" applyBorder="1"/>
    <xf numFmtId="0" fontId="0" fillId="0" borderId="235" xfId="0" applyBorder="1" applyAlignment="1">
      <alignment horizontal="center"/>
    </xf>
    <xf numFmtId="0" fontId="0" fillId="0" borderId="236" xfId="0" applyBorder="1" applyAlignment="1">
      <alignment horizontal="center"/>
    </xf>
    <xf numFmtId="0" fontId="0" fillId="0" borderId="237" xfId="0" applyBorder="1" applyAlignment="1">
      <alignment horizontal="center"/>
    </xf>
    <xf numFmtId="0" fontId="0" fillId="0" borderId="238" xfId="0" applyBorder="1" applyAlignment="1">
      <alignment horizontal="center"/>
    </xf>
    <xf numFmtId="0" fontId="0" fillId="0" borderId="239" xfId="0" applyBorder="1" applyAlignment="1">
      <alignment horizontal="center"/>
    </xf>
    <xf numFmtId="0" fontId="0" fillId="0" borderId="240" xfId="0" applyBorder="1" applyAlignment="1">
      <alignment horizontal="center"/>
    </xf>
    <xf numFmtId="0" fontId="0" fillId="0" borderId="241" xfId="0" applyBorder="1" applyAlignment="1">
      <alignment horizontal="center"/>
    </xf>
    <xf numFmtId="0" fontId="0" fillId="0" borderId="242" xfId="0" applyBorder="1" applyAlignment="1">
      <alignment horizontal="center"/>
    </xf>
    <xf numFmtId="0" fontId="0" fillId="0" borderId="243" xfId="0" applyBorder="1" applyAlignment="1">
      <alignment horizontal="center"/>
    </xf>
    <xf numFmtId="0" fontId="0" fillId="0" borderId="244" xfId="0" applyBorder="1" applyAlignment="1">
      <alignment horizontal="center"/>
    </xf>
    <xf numFmtId="0" fontId="0" fillId="0" borderId="216" xfId="0" applyBorder="1"/>
    <xf numFmtId="0" fontId="0" fillId="22" borderId="27" xfId="0" applyFill="1" applyBorder="1"/>
    <xf numFmtId="0" fontId="0" fillId="22" borderId="0" xfId="0" applyFill="1"/>
    <xf numFmtId="0" fontId="0" fillId="22" borderId="28" xfId="0" applyFill="1" applyBorder="1"/>
    <xf numFmtId="0" fontId="0" fillId="22" borderId="29" xfId="0" applyFill="1" applyBorder="1"/>
    <xf numFmtId="0" fontId="0" fillId="22" borderId="30" xfId="0" applyFill="1" applyBorder="1"/>
    <xf numFmtId="0" fontId="0" fillId="22" borderId="31" xfId="0" applyFill="1" applyBorder="1"/>
    <xf numFmtId="0" fontId="20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0" fillId="25" borderId="0" xfId="0" applyFill="1"/>
    <xf numFmtId="0" fontId="37" fillId="0" borderId="0" xfId="0" applyFont="1"/>
    <xf numFmtId="0" fontId="36" fillId="0" borderId="0" xfId="0" applyFont="1"/>
    <xf numFmtId="0" fontId="0" fillId="27" borderId="0" xfId="0" applyFill="1"/>
    <xf numFmtId="0" fontId="0" fillId="28" borderId="0" xfId="0" applyFill="1"/>
    <xf numFmtId="0" fontId="1" fillId="9" borderId="46" xfId="0" applyFont="1" applyFill="1" applyBorder="1" applyAlignment="1">
      <alignment horizontal="center"/>
    </xf>
    <xf numFmtId="0" fontId="0" fillId="29" borderId="0" xfId="0" applyFill="1"/>
    <xf numFmtId="0" fontId="0" fillId="30" borderId="0" xfId="0" applyFill="1"/>
    <xf numFmtId="0" fontId="0" fillId="31" borderId="82" xfId="0" applyFill="1" applyBorder="1"/>
    <xf numFmtId="0" fontId="39" fillId="0" borderId="0" xfId="0" applyFont="1"/>
    <xf numFmtId="0" fontId="40" fillId="0" borderId="0" xfId="0" applyFont="1"/>
    <xf numFmtId="0" fontId="0" fillId="32" borderId="82" xfId="0" applyFill="1" applyBorder="1"/>
    <xf numFmtId="0" fontId="41" fillId="0" borderId="0" xfId="0" applyFont="1"/>
    <xf numFmtId="0" fontId="42" fillId="0" borderId="0" xfId="0" applyFont="1"/>
    <xf numFmtId="0" fontId="0" fillId="33" borderId="27" xfId="0" applyFill="1" applyBorder="1" applyAlignment="1">
      <alignment horizontal="right"/>
    </xf>
    <xf numFmtId="0" fontId="0" fillId="33" borderId="28" xfId="0" applyFill="1" applyBorder="1" applyAlignment="1">
      <alignment horizontal="left"/>
    </xf>
    <xf numFmtId="0" fontId="0" fillId="33" borderId="29" xfId="0" applyFill="1" applyBorder="1" applyAlignment="1">
      <alignment horizontal="right"/>
    </xf>
    <xf numFmtId="0" fontId="0" fillId="33" borderId="31" xfId="0" applyFill="1" applyBorder="1" applyAlignment="1">
      <alignment horizontal="left"/>
    </xf>
    <xf numFmtId="0" fontId="0" fillId="34" borderId="29" xfId="0" applyFill="1" applyBorder="1" applyAlignment="1">
      <alignment horizontal="right"/>
    </xf>
    <xf numFmtId="0" fontId="0" fillId="34" borderId="31" xfId="0" applyFill="1" applyBorder="1" applyAlignment="1">
      <alignment horizontal="left"/>
    </xf>
    <xf numFmtId="0" fontId="0" fillId="34" borderId="204" xfId="0" applyFill="1" applyBorder="1" applyAlignment="1">
      <alignment horizontal="right"/>
    </xf>
    <xf numFmtId="0" fontId="0" fillId="34" borderId="34" xfId="0" applyFill="1" applyBorder="1" applyAlignment="1">
      <alignment horizontal="left"/>
    </xf>
    <xf numFmtId="0" fontId="0" fillId="22" borderId="229" xfId="0" applyFill="1" applyBorder="1"/>
    <xf numFmtId="0" fontId="0" fillId="22" borderId="230" xfId="0" applyFill="1" applyBorder="1"/>
    <xf numFmtId="0" fontId="0" fillId="22" borderId="211" xfId="0" applyFill="1" applyBorder="1"/>
    <xf numFmtId="0" fontId="0" fillId="22" borderId="213" xfId="0" applyFill="1" applyBorder="1"/>
    <xf numFmtId="0" fontId="0" fillId="22" borderId="205" xfId="0" applyFill="1" applyBorder="1"/>
    <xf numFmtId="2" fontId="0" fillId="8" borderId="254" xfId="0" applyNumberFormat="1" applyFill="1" applyBorder="1" applyAlignment="1">
      <alignment horizontal="center"/>
    </xf>
    <xf numFmtId="0" fontId="0" fillId="8" borderId="254" xfId="0" applyFill="1" applyBorder="1" applyAlignment="1">
      <alignment horizontal="center"/>
    </xf>
    <xf numFmtId="0" fontId="11" fillId="0" borderId="82" xfId="0" applyFont="1" applyBorder="1"/>
    <xf numFmtId="165" fontId="0" fillId="0" borderId="0" xfId="0" applyNumberFormat="1"/>
    <xf numFmtId="165" fontId="0" fillId="0" borderId="82" xfId="0" applyNumberFormat="1" applyBorder="1"/>
    <xf numFmtId="0" fontId="0" fillId="0" borderId="206" xfId="0" applyBorder="1" applyAlignment="1">
      <alignment horizontal="center"/>
    </xf>
    <xf numFmtId="2" fontId="15" fillId="0" borderId="258" xfId="0" applyNumberFormat="1" applyFont="1" applyBorder="1"/>
    <xf numFmtId="4" fontId="15" fillId="0" borderId="259" xfId="0" applyNumberFormat="1" applyFont="1" applyBorder="1"/>
    <xf numFmtId="2" fontId="15" fillId="0" borderId="260" xfId="0" applyNumberFormat="1" applyFont="1" applyBorder="1"/>
    <xf numFmtId="2" fontId="15" fillId="0" borderId="261" xfId="0" applyNumberFormat="1" applyFont="1" applyBorder="1"/>
    <xf numFmtId="4" fontId="15" fillId="0" borderId="262" xfId="0" applyNumberFormat="1" applyFont="1" applyBorder="1"/>
    <xf numFmtId="4" fontId="15" fillId="0" borderId="263" xfId="0" applyNumberFormat="1" applyFont="1" applyBorder="1"/>
    <xf numFmtId="0" fontId="15" fillId="2" borderId="255" xfId="0" applyFont="1" applyFill="1" applyBorder="1" applyAlignment="1">
      <alignment horizontal="center"/>
    </xf>
    <xf numFmtId="0" fontId="15" fillId="2" borderId="256" xfId="0" applyFont="1" applyFill="1" applyBorder="1" applyAlignment="1">
      <alignment horizontal="center"/>
    </xf>
    <xf numFmtId="0" fontId="15" fillId="2" borderId="257" xfId="0" applyFont="1" applyFill="1" applyBorder="1" applyAlignment="1">
      <alignment horizontal="center"/>
    </xf>
    <xf numFmtId="4" fontId="15" fillId="2" borderId="185" xfId="0" applyNumberFormat="1" applyFont="1" applyFill="1" applyBorder="1"/>
    <xf numFmtId="4" fontId="15" fillId="2" borderId="126" xfId="0" applyNumberFormat="1" applyFont="1" applyFill="1" applyBorder="1" applyAlignment="1">
      <alignment horizontal="center"/>
    </xf>
    <xf numFmtId="0" fontId="8" fillId="2" borderId="124" xfId="0" applyFont="1" applyFill="1" applyBorder="1" applyAlignment="1">
      <alignment horizontal="right"/>
    </xf>
    <xf numFmtId="0" fontId="15" fillId="0" borderId="264" xfId="0" applyFont="1" applyBorder="1"/>
    <xf numFmtId="4" fontId="15" fillId="0" borderId="265" xfId="0" applyNumberFormat="1" applyFont="1" applyBorder="1"/>
    <xf numFmtId="0" fontId="15" fillId="0" borderId="266" xfId="0" applyFont="1" applyBorder="1"/>
    <xf numFmtId="0" fontId="43" fillId="0" borderId="0" xfId="0" applyFont="1"/>
    <xf numFmtId="0" fontId="10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5" fillId="0" borderId="9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5" fillId="3" borderId="24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0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6" fillId="0" borderId="5" xfId="0" applyFont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1" fillId="5" borderId="232" xfId="0" applyFont="1" applyFill="1" applyBorder="1" applyAlignment="1">
      <alignment horizontal="center"/>
    </xf>
    <xf numFmtId="0" fontId="1" fillId="5" borderId="233" xfId="0" applyFont="1" applyFill="1" applyBorder="1" applyAlignment="1">
      <alignment horizontal="center"/>
    </xf>
    <xf numFmtId="0" fontId="1" fillId="5" borderId="234" xfId="0" applyFont="1" applyFill="1" applyBorder="1" applyAlignment="1">
      <alignment horizontal="center"/>
    </xf>
    <xf numFmtId="0" fontId="1" fillId="8" borderId="108" xfId="0" applyFont="1" applyFill="1" applyBorder="1" applyAlignment="1">
      <alignment horizontal="center"/>
    </xf>
    <xf numFmtId="0" fontId="1" fillId="8" borderId="109" xfId="0" applyFont="1" applyFill="1" applyBorder="1" applyAlignment="1">
      <alignment horizontal="center"/>
    </xf>
    <xf numFmtId="0" fontId="1" fillId="8" borderId="110" xfId="0" applyFont="1" applyFill="1" applyBorder="1" applyAlignment="1">
      <alignment horizontal="center"/>
    </xf>
    <xf numFmtId="0" fontId="10" fillId="13" borderId="124" xfId="0" applyFont="1" applyFill="1" applyBorder="1" applyAlignment="1">
      <alignment horizontal="center" vertical="center"/>
    </xf>
    <xf numFmtId="0" fontId="10" fillId="13" borderId="125" xfId="0" applyFont="1" applyFill="1" applyBorder="1" applyAlignment="1">
      <alignment horizontal="center" vertical="center"/>
    </xf>
    <xf numFmtId="0" fontId="10" fillId="13" borderId="126" xfId="0" applyFont="1" applyFill="1" applyBorder="1" applyAlignment="1">
      <alignment horizontal="center" vertical="center"/>
    </xf>
    <xf numFmtId="0" fontId="1" fillId="2" borderId="124" xfId="0" applyFont="1" applyFill="1" applyBorder="1" applyAlignment="1">
      <alignment horizontal="center" vertical="center" wrapText="1"/>
    </xf>
    <xf numFmtId="0" fontId="1" fillId="2" borderId="125" xfId="0" applyFont="1" applyFill="1" applyBorder="1" applyAlignment="1">
      <alignment horizontal="center" vertical="center" wrapText="1"/>
    </xf>
    <xf numFmtId="0" fontId="1" fillId="2" borderId="126" xfId="0" applyFont="1" applyFill="1" applyBorder="1" applyAlignment="1">
      <alignment horizontal="center" vertical="center" wrapText="1"/>
    </xf>
    <xf numFmtId="0" fontId="1" fillId="5" borderId="99" xfId="0" applyFont="1" applyFill="1" applyBorder="1" applyAlignment="1">
      <alignment horizontal="center"/>
    </xf>
    <xf numFmtId="0" fontId="1" fillId="5" borderId="100" xfId="0" applyFont="1" applyFill="1" applyBorder="1" applyAlignment="1">
      <alignment horizontal="center"/>
    </xf>
    <xf numFmtId="0" fontId="1" fillId="5" borderId="101" xfId="0" applyFont="1" applyFill="1" applyBorder="1" applyAlignment="1">
      <alignment horizontal="center"/>
    </xf>
    <xf numFmtId="0" fontId="1" fillId="2" borderId="102" xfId="0" applyFont="1" applyFill="1" applyBorder="1" applyAlignment="1">
      <alignment horizontal="center" vertical="center" wrapText="1"/>
    </xf>
    <xf numFmtId="0" fontId="1" fillId="2" borderId="105" xfId="0" applyFont="1" applyFill="1" applyBorder="1" applyAlignment="1">
      <alignment horizontal="center" vertical="center" wrapText="1"/>
    </xf>
    <xf numFmtId="0" fontId="1" fillId="2" borderId="103" xfId="0" applyFont="1" applyFill="1" applyBorder="1" applyAlignment="1">
      <alignment horizontal="center" vertical="center" wrapText="1"/>
    </xf>
    <xf numFmtId="0" fontId="1" fillId="2" borderId="106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horizontal="center" vertical="center" wrapText="1"/>
    </xf>
    <xf numFmtId="0" fontId="1" fillId="2" borderId="107" xfId="0" applyFont="1" applyFill="1" applyBorder="1" applyAlignment="1">
      <alignment horizontal="center" vertical="center" wrapText="1"/>
    </xf>
    <xf numFmtId="0" fontId="1" fillId="2" borderId="42" xfId="0" applyFont="1" applyFill="1" applyBorder="1" applyAlignment="1">
      <alignment horizontal="center" wrapText="1"/>
    </xf>
    <xf numFmtId="0" fontId="1" fillId="2" borderId="95" xfId="0" applyFont="1" applyFill="1" applyBorder="1" applyAlignment="1">
      <alignment horizontal="center" wrapText="1"/>
    </xf>
    <xf numFmtId="0" fontId="43" fillId="0" borderId="230" xfId="0" applyFont="1" applyBorder="1" applyAlignment="1">
      <alignment horizontal="center"/>
    </xf>
    <xf numFmtId="0" fontId="10" fillId="13" borderId="124" xfId="0" applyFont="1" applyFill="1" applyBorder="1" applyAlignment="1">
      <alignment horizontal="center" vertical="center" wrapText="1"/>
    </xf>
    <xf numFmtId="0" fontId="13" fillId="0" borderId="141" xfId="0" applyFont="1" applyBorder="1" applyAlignment="1">
      <alignment horizontal="center"/>
    </xf>
    <xf numFmtId="0" fontId="13" fillId="0" borderId="142" xfId="0" applyFont="1" applyBorder="1" applyAlignment="1">
      <alignment horizontal="center"/>
    </xf>
    <xf numFmtId="0" fontId="13" fillId="0" borderId="143" xfId="0" applyFont="1" applyBorder="1" applyAlignment="1">
      <alignment horizontal="center"/>
    </xf>
    <xf numFmtId="0" fontId="14" fillId="0" borderId="66" xfId="0" applyFont="1" applyBorder="1" applyAlignment="1">
      <alignment horizontal="left"/>
    </xf>
    <xf numFmtId="0" fontId="14" fillId="0" borderId="73" xfId="0" applyFont="1" applyBorder="1" applyAlignment="1">
      <alignment horizontal="left"/>
    </xf>
    <xf numFmtId="0" fontId="14" fillId="0" borderId="67" xfId="0" applyFont="1" applyBorder="1" applyAlignment="1">
      <alignment horizontal="left"/>
    </xf>
    <xf numFmtId="0" fontId="1" fillId="10" borderId="66" xfId="0" applyFont="1" applyFill="1" applyBorder="1" applyAlignment="1">
      <alignment horizontal="center" vertical="center"/>
    </xf>
    <xf numFmtId="0" fontId="1" fillId="10" borderId="73" xfId="0" applyFont="1" applyFill="1" applyBorder="1" applyAlignment="1">
      <alignment horizontal="center" vertical="center"/>
    </xf>
    <xf numFmtId="0" fontId="1" fillId="10" borderId="67" xfId="0" applyFont="1" applyFill="1" applyBorder="1" applyAlignment="1">
      <alignment horizontal="center" vertical="center"/>
    </xf>
    <xf numFmtId="0" fontId="10" fillId="13" borderId="158" xfId="0" applyFont="1" applyFill="1" applyBorder="1" applyAlignment="1">
      <alignment horizontal="center" vertical="center"/>
    </xf>
    <xf numFmtId="0" fontId="10" fillId="13" borderId="159" xfId="0" applyFont="1" applyFill="1" applyBorder="1" applyAlignment="1">
      <alignment horizontal="center" vertical="center"/>
    </xf>
    <xf numFmtId="0" fontId="10" fillId="13" borderId="160" xfId="0" applyFont="1" applyFill="1" applyBorder="1" applyAlignment="1">
      <alignment horizontal="center" vertical="center"/>
    </xf>
    <xf numFmtId="0" fontId="2" fillId="11" borderId="161" xfId="0" applyFont="1" applyFill="1" applyBorder="1" applyAlignment="1">
      <alignment horizontal="center" vertical="center"/>
    </xf>
    <xf numFmtId="0" fontId="2" fillId="11" borderId="162" xfId="0" applyFont="1" applyFill="1" applyBorder="1" applyAlignment="1">
      <alignment horizontal="center" vertical="center"/>
    </xf>
    <xf numFmtId="0" fontId="2" fillId="11" borderId="163" xfId="0" applyFont="1" applyFill="1" applyBorder="1" applyAlignment="1">
      <alignment horizontal="center" vertical="center"/>
    </xf>
    <xf numFmtId="0" fontId="1" fillId="2" borderId="158" xfId="0" applyFont="1" applyFill="1" applyBorder="1" applyAlignment="1">
      <alignment horizontal="center" vertical="center"/>
    </xf>
    <xf numFmtId="0" fontId="1" fillId="2" borderId="159" xfId="0" applyFont="1" applyFill="1" applyBorder="1" applyAlignment="1">
      <alignment horizontal="center" vertical="center"/>
    </xf>
    <xf numFmtId="0" fontId="1" fillId="2" borderId="160" xfId="0" applyFont="1" applyFill="1" applyBorder="1" applyAlignment="1">
      <alignment horizontal="center" vertical="center"/>
    </xf>
    <xf numFmtId="0" fontId="0" fillId="14" borderId="0" xfId="0" applyFill="1" applyAlignment="1">
      <alignment horizontal="left"/>
    </xf>
    <xf numFmtId="0" fontId="1" fillId="14" borderId="183" xfId="0" applyFont="1" applyFill="1" applyBorder="1" applyAlignment="1">
      <alignment horizontal="left"/>
    </xf>
    <xf numFmtId="0" fontId="0" fillId="14" borderId="183" xfId="0" applyFill="1" applyBorder="1" applyAlignment="1">
      <alignment horizontal="left"/>
    </xf>
    <xf numFmtId="0" fontId="0" fillId="10" borderId="164" xfId="0" applyFill="1" applyBorder="1" applyAlignment="1">
      <alignment horizontal="center" wrapText="1"/>
    </xf>
    <xf numFmtId="0" fontId="0" fillId="10" borderId="165" xfId="0" applyFill="1" applyBorder="1" applyAlignment="1">
      <alignment horizontal="center" wrapText="1"/>
    </xf>
    <xf numFmtId="0" fontId="0" fillId="10" borderId="166" xfId="0" applyFill="1" applyBorder="1" applyAlignment="1">
      <alignment horizontal="center" wrapText="1"/>
    </xf>
    <xf numFmtId="0" fontId="0" fillId="10" borderId="167" xfId="0" applyFill="1" applyBorder="1" applyAlignment="1">
      <alignment horizontal="center" wrapText="1"/>
    </xf>
    <xf numFmtId="0" fontId="0" fillId="10" borderId="168" xfId="0" applyFill="1" applyBorder="1" applyAlignment="1">
      <alignment horizontal="center" wrapText="1"/>
    </xf>
    <xf numFmtId="0" fontId="0" fillId="10" borderId="169" xfId="0" applyFill="1" applyBorder="1" applyAlignment="1">
      <alignment horizontal="center" wrapText="1"/>
    </xf>
    <xf numFmtId="0" fontId="0" fillId="10" borderId="170" xfId="0" applyFill="1" applyBorder="1" applyAlignment="1">
      <alignment horizontal="center" wrapText="1"/>
    </xf>
    <xf numFmtId="0" fontId="0" fillId="10" borderId="0" xfId="0" applyFill="1" applyAlignment="1">
      <alignment horizontal="center" wrapText="1"/>
    </xf>
    <xf numFmtId="0" fontId="0" fillId="10" borderId="171" xfId="0" applyFill="1" applyBorder="1" applyAlignment="1">
      <alignment horizontal="center" wrapText="1"/>
    </xf>
    <xf numFmtId="0" fontId="0" fillId="14" borderId="177" xfId="0" applyFill="1" applyBorder="1" applyAlignment="1">
      <alignment horizontal="center" wrapText="1"/>
    </xf>
    <xf numFmtId="0" fontId="0" fillId="14" borderId="178" xfId="0" applyFill="1" applyBorder="1" applyAlignment="1">
      <alignment horizontal="center" wrapText="1"/>
    </xf>
    <xf numFmtId="0" fontId="0" fillId="14" borderId="179" xfId="0" applyFill="1" applyBorder="1" applyAlignment="1">
      <alignment horizontal="center" wrapText="1"/>
    </xf>
    <xf numFmtId="0" fontId="0" fillId="14" borderId="180" xfId="0" applyFill="1" applyBorder="1" applyAlignment="1">
      <alignment horizontal="center" wrapText="1"/>
    </xf>
    <xf numFmtId="0" fontId="0" fillId="14" borderId="0" xfId="0" applyFill="1" applyAlignment="1">
      <alignment horizontal="center" wrapText="1"/>
    </xf>
    <xf numFmtId="0" fontId="0" fillId="14" borderId="181" xfId="0" applyFill="1" applyBorder="1" applyAlignment="1">
      <alignment horizontal="center" wrapText="1"/>
    </xf>
    <xf numFmtId="0" fontId="18" fillId="9" borderId="0" xfId="0" applyFont="1" applyFill="1" applyAlignment="1">
      <alignment horizontal="left"/>
    </xf>
    <xf numFmtId="0" fontId="19" fillId="0" borderId="0" xfId="0" applyFont="1" applyAlignment="1">
      <alignment horizontal="right"/>
    </xf>
    <xf numFmtId="0" fontId="29" fillId="0" borderId="0" xfId="0" applyFont="1" applyAlignment="1">
      <alignment horizontal="left"/>
    </xf>
    <xf numFmtId="0" fontId="0" fillId="18" borderId="29" xfId="0" applyFill="1" applyBorder="1" applyAlignment="1">
      <alignment horizontal="left"/>
    </xf>
    <xf numFmtId="0" fontId="0" fillId="18" borderId="31" xfId="0" applyFill="1" applyBorder="1" applyAlignment="1">
      <alignment horizontal="left"/>
    </xf>
    <xf numFmtId="0" fontId="26" fillId="0" borderId="211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1" fillId="2" borderId="30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1" fillId="0" borderId="21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212" xfId="0" applyFont="1" applyBorder="1" applyAlignment="1">
      <alignment horizontal="center"/>
    </xf>
    <xf numFmtId="0" fontId="0" fillId="2" borderId="124" xfId="0" applyFill="1" applyBorder="1" applyAlignment="1">
      <alignment horizontal="center"/>
    </xf>
    <xf numFmtId="0" fontId="0" fillId="2" borderId="125" xfId="0" applyFill="1" applyBorder="1" applyAlignment="1">
      <alignment horizontal="center"/>
    </xf>
    <xf numFmtId="0" fontId="0" fillId="2" borderId="126" xfId="0" applyFill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212" xfId="0" applyFont="1" applyBorder="1" applyAlignment="1">
      <alignment horizontal="center"/>
    </xf>
    <xf numFmtId="0" fontId="19" fillId="0" borderId="21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" fillId="10" borderId="172" xfId="0" applyFont="1" applyFill="1" applyBorder="1" applyAlignment="1">
      <alignment horizontal="center"/>
    </xf>
    <xf numFmtId="0" fontId="1" fillId="10" borderId="173" xfId="0" applyFont="1" applyFill="1" applyBorder="1" applyAlignment="1">
      <alignment horizontal="center"/>
    </xf>
    <xf numFmtId="0" fontId="1" fillId="10" borderId="174" xfId="0" applyFont="1" applyFill="1" applyBorder="1" applyAlignment="1">
      <alignment horizontal="center"/>
    </xf>
    <xf numFmtId="0" fontId="0" fillId="21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20" fillId="0" borderId="0" xfId="0" applyFont="1" applyAlignment="1">
      <alignment horizontal="center" vertical="center" wrapText="1"/>
    </xf>
    <xf numFmtId="0" fontId="1" fillId="10" borderId="172" xfId="0" applyFont="1" applyFill="1" applyBorder="1" applyAlignment="1">
      <alignment horizontal="center" vertical="center"/>
    </xf>
    <xf numFmtId="0" fontId="1" fillId="10" borderId="173" xfId="0" applyFont="1" applyFill="1" applyBorder="1" applyAlignment="1">
      <alignment horizontal="center" vertical="center"/>
    </xf>
    <xf numFmtId="0" fontId="1" fillId="10" borderId="174" xfId="0" applyFont="1" applyFill="1" applyBorder="1" applyAlignment="1">
      <alignment horizontal="center" vertical="center"/>
    </xf>
    <xf numFmtId="0" fontId="1" fillId="2" borderId="204" xfId="0" applyFont="1" applyFill="1" applyBorder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19" borderId="204" xfId="0" applyFont="1" applyFill="1" applyBorder="1" applyAlignment="1">
      <alignment horizontal="center"/>
    </xf>
    <xf numFmtId="0" fontId="1" fillId="19" borderId="210" xfId="0" applyFont="1" applyFill="1" applyBorder="1" applyAlignment="1">
      <alignment horizontal="center"/>
    </xf>
    <xf numFmtId="0" fontId="1" fillId="19" borderId="34" xfId="0" applyFont="1" applyFill="1" applyBorder="1" applyAlignment="1">
      <alignment horizontal="center"/>
    </xf>
    <xf numFmtId="0" fontId="32" fillId="20" borderId="24" xfId="0" applyFont="1" applyFill="1" applyBorder="1" applyAlignment="1">
      <alignment horizontal="center" vertical="center"/>
    </xf>
    <xf numFmtId="0" fontId="32" fillId="20" borderId="25" xfId="0" applyFont="1" applyFill="1" applyBorder="1" applyAlignment="1">
      <alignment horizontal="center" vertical="center"/>
    </xf>
    <xf numFmtId="0" fontId="32" fillId="20" borderId="26" xfId="0" applyFont="1" applyFill="1" applyBorder="1" applyAlignment="1">
      <alignment horizontal="center" vertical="center"/>
    </xf>
    <xf numFmtId="0" fontId="32" fillId="20" borderId="29" xfId="0" applyFont="1" applyFill="1" applyBorder="1" applyAlignment="1">
      <alignment horizontal="center" vertical="center"/>
    </xf>
    <xf numFmtId="0" fontId="32" fillId="20" borderId="30" xfId="0" applyFont="1" applyFill="1" applyBorder="1" applyAlignment="1">
      <alignment horizontal="center" vertical="center"/>
    </xf>
    <xf numFmtId="0" fontId="32" fillId="20" borderId="31" xfId="0" applyFont="1" applyFill="1" applyBorder="1" applyAlignment="1">
      <alignment horizontal="center" vertical="center"/>
    </xf>
    <xf numFmtId="0" fontId="26" fillId="0" borderId="25" xfId="0" applyFont="1" applyBorder="1" applyAlignment="1">
      <alignment horizontal="center"/>
    </xf>
    <xf numFmtId="0" fontId="0" fillId="18" borderId="27" xfId="0" applyFill="1" applyBorder="1" applyAlignment="1">
      <alignment horizontal="left"/>
    </xf>
    <xf numFmtId="0" fontId="0" fillId="18" borderId="28" xfId="0" applyFill="1" applyBorder="1" applyAlignment="1">
      <alignment horizontal="left"/>
    </xf>
    <xf numFmtId="0" fontId="0" fillId="27" borderId="0" xfId="0" applyFill="1" applyAlignment="1">
      <alignment horizontal="left"/>
    </xf>
    <xf numFmtId="0" fontId="1" fillId="26" borderId="246" xfId="0" applyFont="1" applyFill="1" applyBorder="1" applyAlignment="1">
      <alignment horizontal="center" wrapText="1"/>
    </xf>
    <xf numFmtId="0" fontId="1" fillId="26" borderId="247" xfId="0" applyFont="1" applyFill="1" applyBorder="1" applyAlignment="1">
      <alignment horizontal="center" wrapText="1"/>
    </xf>
    <xf numFmtId="0" fontId="1" fillId="26" borderId="248" xfId="0" applyFont="1" applyFill="1" applyBorder="1" applyAlignment="1">
      <alignment horizontal="center" wrapText="1"/>
    </xf>
    <xf numFmtId="0" fontId="1" fillId="26" borderId="249" xfId="0" applyFont="1" applyFill="1" applyBorder="1" applyAlignment="1">
      <alignment horizontal="center" wrapText="1"/>
    </xf>
    <xf numFmtId="0" fontId="1" fillId="26" borderId="245" xfId="0" applyFont="1" applyFill="1" applyBorder="1" applyAlignment="1">
      <alignment horizontal="center" wrapText="1"/>
    </xf>
    <xf numFmtId="0" fontId="1" fillId="26" borderId="250" xfId="0" applyFont="1" applyFill="1" applyBorder="1" applyAlignment="1">
      <alignment horizontal="center" wrapText="1"/>
    </xf>
    <xf numFmtId="0" fontId="0" fillId="28" borderId="0" xfId="0" applyFill="1" applyAlignment="1">
      <alignment horizontal="left"/>
    </xf>
    <xf numFmtId="0" fontId="0" fillId="9" borderId="108" xfId="0" applyFill="1" applyBorder="1" applyAlignment="1">
      <alignment horizontal="center"/>
    </xf>
    <xf numFmtId="0" fontId="0" fillId="9" borderId="109" xfId="0" applyFill="1" applyBorder="1" applyAlignment="1">
      <alignment horizontal="center"/>
    </xf>
    <xf numFmtId="0" fontId="0" fillId="9" borderId="110" xfId="0" applyFill="1" applyBorder="1" applyAlignment="1">
      <alignment horizontal="center"/>
    </xf>
    <xf numFmtId="0" fontId="0" fillId="25" borderId="0" xfId="0" applyFill="1" applyAlignment="1">
      <alignment horizontal="left"/>
    </xf>
    <xf numFmtId="0" fontId="35" fillId="24" borderId="124" xfId="0" applyFont="1" applyFill="1" applyBorder="1" applyAlignment="1">
      <alignment horizontal="center" vertical="center" wrapText="1"/>
    </xf>
    <xf numFmtId="0" fontId="35" fillId="24" borderId="125" xfId="0" applyFont="1" applyFill="1" applyBorder="1" applyAlignment="1">
      <alignment horizontal="center" vertical="center" wrapText="1"/>
    </xf>
    <xf numFmtId="0" fontId="35" fillId="24" borderId="126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0" fontId="8" fillId="26" borderId="251" xfId="0" applyFont="1" applyFill="1" applyBorder="1" applyAlignment="1">
      <alignment horizontal="center"/>
    </xf>
    <xf numFmtId="0" fontId="8" fillId="26" borderId="252" xfId="0" applyFont="1" applyFill="1" applyBorder="1" applyAlignment="1">
      <alignment horizontal="center"/>
    </xf>
    <xf numFmtId="0" fontId="8" fillId="26" borderId="253" xfId="0" applyFont="1" applyFill="1" applyBorder="1" applyAlignment="1">
      <alignment horizontal="center"/>
    </xf>
    <xf numFmtId="0" fontId="0" fillId="29" borderId="0" xfId="0" applyFill="1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26" borderId="246" xfId="0" applyFill="1" applyBorder="1" applyAlignment="1">
      <alignment horizontal="center" wrapText="1"/>
    </xf>
    <xf numFmtId="0" fontId="0" fillId="26" borderId="247" xfId="0" applyFill="1" applyBorder="1" applyAlignment="1">
      <alignment horizontal="center" wrapText="1"/>
    </xf>
    <xf numFmtId="0" fontId="0" fillId="26" borderId="248" xfId="0" applyFill="1" applyBorder="1" applyAlignment="1">
      <alignment horizontal="center" wrapText="1"/>
    </xf>
    <xf numFmtId="0" fontId="0" fillId="26" borderId="249" xfId="0" applyFill="1" applyBorder="1" applyAlignment="1">
      <alignment horizontal="center" wrapText="1"/>
    </xf>
    <xf numFmtId="0" fontId="0" fillId="26" borderId="245" xfId="0" applyFill="1" applyBorder="1" applyAlignment="1">
      <alignment horizontal="center" wrapText="1"/>
    </xf>
    <xf numFmtId="0" fontId="0" fillId="26" borderId="250" xfId="0" applyFill="1" applyBorder="1" applyAlignment="1">
      <alignment horizontal="center" wrapText="1"/>
    </xf>
    <xf numFmtId="0" fontId="0" fillId="30" borderId="0" xfId="0" applyFill="1" applyAlignment="1">
      <alignment horizontal="left"/>
    </xf>
    <xf numFmtId="0" fontId="0" fillId="31" borderId="0" xfId="0" applyFill="1" applyAlignment="1">
      <alignment horizontal="left"/>
    </xf>
    <xf numFmtId="0" fontId="0" fillId="0" borderId="245" xfId="0" applyBorder="1" applyAlignment="1">
      <alignment horizontal="center"/>
    </xf>
    <xf numFmtId="0" fontId="0" fillId="0" borderId="216" xfId="0" applyBorder="1" applyAlignment="1">
      <alignment horizontal="center"/>
    </xf>
    <xf numFmtId="0" fontId="1" fillId="2" borderId="124" xfId="0" applyFont="1" applyFill="1" applyBorder="1" applyAlignment="1">
      <alignment horizontal="center"/>
    </xf>
    <xf numFmtId="0" fontId="1" fillId="2" borderId="125" xfId="0" applyFont="1" applyFill="1" applyBorder="1" applyAlignment="1">
      <alignment horizontal="center"/>
    </xf>
    <xf numFmtId="0" fontId="1" fillId="2" borderId="126" xfId="0" applyFont="1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0" borderId="216" xfId="0" applyBorder="1" applyAlignment="1">
      <alignment horizontal="center" vertical="center"/>
    </xf>
    <xf numFmtId="0" fontId="10" fillId="13" borderId="125" xfId="0" applyFont="1" applyFill="1" applyBorder="1" applyAlignment="1">
      <alignment horizontal="center" vertical="center" wrapText="1"/>
    </xf>
    <xf numFmtId="0" fontId="10" fillId="13" borderId="126" xfId="0" applyFont="1" applyFill="1" applyBorder="1" applyAlignment="1">
      <alignment horizontal="center" vertical="center" wrapText="1"/>
    </xf>
    <xf numFmtId="0" fontId="1" fillId="5" borderId="204" xfId="0" applyFont="1" applyFill="1" applyBorder="1" applyAlignment="1">
      <alignment horizontal="center"/>
    </xf>
    <xf numFmtId="0" fontId="1" fillId="5" borderId="210" xfId="0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0" fontId="1" fillId="10" borderId="164" xfId="0" applyFont="1" applyFill="1" applyBorder="1" applyAlignment="1">
      <alignment horizontal="center" wrapText="1"/>
    </xf>
    <xf numFmtId="0" fontId="1" fillId="10" borderId="165" xfId="0" applyFont="1" applyFill="1" applyBorder="1" applyAlignment="1">
      <alignment horizontal="center" wrapText="1"/>
    </xf>
    <xf numFmtId="0" fontId="1" fillId="10" borderId="166" xfId="0" applyFont="1" applyFill="1" applyBorder="1" applyAlignment="1">
      <alignment horizontal="center" wrapText="1"/>
    </xf>
    <xf numFmtId="0" fontId="1" fillId="10" borderId="167" xfId="0" applyFont="1" applyFill="1" applyBorder="1" applyAlignment="1">
      <alignment horizontal="center" wrapText="1"/>
    </xf>
    <xf numFmtId="0" fontId="1" fillId="10" borderId="168" xfId="0" applyFont="1" applyFill="1" applyBorder="1" applyAlignment="1">
      <alignment horizontal="center" wrapText="1"/>
    </xf>
    <xf numFmtId="0" fontId="1" fillId="10" borderId="169" xfId="0" applyFont="1" applyFill="1" applyBorder="1" applyAlignment="1">
      <alignment horizontal="center" wrapText="1"/>
    </xf>
    <xf numFmtId="0" fontId="38" fillId="0" borderId="0" xfId="0" applyFont="1" applyAlignment="1">
      <alignment horizontal="center"/>
    </xf>
    <xf numFmtId="0" fontId="38" fillId="0" borderId="28" xfId="0" applyFont="1" applyBorder="1" applyAlignment="1">
      <alignment horizontal="center"/>
    </xf>
    <xf numFmtId="0" fontId="1" fillId="10" borderId="170" xfId="0" applyFont="1" applyFill="1" applyBorder="1" applyAlignment="1">
      <alignment horizontal="center" wrapText="1"/>
    </xf>
    <xf numFmtId="0" fontId="1" fillId="10" borderId="0" xfId="0" applyFont="1" applyFill="1" applyAlignment="1">
      <alignment horizontal="center" wrapText="1"/>
    </xf>
    <xf numFmtId="0" fontId="1" fillId="10" borderId="171" xfId="0" applyFont="1" applyFill="1" applyBorder="1" applyAlignment="1">
      <alignment horizontal="center" wrapText="1"/>
    </xf>
    <xf numFmtId="0" fontId="0" fillId="2" borderId="0" xfId="0" applyFill="1" applyAlignment="1">
      <alignment horizontal="center"/>
    </xf>
    <xf numFmtId="0" fontId="0" fillId="31" borderId="0" xfId="0" applyFill="1" applyAlignment="1">
      <alignment horizontal="center"/>
    </xf>
    <xf numFmtId="0" fontId="0" fillId="35" borderId="0" xfId="0" applyFill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Normálna" xfId="0" builtinId="0"/>
  </cellStyles>
  <dxfs count="0"/>
  <tableStyles count="0" defaultTableStyle="TableStyleMedium2" defaultPivotStyle="PivotStyleLight16"/>
  <colors>
    <mruColors>
      <color rgb="FFFFA3A3"/>
      <color rgb="FFFF7979"/>
      <color rgb="FFFF0000"/>
      <color rgb="FFD7C1A9"/>
      <color rgb="FFF0C6BE"/>
      <color rgb="FFFBF7E1"/>
      <color rgb="FFFFFF99"/>
      <color rgb="FFDBC8E6"/>
      <color rgb="FFF8E8F3"/>
      <color rgb="FFF6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t1 Line Fit 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19050">
              <a:noFill/>
            </a:ln>
          </c:spPr>
          <c:xVal>
            <c:numLit>
              <c:formatCode>General</c:formatCode>
              <c:ptCount val="16"/>
              <c:pt idx="0">
                <c:v>-1</c:v>
              </c:pt>
              <c:pt idx="1">
                <c:v>-1</c:v>
              </c:pt>
              <c:pt idx="2">
                <c:v>-1</c:v>
              </c:pt>
              <c:pt idx="3">
                <c:v>-1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-1</c:v>
              </c:pt>
              <c:pt idx="9">
                <c:v>-1</c:v>
              </c:pt>
              <c:pt idx="10">
                <c:v>-1</c:v>
              </c:pt>
              <c:pt idx="11">
                <c:v>-1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</c:numLit>
          </c:xVal>
          <c:yVal>
            <c:numLit>
              <c:formatCode>General</c:formatCode>
              <c:ptCount val="16"/>
              <c:pt idx="0">
                <c:v>310.27</c:v>
              </c:pt>
              <c:pt idx="1">
                <c:v>362.05</c:v>
              </c:pt>
              <c:pt idx="2">
                <c:v>354.08</c:v>
              </c:pt>
              <c:pt idx="3">
                <c:v>423.94</c:v>
              </c:pt>
              <c:pt idx="4">
                <c:v>374.24</c:v>
              </c:pt>
              <c:pt idx="5">
                <c:v>450.52</c:v>
              </c:pt>
              <c:pt idx="6">
                <c:v>505.85</c:v>
              </c:pt>
              <c:pt idx="7">
                <c:v>599.87</c:v>
              </c:pt>
              <c:pt idx="8">
                <c:v>293.86</c:v>
              </c:pt>
              <c:pt idx="9">
                <c:v>357.95</c:v>
              </c:pt>
              <c:pt idx="10">
                <c:v>344.74</c:v>
              </c:pt>
              <c:pt idx="11">
                <c:v>428.77</c:v>
              </c:pt>
              <c:pt idx="12">
                <c:v>370.96</c:v>
              </c:pt>
              <c:pt idx="13">
                <c:v>451.06</c:v>
              </c:pt>
              <c:pt idx="14">
                <c:v>496.34</c:v>
              </c:pt>
              <c:pt idx="15">
                <c:v>602.73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D8CC-407B-AC8F-1015327A0A52}"/>
            </c:ext>
          </c:extLst>
        </c:ser>
        <c:ser>
          <c:idx val="1"/>
          <c:order val="1"/>
          <c:tx>
            <c:v>Predicted y</c:v>
          </c:tx>
          <c:spPr>
            <a:ln w="19050">
              <a:noFill/>
            </a:ln>
          </c:spPr>
          <c:xVal>
            <c:numLit>
              <c:formatCode>General</c:formatCode>
              <c:ptCount val="16"/>
              <c:pt idx="0">
                <c:v>-1</c:v>
              </c:pt>
              <c:pt idx="1">
                <c:v>-1</c:v>
              </c:pt>
              <c:pt idx="2">
                <c:v>-1</c:v>
              </c:pt>
              <c:pt idx="3">
                <c:v>-1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-1</c:v>
              </c:pt>
              <c:pt idx="9">
                <c:v>-1</c:v>
              </c:pt>
              <c:pt idx="10">
                <c:v>-1</c:v>
              </c:pt>
              <c:pt idx="11">
                <c:v>-1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</c:numLit>
          </c:xVal>
          <c:yVal>
            <c:numLit>
              <c:formatCode>General</c:formatCode>
              <c:ptCount val="16"/>
            </c:numLit>
          </c:yVal>
          <c:smooth val="0"/>
          <c:extLst>
            <c:ext xmlns:c16="http://schemas.microsoft.com/office/drawing/2014/chart" uri="{C3380CC4-5D6E-409C-BE32-E72D297353CC}">
              <c16:uniqueId val="{00000001-D8CC-407B-AC8F-1015327A0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477008"/>
        <c:axId val="392476528"/>
      </c:scatterChart>
      <c:valAx>
        <c:axId val="39247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t1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92476528"/>
        <c:crosses val="autoZero"/>
        <c:crossBetween val="midCat"/>
      </c:valAx>
      <c:valAx>
        <c:axId val="392476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924770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t2 Line Fit 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19050">
              <a:noFill/>
            </a:ln>
          </c:spPr>
          <c:xVal>
            <c:numLit>
              <c:formatCode>General</c:formatCode>
              <c:ptCount val="16"/>
              <c:pt idx="0">
                <c:v>-1</c:v>
              </c:pt>
              <c:pt idx="1">
                <c:v>-1</c:v>
              </c:pt>
              <c:pt idx="2">
                <c:v>1</c:v>
              </c:pt>
              <c:pt idx="3">
                <c:v>1</c:v>
              </c:pt>
              <c:pt idx="4">
                <c:v>-1</c:v>
              </c:pt>
              <c:pt idx="5">
                <c:v>-1</c:v>
              </c:pt>
              <c:pt idx="6">
                <c:v>1</c:v>
              </c:pt>
              <c:pt idx="7">
                <c:v>1</c:v>
              </c:pt>
              <c:pt idx="8">
                <c:v>-1</c:v>
              </c:pt>
              <c:pt idx="9">
                <c:v>-1</c:v>
              </c:pt>
              <c:pt idx="10">
                <c:v>1</c:v>
              </c:pt>
              <c:pt idx="11">
                <c:v>1</c:v>
              </c:pt>
              <c:pt idx="12">
                <c:v>-1</c:v>
              </c:pt>
              <c:pt idx="13">
                <c:v>-1</c:v>
              </c:pt>
              <c:pt idx="14">
                <c:v>1</c:v>
              </c:pt>
              <c:pt idx="15">
                <c:v>1</c:v>
              </c:pt>
            </c:numLit>
          </c:xVal>
          <c:yVal>
            <c:numLit>
              <c:formatCode>General</c:formatCode>
              <c:ptCount val="16"/>
              <c:pt idx="0">
                <c:v>310.27</c:v>
              </c:pt>
              <c:pt idx="1">
                <c:v>362.05</c:v>
              </c:pt>
              <c:pt idx="2">
                <c:v>354.08</c:v>
              </c:pt>
              <c:pt idx="3">
                <c:v>423.94</c:v>
              </c:pt>
              <c:pt idx="4">
                <c:v>374.24</c:v>
              </c:pt>
              <c:pt idx="5">
                <c:v>450.52</c:v>
              </c:pt>
              <c:pt idx="6">
                <c:v>505.85</c:v>
              </c:pt>
              <c:pt idx="7">
                <c:v>599.87</c:v>
              </c:pt>
              <c:pt idx="8">
                <c:v>293.86</c:v>
              </c:pt>
              <c:pt idx="9">
                <c:v>357.95</c:v>
              </c:pt>
              <c:pt idx="10">
                <c:v>344.74</c:v>
              </c:pt>
              <c:pt idx="11">
                <c:v>428.77</c:v>
              </c:pt>
              <c:pt idx="12">
                <c:v>370.96</c:v>
              </c:pt>
              <c:pt idx="13">
                <c:v>451.06</c:v>
              </c:pt>
              <c:pt idx="14">
                <c:v>496.34</c:v>
              </c:pt>
              <c:pt idx="15">
                <c:v>602.73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093B-4D46-9EBD-DFAA5CBA01BD}"/>
            </c:ext>
          </c:extLst>
        </c:ser>
        <c:ser>
          <c:idx val="1"/>
          <c:order val="1"/>
          <c:tx>
            <c:v>Predicted y</c:v>
          </c:tx>
          <c:spPr>
            <a:ln w="19050">
              <a:noFill/>
            </a:ln>
          </c:spPr>
          <c:xVal>
            <c:numLit>
              <c:formatCode>General</c:formatCode>
              <c:ptCount val="16"/>
              <c:pt idx="0">
                <c:v>-1</c:v>
              </c:pt>
              <c:pt idx="1">
                <c:v>-1</c:v>
              </c:pt>
              <c:pt idx="2">
                <c:v>1</c:v>
              </c:pt>
              <c:pt idx="3">
                <c:v>1</c:v>
              </c:pt>
              <c:pt idx="4">
                <c:v>-1</c:v>
              </c:pt>
              <c:pt idx="5">
                <c:v>-1</c:v>
              </c:pt>
              <c:pt idx="6">
                <c:v>1</c:v>
              </c:pt>
              <c:pt idx="7">
                <c:v>1</c:v>
              </c:pt>
              <c:pt idx="8">
                <c:v>-1</c:v>
              </c:pt>
              <c:pt idx="9">
                <c:v>-1</c:v>
              </c:pt>
              <c:pt idx="10">
                <c:v>1</c:v>
              </c:pt>
              <c:pt idx="11">
                <c:v>1</c:v>
              </c:pt>
              <c:pt idx="12">
                <c:v>-1</c:v>
              </c:pt>
              <c:pt idx="13">
                <c:v>-1</c:v>
              </c:pt>
              <c:pt idx="14">
                <c:v>1</c:v>
              </c:pt>
              <c:pt idx="15">
                <c:v>1</c:v>
              </c:pt>
            </c:numLit>
          </c:xVal>
          <c:yVal>
            <c:numLit>
              <c:formatCode>General</c:formatCode>
              <c:ptCount val="16"/>
            </c:numLit>
          </c:yVal>
          <c:smooth val="0"/>
          <c:extLst>
            <c:ext xmlns:c16="http://schemas.microsoft.com/office/drawing/2014/chart" uri="{C3380CC4-5D6E-409C-BE32-E72D297353CC}">
              <c16:uniqueId val="{00000001-093B-4D46-9EBD-DFAA5CBA0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6313328"/>
        <c:axId val="276320048"/>
      </c:scatterChart>
      <c:valAx>
        <c:axId val="27631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t2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6320048"/>
        <c:crosses val="autoZero"/>
        <c:crossBetween val="midCat"/>
      </c:valAx>
      <c:valAx>
        <c:axId val="2763200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63133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t3 Line Fit 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19050">
              <a:noFill/>
            </a:ln>
          </c:spPr>
          <c:xVal>
            <c:numLit>
              <c:formatCode>General</c:formatCode>
              <c:ptCount val="16"/>
              <c:pt idx="0">
                <c:v>-1</c:v>
              </c:pt>
              <c:pt idx="1">
                <c:v>1</c:v>
              </c:pt>
              <c:pt idx="2">
                <c:v>-1</c:v>
              </c:pt>
              <c:pt idx="3">
                <c:v>1</c:v>
              </c:pt>
              <c:pt idx="4">
                <c:v>-1</c:v>
              </c:pt>
              <c:pt idx="5">
                <c:v>1</c:v>
              </c:pt>
              <c:pt idx="6">
                <c:v>-1</c:v>
              </c:pt>
              <c:pt idx="7">
                <c:v>1</c:v>
              </c:pt>
              <c:pt idx="8">
                <c:v>-1</c:v>
              </c:pt>
              <c:pt idx="9">
                <c:v>1</c:v>
              </c:pt>
              <c:pt idx="10">
                <c:v>-1</c:v>
              </c:pt>
              <c:pt idx="11">
                <c:v>1</c:v>
              </c:pt>
              <c:pt idx="12">
                <c:v>-1</c:v>
              </c:pt>
              <c:pt idx="13">
                <c:v>1</c:v>
              </c:pt>
              <c:pt idx="14">
                <c:v>-1</c:v>
              </c:pt>
              <c:pt idx="15">
                <c:v>1</c:v>
              </c:pt>
            </c:numLit>
          </c:xVal>
          <c:yVal>
            <c:numLit>
              <c:formatCode>General</c:formatCode>
              <c:ptCount val="16"/>
              <c:pt idx="0">
                <c:v>310.27</c:v>
              </c:pt>
              <c:pt idx="1">
                <c:v>362.05</c:v>
              </c:pt>
              <c:pt idx="2">
                <c:v>354.08</c:v>
              </c:pt>
              <c:pt idx="3">
                <c:v>423.94</c:v>
              </c:pt>
              <c:pt idx="4">
                <c:v>374.24</c:v>
              </c:pt>
              <c:pt idx="5">
                <c:v>450.52</c:v>
              </c:pt>
              <c:pt idx="6">
                <c:v>505.85</c:v>
              </c:pt>
              <c:pt idx="7">
                <c:v>599.87</c:v>
              </c:pt>
              <c:pt idx="8">
                <c:v>293.86</c:v>
              </c:pt>
              <c:pt idx="9">
                <c:v>357.95</c:v>
              </c:pt>
              <c:pt idx="10">
                <c:v>344.74</c:v>
              </c:pt>
              <c:pt idx="11">
                <c:v>428.77</c:v>
              </c:pt>
              <c:pt idx="12">
                <c:v>370.96</c:v>
              </c:pt>
              <c:pt idx="13">
                <c:v>451.06</c:v>
              </c:pt>
              <c:pt idx="14">
                <c:v>496.34</c:v>
              </c:pt>
              <c:pt idx="15">
                <c:v>602.73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F0A7-4012-8274-881A0BE71664}"/>
            </c:ext>
          </c:extLst>
        </c:ser>
        <c:ser>
          <c:idx val="1"/>
          <c:order val="1"/>
          <c:tx>
            <c:v>Predicted y</c:v>
          </c:tx>
          <c:spPr>
            <a:ln w="19050">
              <a:noFill/>
            </a:ln>
          </c:spPr>
          <c:xVal>
            <c:numLit>
              <c:formatCode>General</c:formatCode>
              <c:ptCount val="16"/>
              <c:pt idx="0">
                <c:v>-1</c:v>
              </c:pt>
              <c:pt idx="1">
                <c:v>1</c:v>
              </c:pt>
              <c:pt idx="2">
                <c:v>-1</c:v>
              </c:pt>
              <c:pt idx="3">
                <c:v>1</c:v>
              </c:pt>
              <c:pt idx="4">
                <c:v>-1</c:v>
              </c:pt>
              <c:pt idx="5">
                <c:v>1</c:v>
              </c:pt>
              <c:pt idx="6">
                <c:v>-1</c:v>
              </c:pt>
              <c:pt idx="7">
                <c:v>1</c:v>
              </c:pt>
              <c:pt idx="8">
                <c:v>-1</c:v>
              </c:pt>
              <c:pt idx="9">
                <c:v>1</c:v>
              </c:pt>
              <c:pt idx="10">
                <c:v>-1</c:v>
              </c:pt>
              <c:pt idx="11">
                <c:v>1</c:v>
              </c:pt>
              <c:pt idx="12">
                <c:v>-1</c:v>
              </c:pt>
              <c:pt idx="13">
                <c:v>1</c:v>
              </c:pt>
              <c:pt idx="14">
                <c:v>-1</c:v>
              </c:pt>
              <c:pt idx="15">
                <c:v>1</c:v>
              </c:pt>
            </c:numLit>
          </c:xVal>
          <c:yVal>
            <c:numLit>
              <c:formatCode>General</c:formatCode>
              <c:ptCount val="16"/>
            </c:numLit>
          </c:yVal>
          <c:smooth val="0"/>
          <c:extLst>
            <c:ext xmlns:c16="http://schemas.microsoft.com/office/drawing/2014/chart" uri="{C3380CC4-5D6E-409C-BE32-E72D297353CC}">
              <c16:uniqueId val="{00000001-F0A7-4012-8274-881A0BE71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36880"/>
        <c:axId val="341455136"/>
      </c:scatterChart>
      <c:valAx>
        <c:axId val="6543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t3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41455136"/>
        <c:crosses val="autoZero"/>
        <c:crossBetween val="midCat"/>
      </c:valAx>
      <c:valAx>
        <c:axId val="341455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54368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t1*t2 Line Fit 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19050">
              <a:noFill/>
            </a:ln>
          </c:spPr>
          <c:xVal>
            <c:numLit>
              <c:formatCode>General</c:formatCode>
              <c:ptCount val="16"/>
              <c:pt idx="0">
                <c:v>1</c:v>
              </c:pt>
              <c:pt idx="1">
                <c:v>1</c:v>
              </c:pt>
              <c:pt idx="2">
                <c:v>-1</c:v>
              </c:pt>
              <c:pt idx="3">
                <c:v>-1</c:v>
              </c:pt>
              <c:pt idx="4">
                <c:v>-1</c:v>
              </c:pt>
              <c:pt idx="5">
                <c:v>-1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-1</c:v>
              </c:pt>
              <c:pt idx="11">
                <c:v>-1</c:v>
              </c:pt>
              <c:pt idx="12">
                <c:v>-1</c:v>
              </c:pt>
              <c:pt idx="13">
                <c:v>-1</c:v>
              </c:pt>
              <c:pt idx="14">
                <c:v>1</c:v>
              </c:pt>
              <c:pt idx="15">
                <c:v>1</c:v>
              </c:pt>
            </c:numLit>
          </c:xVal>
          <c:yVal>
            <c:numLit>
              <c:formatCode>General</c:formatCode>
              <c:ptCount val="16"/>
              <c:pt idx="0">
                <c:v>310.27</c:v>
              </c:pt>
              <c:pt idx="1">
                <c:v>362.05</c:v>
              </c:pt>
              <c:pt idx="2">
                <c:v>354.08</c:v>
              </c:pt>
              <c:pt idx="3">
                <c:v>423.94</c:v>
              </c:pt>
              <c:pt idx="4">
                <c:v>374.24</c:v>
              </c:pt>
              <c:pt idx="5">
                <c:v>450.52</c:v>
              </c:pt>
              <c:pt idx="6">
                <c:v>505.85</c:v>
              </c:pt>
              <c:pt idx="7">
                <c:v>599.87</c:v>
              </c:pt>
              <c:pt idx="8">
                <c:v>293.86</c:v>
              </c:pt>
              <c:pt idx="9">
                <c:v>357.95</c:v>
              </c:pt>
              <c:pt idx="10">
                <c:v>344.74</c:v>
              </c:pt>
              <c:pt idx="11">
                <c:v>428.77</c:v>
              </c:pt>
              <c:pt idx="12">
                <c:v>370.96</c:v>
              </c:pt>
              <c:pt idx="13">
                <c:v>451.06</c:v>
              </c:pt>
              <c:pt idx="14">
                <c:v>496.34</c:v>
              </c:pt>
              <c:pt idx="15">
                <c:v>602.73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5285-4CDF-A86C-E982651362DC}"/>
            </c:ext>
          </c:extLst>
        </c:ser>
        <c:ser>
          <c:idx val="1"/>
          <c:order val="1"/>
          <c:tx>
            <c:v>Predicted y</c:v>
          </c:tx>
          <c:spPr>
            <a:ln w="19050">
              <a:noFill/>
            </a:ln>
          </c:spPr>
          <c:xVal>
            <c:numLit>
              <c:formatCode>General</c:formatCode>
              <c:ptCount val="16"/>
              <c:pt idx="0">
                <c:v>1</c:v>
              </c:pt>
              <c:pt idx="1">
                <c:v>1</c:v>
              </c:pt>
              <c:pt idx="2">
                <c:v>-1</c:v>
              </c:pt>
              <c:pt idx="3">
                <c:v>-1</c:v>
              </c:pt>
              <c:pt idx="4">
                <c:v>-1</c:v>
              </c:pt>
              <c:pt idx="5">
                <c:v>-1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-1</c:v>
              </c:pt>
              <c:pt idx="11">
                <c:v>-1</c:v>
              </c:pt>
              <c:pt idx="12">
                <c:v>-1</c:v>
              </c:pt>
              <c:pt idx="13">
                <c:v>-1</c:v>
              </c:pt>
              <c:pt idx="14">
                <c:v>1</c:v>
              </c:pt>
              <c:pt idx="15">
                <c:v>1</c:v>
              </c:pt>
            </c:numLit>
          </c:xVal>
          <c:yVal>
            <c:numLit>
              <c:formatCode>General</c:formatCode>
              <c:ptCount val="16"/>
            </c:numLit>
          </c:yVal>
          <c:smooth val="0"/>
          <c:extLst>
            <c:ext xmlns:c16="http://schemas.microsoft.com/office/drawing/2014/chart" uri="{C3380CC4-5D6E-409C-BE32-E72D297353CC}">
              <c16:uniqueId val="{00000001-5285-4CDF-A86C-E98265136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454176"/>
        <c:axId val="341457056"/>
      </c:scatterChart>
      <c:valAx>
        <c:axId val="34145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t1*t2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41457056"/>
        <c:crosses val="autoZero"/>
        <c:crossBetween val="midCat"/>
      </c:valAx>
      <c:valAx>
        <c:axId val="3414570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414541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t1*t3 Line Fit 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19050">
              <a:noFill/>
            </a:ln>
          </c:spPr>
          <c:xVal>
            <c:numLit>
              <c:formatCode>General</c:formatCode>
              <c:ptCount val="16"/>
              <c:pt idx="0">
                <c:v>1</c:v>
              </c:pt>
              <c:pt idx="1">
                <c:v>-1</c:v>
              </c:pt>
              <c:pt idx="2">
                <c:v>1</c:v>
              </c:pt>
              <c:pt idx="3">
                <c:v>-1</c:v>
              </c:pt>
              <c:pt idx="4">
                <c:v>-1</c:v>
              </c:pt>
              <c:pt idx="5">
                <c:v>1</c:v>
              </c:pt>
              <c:pt idx="6">
                <c:v>-1</c:v>
              </c:pt>
              <c:pt idx="7">
                <c:v>1</c:v>
              </c:pt>
              <c:pt idx="8">
                <c:v>1</c:v>
              </c:pt>
              <c:pt idx="9">
                <c:v>-1</c:v>
              </c:pt>
              <c:pt idx="10">
                <c:v>1</c:v>
              </c:pt>
              <c:pt idx="11">
                <c:v>-1</c:v>
              </c:pt>
              <c:pt idx="12">
                <c:v>-1</c:v>
              </c:pt>
              <c:pt idx="13">
                <c:v>1</c:v>
              </c:pt>
              <c:pt idx="14">
                <c:v>-1</c:v>
              </c:pt>
              <c:pt idx="15">
                <c:v>1</c:v>
              </c:pt>
            </c:numLit>
          </c:xVal>
          <c:yVal>
            <c:numLit>
              <c:formatCode>General</c:formatCode>
              <c:ptCount val="16"/>
              <c:pt idx="0">
                <c:v>310.27</c:v>
              </c:pt>
              <c:pt idx="1">
                <c:v>362.05</c:v>
              </c:pt>
              <c:pt idx="2">
                <c:v>354.08</c:v>
              </c:pt>
              <c:pt idx="3">
                <c:v>423.94</c:v>
              </c:pt>
              <c:pt idx="4">
                <c:v>374.24</c:v>
              </c:pt>
              <c:pt idx="5">
                <c:v>450.52</c:v>
              </c:pt>
              <c:pt idx="6">
                <c:v>505.85</c:v>
              </c:pt>
              <c:pt idx="7">
                <c:v>599.87</c:v>
              </c:pt>
              <c:pt idx="8">
                <c:v>293.86</c:v>
              </c:pt>
              <c:pt idx="9">
                <c:v>357.95</c:v>
              </c:pt>
              <c:pt idx="10">
                <c:v>344.74</c:v>
              </c:pt>
              <c:pt idx="11">
                <c:v>428.77</c:v>
              </c:pt>
              <c:pt idx="12">
                <c:v>370.96</c:v>
              </c:pt>
              <c:pt idx="13">
                <c:v>451.06</c:v>
              </c:pt>
              <c:pt idx="14">
                <c:v>496.34</c:v>
              </c:pt>
              <c:pt idx="15">
                <c:v>602.73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3F8D-4A17-B52E-62524EBD8ACB}"/>
            </c:ext>
          </c:extLst>
        </c:ser>
        <c:ser>
          <c:idx val="1"/>
          <c:order val="1"/>
          <c:tx>
            <c:v>Predicted y</c:v>
          </c:tx>
          <c:spPr>
            <a:ln w="19050">
              <a:noFill/>
            </a:ln>
          </c:spPr>
          <c:xVal>
            <c:numLit>
              <c:formatCode>General</c:formatCode>
              <c:ptCount val="16"/>
              <c:pt idx="0">
                <c:v>1</c:v>
              </c:pt>
              <c:pt idx="1">
                <c:v>-1</c:v>
              </c:pt>
              <c:pt idx="2">
                <c:v>1</c:v>
              </c:pt>
              <c:pt idx="3">
                <c:v>-1</c:v>
              </c:pt>
              <c:pt idx="4">
                <c:v>-1</c:v>
              </c:pt>
              <c:pt idx="5">
                <c:v>1</c:v>
              </c:pt>
              <c:pt idx="6">
                <c:v>-1</c:v>
              </c:pt>
              <c:pt idx="7">
                <c:v>1</c:v>
              </c:pt>
              <c:pt idx="8">
                <c:v>1</c:v>
              </c:pt>
              <c:pt idx="9">
                <c:v>-1</c:v>
              </c:pt>
              <c:pt idx="10">
                <c:v>1</c:v>
              </c:pt>
              <c:pt idx="11">
                <c:v>-1</c:v>
              </c:pt>
              <c:pt idx="12">
                <c:v>-1</c:v>
              </c:pt>
              <c:pt idx="13">
                <c:v>1</c:v>
              </c:pt>
              <c:pt idx="14">
                <c:v>-1</c:v>
              </c:pt>
              <c:pt idx="15">
                <c:v>1</c:v>
              </c:pt>
            </c:numLit>
          </c:xVal>
          <c:yVal>
            <c:numLit>
              <c:formatCode>General</c:formatCode>
              <c:ptCount val="16"/>
            </c:numLit>
          </c:yVal>
          <c:smooth val="0"/>
          <c:extLst>
            <c:ext xmlns:c16="http://schemas.microsoft.com/office/drawing/2014/chart" uri="{C3380CC4-5D6E-409C-BE32-E72D297353CC}">
              <c16:uniqueId val="{00000001-3F8D-4A17-B52E-62524EBD8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36880"/>
        <c:axId val="423718880"/>
      </c:scatterChart>
      <c:valAx>
        <c:axId val="6543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t1*t3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23718880"/>
        <c:crosses val="autoZero"/>
        <c:crossBetween val="midCat"/>
      </c:valAx>
      <c:valAx>
        <c:axId val="423718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54368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t2*t3 Line Fit 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19050">
              <a:noFill/>
            </a:ln>
          </c:spPr>
          <c:xVal>
            <c:numLit>
              <c:formatCode>General</c:formatCode>
              <c:ptCount val="16"/>
              <c:pt idx="0">
                <c:v>1</c:v>
              </c:pt>
              <c:pt idx="1">
                <c:v>-1</c:v>
              </c:pt>
              <c:pt idx="2">
                <c:v>-1</c:v>
              </c:pt>
              <c:pt idx="3">
                <c:v>1</c:v>
              </c:pt>
              <c:pt idx="4">
                <c:v>1</c:v>
              </c:pt>
              <c:pt idx="5">
                <c:v>-1</c:v>
              </c:pt>
              <c:pt idx="6">
                <c:v>-1</c:v>
              </c:pt>
              <c:pt idx="7">
                <c:v>1</c:v>
              </c:pt>
              <c:pt idx="8">
                <c:v>1</c:v>
              </c:pt>
              <c:pt idx="9">
                <c:v>-1</c:v>
              </c:pt>
              <c:pt idx="10">
                <c:v>-1</c:v>
              </c:pt>
              <c:pt idx="11">
                <c:v>1</c:v>
              </c:pt>
              <c:pt idx="12">
                <c:v>1</c:v>
              </c:pt>
              <c:pt idx="13">
                <c:v>-1</c:v>
              </c:pt>
              <c:pt idx="14">
                <c:v>-1</c:v>
              </c:pt>
              <c:pt idx="15">
                <c:v>1</c:v>
              </c:pt>
            </c:numLit>
          </c:xVal>
          <c:yVal>
            <c:numLit>
              <c:formatCode>General</c:formatCode>
              <c:ptCount val="16"/>
              <c:pt idx="0">
                <c:v>310.27</c:v>
              </c:pt>
              <c:pt idx="1">
                <c:v>362.05</c:v>
              </c:pt>
              <c:pt idx="2">
                <c:v>354.08</c:v>
              </c:pt>
              <c:pt idx="3">
                <c:v>423.94</c:v>
              </c:pt>
              <c:pt idx="4">
                <c:v>374.24</c:v>
              </c:pt>
              <c:pt idx="5">
                <c:v>450.52</c:v>
              </c:pt>
              <c:pt idx="6">
                <c:v>505.85</c:v>
              </c:pt>
              <c:pt idx="7">
                <c:v>599.87</c:v>
              </c:pt>
              <c:pt idx="8">
                <c:v>293.86</c:v>
              </c:pt>
              <c:pt idx="9">
                <c:v>357.95</c:v>
              </c:pt>
              <c:pt idx="10">
                <c:v>344.74</c:v>
              </c:pt>
              <c:pt idx="11">
                <c:v>428.77</c:v>
              </c:pt>
              <c:pt idx="12">
                <c:v>370.96</c:v>
              </c:pt>
              <c:pt idx="13">
                <c:v>451.06</c:v>
              </c:pt>
              <c:pt idx="14">
                <c:v>496.34</c:v>
              </c:pt>
              <c:pt idx="15">
                <c:v>602.73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F3A8-4667-BCC3-D5A27E868D6D}"/>
            </c:ext>
          </c:extLst>
        </c:ser>
        <c:ser>
          <c:idx val="1"/>
          <c:order val="1"/>
          <c:tx>
            <c:v>Predicted y</c:v>
          </c:tx>
          <c:spPr>
            <a:ln w="19050">
              <a:noFill/>
            </a:ln>
          </c:spPr>
          <c:xVal>
            <c:numLit>
              <c:formatCode>General</c:formatCode>
              <c:ptCount val="16"/>
              <c:pt idx="0">
                <c:v>1</c:v>
              </c:pt>
              <c:pt idx="1">
                <c:v>-1</c:v>
              </c:pt>
              <c:pt idx="2">
                <c:v>-1</c:v>
              </c:pt>
              <c:pt idx="3">
                <c:v>1</c:v>
              </c:pt>
              <c:pt idx="4">
                <c:v>1</c:v>
              </c:pt>
              <c:pt idx="5">
                <c:v>-1</c:v>
              </c:pt>
              <c:pt idx="6">
                <c:v>-1</c:v>
              </c:pt>
              <c:pt idx="7">
                <c:v>1</c:v>
              </c:pt>
              <c:pt idx="8">
                <c:v>1</c:v>
              </c:pt>
              <c:pt idx="9">
                <c:v>-1</c:v>
              </c:pt>
              <c:pt idx="10">
                <c:v>-1</c:v>
              </c:pt>
              <c:pt idx="11">
                <c:v>1</c:v>
              </c:pt>
              <c:pt idx="12">
                <c:v>1</c:v>
              </c:pt>
              <c:pt idx="13">
                <c:v>-1</c:v>
              </c:pt>
              <c:pt idx="14">
                <c:v>-1</c:v>
              </c:pt>
              <c:pt idx="15">
                <c:v>1</c:v>
              </c:pt>
            </c:numLit>
          </c:xVal>
          <c:yVal>
            <c:numLit>
              <c:formatCode>General</c:formatCode>
              <c:ptCount val="16"/>
            </c:numLit>
          </c:yVal>
          <c:smooth val="0"/>
          <c:extLst>
            <c:ext xmlns:c16="http://schemas.microsoft.com/office/drawing/2014/chart" uri="{C3380CC4-5D6E-409C-BE32-E72D297353CC}">
              <c16:uniqueId val="{00000001-F3A8-4667-BCC3-D5A27E868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386096"/>
        <c:axId val="202392336"/>
      </c:scatterChart>
      <c:valAx>
        <c:axId val="20238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t2*t3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2392336"/>
        <c:crosses val="autoZero"/>
        <c:crossBetween val="midCat"/>
      </c:valAx>
      <c:valAx>
        <c:axId val="2023923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23860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Hlavný</a:t>
            </a:r>
            <a:r>
              <a:rPr lang="sk-SK" baseline="0"/>
              <a:t> efekt fakora - uhol uvoľnenia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359.45749999999992</c:v>
              </c:pt>
              <c:pt idx="1">
                <c:v>481.44625000000002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5E24-4AB5-AB94-6A7BD85D0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194112"/>
        <c:axId val="350197952"/>
      </c:scatterChart>
      <c:valAx>
        <c:axId val="35019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A_uhol</a:t>
                </a:r>
                <a:r>
                  <a:rPr lang="sk-SK" baseline="0"/>
                  <a:t> uvoľnenia</a:t>
                </a:r>
                <a:endParaRPr lang="sk-SK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50197952"/>
        <c:crosses val="autoZero"/>
        <c:crossBetween val="midCat"/>
      </c:valAx>
      <c:valAx>
        <c:axId val="35019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50194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Hlavný</a:t>
            </a:r>
            <a:r>
              <a:rPr lang="sk-SK" baseline="0"/>
              <a:t> efekt faktora - uhol streľby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371.36374999999998</c:v>
              </c:pt>
              <c:pt idx="1">
                <c:v>469.53999999999996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8EC3-40C2-ABF8-046BCC5E9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6320048"/>
        <c:axId val="276316688"/>
      </c:scatterChart>
      <c:valAx>
        <c:axId val="276320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B_uhol</a:t>
                </a:r>
                <a:r>
                  <a:rPr lang="sk-SK" baseline="0"/>
                  <a:t> streľby</a:t>
                </a:r>
                <a:endParaRPr lang="sk-SK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76316688"/>
        <c:crosses val="autoZero"/>
        <c:crossBetween val="midCat"/>
      </c:valAx>
      <c:valAx>
        <c:axId val="27631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76320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Hlavný</a:t>
            </a:r>
            <a:r>
              <a:rPr lang="sk-SK" baseline="0"/>
              <a:t> efekt faktora - výška misky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381.29250000000002</c:v>
              </c:pt>
              <c:pt idx="1">
                <c:v>459.61124999999998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D2F-4031-8695-2BE0C0DC7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255536"/>
        <c:axId val="491249776"/>
      </c:scatterChart>
      <c:valAx>
        <c:axId val="491255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C_výška</a:t>
                </a:r>
                <a:r>
                  <a:rPr lang="sk-SK" baseline="0"/>
                  <a:t> misky</a:t>
                </a:r>
                <a:endParaRPr lang="sk-SK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91249776"/>
        <c:crosses val="autoZero"/>
        <c:crossBetween val="midCat"/>
      </c:valAx>
      <c:valAx>
        <c:axId val="49124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91255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" Type="http://schemas.openxmlformats.org/officeDocument/2006/relationships/image" Target="../media/image20.png"/><Relationship Id="rId16" Type="http://schemas.openxmlformats.org/officeDocument/2006/relationships/image" Target="../media/image34.png"/><Relationship Id="rId20" Type="http://schemas.openxmlformats.org/officeDocument/2006/relationships/image" Target="../media/image37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5" Type="http://schemas.openxmlformats.org/officeDocument/2006/relationships/image" Target="../media/image33.png"/><Relationship Id="rId10" Type="http://schemas.openxmlformats.org/officeDocument/2006/relationships/image" Target="../media/image28.png"/><Relationship Id="rId19" Type="http://schemas.openxmlformats.org/officeDocument/2006/relationships/image" Target="../media/image1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chart" Target="../charts/chart8.xml"/><Relationship Id="rId7" Type="http://schemas.openxmlformats.org/officeDocument/2006/relationships/image" Target="../media/image10.png"/><Relationship Id="rId2" Type="http://schemas.openxmlformats.org/officeDocument/2006/relationships/chart" Target="../charts/chart7.xml"/><Relationship Id="rId1" Type="http://schemas.openxmlformats.org/officeDocument/2006/relationships/image" Target="../media/image7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chart" Target="../charts/chart9.xml"/><Relationship Id="rId9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400051</xdr:colOff>
      <xdr:row>0</xdr:row>
      <xdr:rowOff>19049</xdr:rowOff>
    </xdr:from>
    <xdr:to>
      <xdr:col>12</xdr:col>
      <xdr:colOff>542925</xdr:colOff>
      <xdr:row>0</xdr:row>
      <xdr:rowOff>581024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1AB5200B-AB80-8AB7-1A7A-37B1511513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22" t="6409" r="2700" b="15070"/>
        <a:stretch/>
      </xdr:blipFill>
      <xdr:spPr bwMode="auto">
        <a:xfrm>
          <a:off x="4667251" y="19049"/>
          <a:ext cx="3190874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9526</xdr:colOff>
      <xdr:row>19</xdr:row>
      <xdr:rowOff>9525</xdr:rowOff>
    </xdr:from>
    <xdr:to>
      <xdr:col>10</xdr:col>
      <xdr:colOff>158878</xdr:colOff>
      <xdr:row>37</xdr:row>
      <xdr:rowOff>91821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B2135F30-3DD8-2185-B098-919A87C4B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6" y="4429125"/>
          <a:ext cx="6245352" cy="3511296"/>
        </a:xfrm>
        <a:prstGeom prst="rect">
          <a:avLst/>
        </a:prstGeom>
      </xdr:spPr>
    </xdr:pic>
    <xdr:clientData/>
  </xdr:twoCellAnchor>
  <xdr:twoCellAnchor>
    <xdr:from>
      <xdr:col>9</xdr:col>
      <xdr:colOff>466726</xdr:colOff>
      <xdr:row>19</xdr:row>
      <xdr:rowOff>9525</xdr:rowOff>
    </xdr:from>
    <xdr:to>
      <xdr:col>20</xdr:col>
      <xdr:colOff>6478</xdr:colOff>
      <xdr:row>37</xdr:row>
      <xdr:rowOff>91821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356CE343-82DE-0B3C-707E-67B0B426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3126" y="4429125"/>
          <a:ext cx="6245352" cy="351129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1</xdr:row>
      <xdr:rowOff>57150</xdr:rowOff>
    </xdr:from>
    <xdr:to>
      <xdr:col>6</xdr:col>
      <xdr:colOff>20320</xdr:colOff>
      <xdr:row>15</xdr:row>
      <xdr:rowOff>71755</xdr:rowOff>
    </xdr:to>
    <xdr:pic>
      <xdr:nvPicPr>
        <xdr:cNvPr id="2" name="Obrázok 1" descr="Obrázok, na ktorom je text, snímka obrazovky, písmo, číslo&#10;&#10;Obsah vygenerovaný pomocou AI môže byť nesprávny.">
          <a:extLst>
            <a:ext uri="{FF2B5EF4-FFF2-40B4-BE49-F238E27FC236}">
              <a16:creationId xmlns:a16="http://schemas.microsoft.com/office/drawing/2014/main" id="{33F99A8A-A792-2B60-3EF0-E78345435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47650"/>
          <a:ext cx="2887345" cy="268160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17</xdr:row>
      <xdr:rowOff>57151</xdr:rowOff>
    </xdr:from>
    <xdr:to>
      <xdr:col>9</xdr:col>
      <xdr:colOff>502920</xdr:colOff>
      <xdr:row>42</xdr:row>
      <xdr:rowOff>95251</xdr:rowOff>
    </xdr:to>
    <xdr:pic>
      <xdr:nvPicPr>
        <xdr:cNvPr id="3" name="Obrázok 2" descr="Obrázok, na ktorom je text, číslo, snímka obrazovky, písmo&#10;&#10;Obsah vygenerovaný pomocou AI môže byť nesprávny.">
          <a:extLst>
            <a:ext uri="{FF2B5EF4-FFF2-40B4-BE49-F238E27FC236}">
              <a16:creationId xmlns:a16="http://schemas.microsoft.com/office/drawing/2014/main" id="{83047643-D737-8B66-BE08-81BE0454D5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55"/>
        <a:stretch/>
      </xdr:blipFill>
      <xdr:spPr>
        <a:xfrm>
          <a:off x="228600" y="3295651"/>
          <a:ext cx="5760720" cy="480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44</xdr:row>
      <xdr:rowOff>57150</xdr:rowOff>
    </xdr:from>
    <xdr:to>
      <xdr:col>9</xdr:col>
      <xdr:colOff>416000</xdr:colOff>
      <xdr:row>67</xdr:row>
      <xdr:rowOff>133350</xdr:rowOff>
    </xdr:to>
    <xdr:pic>
      <xdr:nvPicPr>
        <xdr:cNvPr id="4" name="Obrázok 3" descr="Obrázok, na ktorom je text, snímka obrazovky, diagram, číslo&#10;&#10;Obsah vygenerovaný pomocou AI môže byť nesprávny.">
          <a:extLst>
            <a:ext uri="{FF2B5EF4-FFF2-40B4-BE49-F238E27FC236}">
              <a16:creationId xmlns:a16="http://schemas.microsoft.com/office/drawing/2014/main" id="{7136948B-0BE5-FF72-F95A-61742B14B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439150"/>
          <a:ext cx="5711900" cy="445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69</xdr:row>
      <xdr:rowOff>47626</xdr:rowOff>
    </xdr:from>
    <xdr:to>
      <xdr:col>9</xdr:col>
      <xdr:colOff>464820</xdr:colOff>
      <xdr:row>83</xdr:row>
      <xdr:rowOff>104776</xdr:rowOff>
    </xdr:to>
    <xdr:pic>
      <xdr:nvPicPr>
        <xdr:cNvPr id="5" name="Obrázok 4" descr="Obrázok, na ktorom je text, snímka obrazovky, číslo, písmo&#10;&#10;Obsah vygenerovaný pomocou AI môže byť nesprávny.">
          <a:extLst>
            <a:ext uri="{FF2B5EF4-FFF2-40B4-BE49-F238E27FC236}">
              <a16:creationId xmlns:a16="http://schemas.microsoft.com/office/drawing/2014/main" id="{555F0F63-E006-8F62-805B-3186AB76D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43"/>
        <a:stretch/>
      </xdr:blipFill>
      <xdr:spPr>
        <a:xfrm>
          <a:off x="190500" y="13192126"/>
          <a:ext cx="5760720" cy="27241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84</xdr:row>
      <xdr:rowOff>19050</xdr:rowOff>
    </xdr:from>
    <xdr:to>
      <xdr:col>9</xdr:col>
      <xdr:colOff>407670</xdr:colOff>
      <xdr:row>103</xdr:row>
      <xdr:rowOff>41275</xdr:rowOff>
    </xdr:to>
    <xdr:pic>
      <xdr:nvPicPr>
        <xdr:cNvPr id="6" name="Obrázok 5" descr="Obrázok, na ktorom je text, snímka obrazovky, písmo, číslo&#10;&#10;Obsah vygenerovaný pomocou AI môže byť nesprávny.">
          <a:extLst>
            <a:ext uri="{FF2B5EF4-FFF2-40B4-BE49-F238E27FC236}">
              <a16:creationId xmlns:a16="http://schemas.microsoft.com/office/drawing/2014/main" id="{0D3B280C-E6C0-8CE7-4DFE-D026008A0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350" y="16021050"/>
          <a:ext cx="5760720" cy="36417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103</xdr:row>
      <xdr:rowOff>123825</xdr:rowOff>
    </xdr:from>
    <xdr:to>
      <xdr:col>9</xdr:col>
      <xdr:colOff>388620</xdr:colOff>
      <xdr:row>121</xdr:row>
      <xdr:rowOff>109220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60F08001-68F5-4402-48B0-D72226F95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19745325"/>
          <a:ext cx="5760720" cy="341439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122</xdr:row>
      <xdr:rowOff>19050</xdr:rowOff>
    </xdr:from>
    <xdr:to>
      <xdr:col>9</xdr:col>
      <xdr:colOff>417195</xdr:colOff>
      <xdr:row>139</xdr:row>
      <xdr:rowOff>109220</xdr:rowOff>
    </xdr:to>
    <xdr:pic>
      <xdr:nvPicPr>
        <xdr:cNvPr id="8" name="Obrázok 7" descr="Obrázok, na ktorom je text, snímka obrazovky, softvér, webová stránka&#10;&#10;Obsah vygenerovaný pomocou AI môže byť nesprávny.">
          <a:extLst>
            <a:ext uri="{FF2B5EF4-FFF2-40B4-BE49-F238E27FC236}">
              <a16:creationId xmlns:a16="http://schemas.microsoft.com/office/drawing/2014/main" id="{2C5983DD-62EF-693C-B638-F580974F8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2875" y="23260050"/>
          <a:ext cx="5760720" cy="332867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140</xdr:row>
      <xdr:rowOff>0</xdr:rowOff>
    </xdr:from>
    <xdr:to>
      <xdr:col>9</xdr:col>
      <xdr:colOff>417195</xdr:colOff>
      <xdr:row>161</xdr:row>
      <xdr:rowOff>175895</xdr:rowOff>
    </xdr:to>
    <xdr:pic>
      <xdr:nvPicPr>
        <xdr:cNvPr id="9" name="Obrázok 8" descr="Obrázok, na ktorom je text, snímka obrazovky, číslo, písmo&#10;&#10;Obsah vygenerovaný pomocou AI môže byť nesprávny.">
          <a:extLst>
            <a:ext uri="{FF2B5EF4-FFF2-40B4-BE49-F238E27FC236}">
              <a16:creationId xmlns:a16="http://schemas.microsoft.com/office/drawing/2014/main" id="{3ADCFE65-602F-BB41-4D19-5D1890FCD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2875" y="26670000"/>
          <a:ext cx="5760720" cy="417639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162</xdr:row>
      <xdr:rowOff>85725</xdr:rowOff>
    </xdr:from>
    <xdr:to>
      <xdr:col>9</xdr:col>
      <xdr:colOff>417195</xdr:colOff>
      <xdr:row>185</xdr:row>
      <xdr:rowOff>5715</xdr:rowOff>
    </xdr:to>
    <xdr:pic>
      <xdr:nvPicPr>
        <xdr:cNvPr id="10" name="Obrázok 9" descr="Obrázok, na ktorom je text, snímka obrazovky, diagram, číslo&#10;&#10;Obsah vygenerovaný pomocou AI môže byť nesprávny.">
          <a:extLst>
            <a:ext uri="{FF2B5EF4-FFF2-40B4-BE49-F238E27FC236}">
              <a16:creationId xmlns:a16="http://schemas.microsoft.com/office/drawing/2014/main" id="{0B651712-8874-1272-7D41-6FE1B1BA5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2875" y="30946725"/>
          <a:ext cx="5760720" cy="430149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184</xdr:row>
      <xdr:rowOff>180975</xdr:rowOff>
    </xdr:from>
    <xdr:to>
      <xdr:col>9</xdr:col>
      <xdr:colOff>436245</xdr:colOff>
      <xdr:row>207</xdr:row>
      <xdr:rowOff>152400</xdr:rowOff>
    </xdr:to>
    <xdr:pic>
      <xdr:nvPicPr>
        <xdr:cNvPr id="11" name="Obrázok 10" descr="Obrázok, na ktorom je text, diagram, snímka obrazovky, písmo&#10;&#10;Obsah vygenerovaný pomocou AI môže byť nesprávny.">
          <a:extLst>
            <a:ext uri="{FF2B5EF4-FFF2-40B4-BE49-F238E27FC236}">
              <a16:creationId xmlns:a16="http://schemas.microsoft.com/office/drawing/2014/main" id="{E63F54DE-EEE5-A734-DAAF-CBB10E2E9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1925" y="35232975"/>
          <a:ext cx="5760720" cy="43529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209</xdr:row>
      <xdr:rowOff>76200</xdr:rowOff>
    </xdr:from>
    <xdr:to>
      <xdr:col>9</xdr:col>
      <xdr:colOff>455295</xdr:colOff>
      <xdr:row>237</xdr:row>
      <xdr:rowOff>43815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48A65CD2-F54F-2BA6-DDF1-398309239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0975" y="39890700"/>
          <a:ext cx="5760720" cy="5301615"/>
        </a:xfrm>
        <a:prstGeom prst="rect">
          <a:avLst/>
        </a:prstGeom>
      </xdr:spPr>
    </xdr:pic>
    <xdr:clientData/>
  </xdr:twoCellAnchor>
  <xdr:twoCellAnchor editAs="oneCell">
    <xdr:from>
      <xdr:col>0</xdr:col>
      <xdr:colOff>206829</xdr:colOff>
      <xdr:row>237</xdr:row>
      <xdr:rowOff>27214</xdr:rowOff>
    </xdr:from>
    <xdr:to>
      <xdr:col>9</xdr:col>
      <xdr:colOff>484369</xdr:colOff>
      <xdr:row>263</xdr:row>
      <xdr:rowOff>18499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C3FB5309-8CC0-4663-042E-866267AC6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6829" y="45175714"/>
          <a:ext cx="5788433" cy="494428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263</xdr:row>
      <xdr:rowOff>68035</xdr:rowOff>
    </xdr:from>
    <xdr:to>
      <xdr:col>9</xdr:col>
      <xdr:colOff>440327</xdr:colOff>
      <xdr:row>276</xdr:row>
      <xdr:rowOff>151220</xdr:rowOff>
    </xdr:to>
    <xdr:pic>
      <xdr:nvPicPr>
        <xdr:cNvPr id="15" name="Obrázok 14" descr="Obrázok, na ktorom je text, snímka obrazovky, diagram, rad&#10;&#10;Obsah vygenerovaný pomocou AI môže byť nesprávny.">
          <a:extLst>
            <a:ext uri="{FF2B5EF4-FFF2-40B4-BE49-F238E27FC236}">
              <a16:creationId xmlns:a16="http://schemas.microsoft.com/office/drawing/2014/main" id="{B791C638-7326-039E-B3CD-46F113F1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0" y="50169535"/>
          <a:ext cx="5760720" cy="255968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277</xdr:row>
      <xdr:rowOff>54429</xdr:rowOff>
    </xdr:from>
    <xdr:to>
      <xdr:col>9</xdr:col>
      <xdr:colOff>413113</xdr:colOff>
      <xdr:row>299</xdr:row>
      <xdr:rowOff>52524</xdr:rowOff>
    </xdr:to>
    <xdr:pic>
      <xdr:nvPicPr>
        <xdr:cNvPr id="16" name="Obrázok 15" descr="Obrázok, na ktorom je text, diagram, snímka obrazovky, rad&#10;&#10;Obsah vygenerovaný pomocou AI môže byť nesprávny.">
          <a:extLst>
            <a:ext uri="{FF2B5EF4-FFF2-40B4-BE49-F238E27FC236}">
              <a16:creationId xmlns:a16="http://schemas.microsoft.com/office/drawing/2014/main" id="{512E83BE-4F17-654F-2319-758EDAA51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3286" y="52822929"/>
          <a:ext cx="5760720" cy="418909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301</xdr:row>
      <xdr:rowOff>81643</xdr:rowOff>
    </xdr:from>
    <xdr:to>
      <xdr:col>8</xdr:col>
      <xdr:colOff>320494</xdr:colOff>
      <xdr:row>321</xdr:row>
      <xdr:rowOff>9253</xdr:rowOff>
    </xdr:to>
    <xdr:pic>
      <xdr:nvPicPr>
        <xdr:cNvPr id="17" name="Obrázok 16" descr="Obrázok, na ktorom je snímka obrazovky, text, diagram, dizajn&#10;&#10;Obsah vygenerovaný pomocou AI môže byť nesprávny.">
          <a:extLst>
            <a:ext uri="{FF2B5EF4-FFF2-40B4-BE49-F238E27FC236}">
              <a16:creationId xmlns:a16="http://schemas.microsoft.com/office/drawing/2014/main" id="{77D37762-D46D-451A-96AA-1E5212813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7422143"/>
          <a:ext cx="4838065" cy="3737610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323</xdr:row>
      <xdr:rowOff>122464</xdr:rowOff>
    </xdr:from>
    <xdr:to>
      <xdr:col>8</xdr:col>
      <xdr:colOff>297271</xdr:colOff>
      <xdr:row>342</xdr:row>
      <xdr:rowOff>84364</xdr:rowOff>
    </xdr:to>
    <xdr:pic>
      <xdr:nvPicPr>
        <xdr:cNvPr id="18" name="Obrázok 17" descr="Obrázok, na ktorom je text, snímka obrazovky, softvér, číslo&#10;&#10;Obsah vygenerovaný pomocou AI môže byť nesprávny.">
          <a:extLst>
            <a:ext uri="{FF2B5EF4-FFF2-40B4-BE49-F238E27FC236}">
              <a16:creationId xmlns:a16="http://schemas.microsoft.com/office/drawing/2014/main" id="{44C73D2E-F363-4796-9B41-FD18FE90C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61653964"/>
          <a:ext cx="4801235" cy="3581400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344</xdr:row>
      <xdr:rowOff>54428</xdr:rowOff>
    </xdr:from>
    <xdr:to>
      <xdr:col>8</xdr:col>
      <xdr:colOff>335915</xdr:colOff>
      <xdr:row>363</xdr:row>
      <xdr:rowOff>127453</xdr:rowOff>
    </xdr:to>
    <xdr:pic>
      <xdr:nvPicPr>
        <xdr:cNvPr id="19" name="Obrázok 18" descr="Obrázok, na ktorom je text, snímka obrazovky, písmo, číslo&#10;&#10;Obsah vygenerovaný pomocou AI môže byť nesprávny.">
          <a:extLst>
            <a:ext uri="{FF2B5EF4-FFF2-40B4-BE49-F238E27FC236}">
              <a16:creationId xmlns:a16="http://schemas.microsoft.com/office/drawing/2014/main" id="{974E8967-B460-AB74-B834-2A125075F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" y="65586428"/>
          <a:ext cx="4907915" cy="3692525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365</xdr:row>
      <xdr:rowOff>68035</xdr:rowOff>
    </xdr:from>
    <xdr:to>
      <xdr:col>9</xdr:col>
      <xdr:colOff>317863</xdr:colOff>
      <xdr:row>392</xdr:row>
      <xdr:rowOff>10250</xdr:rowOff>
    </xdr:to>
    <xdr:pic>
      <xdr:nvPicPr>
        <xdr:cNvPr id="20" name="Obrázok 19" descr="Obrázok, na ktorom je text, snímka obrazovky, číslo, písmo&#10;&#10;Obsah vygenerovaný pomocou AI môže byť nesprávny.">
          <a:extLst>
            <a:ext uri="{FF2B5EF4-FFF2-40B4-BE49-F238E27FC236}">
              <a16:creationId xmlns:a16="http://schemas.microsoft.com/office/drawing/2014/main" id="{D005E66F-C035-7F2E-0D6C-6D0A893C1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036" y="69600535"/>
          <a:ext cx="5760720" cy="5085715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176892</xdr:colOff>
      <xdr:row>392</xdr:row>
      <xdr:rowOff>81643</xdr:rowOff>
    </xdr:from>
    <xdr:to>
      <xdr:col>9</xdr:col>
      <xdr:colOff>426719</xdr:colOff>
      <xdr:row>411</xdr:row>
      <xdr:rowOff>167368</xdr:rowOff>
    </xdr:to>
    <xdr:pic>
      <xdr:nvPicPr>
        <xdr:cNvPr id="21" name="Obrázok 20" descr="Obrázok, na ktorom je text, snímka obrazovky, písmo, číslo&#10;&#10;Obsah vygenerovaný pomocou AI môže byť nesprávny.">
          <a:extLst>
            <a:ext uri="{FF2B5EF4-FFF2-40B4-BE49-F238E27FC236}">
              <a16:creationId xmlns:a16="http://schemas.microsoft.com/office/drawing/2014/main" id="{E757FEF2-7AB8-4BDD-4872-E3D0791B5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6892" y="74757643"/>
          <a:ext cx="5760720" cy="3705225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412</xdr:row>
      <xdr:rowOff>40821</xdr:rowOff>
    </xdr:from>
    <xdr:to>
      <xdr:col>9</xdr:col>
      <xdr:colOff>481148</xdr:colOff>
      <xdr:row>434</xdr:row>
      <xdr:rowOff>8436</xdr:rowOff>
    </xdr:to>
    <xdr:pic>
      <xdr:nvPicPr>
        <xdr:cNvPr id="22" name="Obrázok 21" descr="Obrázok, na ktorom je text, snímka obrazovky, rad, diagram&#10;&#10;Obsah vygenerovaný pomocou AI môže byť nesprávny.">
          <a:extLst>
            <a:ext uri="{FF2B5EF4-FFF2-40B4-BE49-F238E27FC236}">
              <a16:creationId xmlns:a16="http://schemas.microsoft.com/office/drawing/2014/main" id="{EE401FE9-FD1C-0BFD-55E2-FD1E4894A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1321" y="78526821"/>
          <a:ext cx="5760720" cy="41586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723900</xdr:colOff>
      <xdr:row>26</xdr:row>
      <xdr:rowOff>142875</xdr:rowOff>
    </xdr:from>
    <xdr:to>
      <xdr:col>4</xdr:col>
      <xdr:colOff>724510</xdr:colOff>
      <xdr:row>35</xdr:row>
      <xdr:rowOff>66375</xdr:rowOff>
    </xdr:to>
    <xdr:cxnSp macro="">
      <xdr:nvCxnSpPr>
        <xdr:cNvPr id="19" name="Rovná spojovacia šípka 18">
          <a:extLst>
            <a:ext uri="{FF2B5EF4-FFF2-40B4-BE49-F238E27FC236}">
              <a16:creationId xmlns:a16="http://schemas.microsoft.com/office/drawing/2014/main" id="{27A74145-45DD-4A05-A292-1241588CBB59}"/>
            </a:ext>
          </a:extLst>
        </xdr:cNvPr>
        <xdr:cNvCxnSpPr/>
      </xdr:nvCxnSpPr>
      <xdr:spPr>
        <a:xfrm flipH="1">
          <a:off x="4391025" y="5286375"/>
          <a:ext cx="610" cy="1638000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337037</xdr:colOff>
      <xdr:row>35</xdr:row>
      <xdr:rowOff>25586</xdr:rowOff>
    </xdr:from>
    <xdr:to>
      <xdr:col>4</xdr:col>
      <xdr:colOff>337647</xdr:colOff>
      <xdr:row>38</xdr:row>
      <xdr:rowOff>84086</xdr:rowOff>
    </xdr:to>
    <xdr:cxnSp macro="">
      <xdr:nvCxnSpPr>
        <xdr:cNvPr id="24" name="Rovná spojovacia šípka 23">
          <a:extLst>
            <a:ext uri="{FF2B5EF4-FFF2-40B4-BE49-F238E27FC236}">
              <a16:creationId xmlns:a16="http://schemas.microsoft.com/office/drawing/2014/main" id="{364957A6-32D1-4A79-A5AA-B2BD95F9E73E}"/>
            </a:ext>
          </a:extLst>
        </xdr:cNvPr>
        <xdr:cNvCxnSpPr/>
      </xdr:nvCxnSpPr>
      <xdr:spPr>
        <a:xfrm rot="2700000" flipH="1">
          <a:off x="4004162" y="6883586"/>
          <a:ext cx="610" cy="630000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563277</xdr:colOff>
      <xdr:row>28</xdr:row>
      <xdr:rowOff>12947</xdr:rowOff>
    </xdr:from>
    <xdr:to>
      <xdr:col>4</xdr:col>
      <xdr:colOff>84177</xdr:colOff>
      <xdr:row>28</xdr:row>
      <xdr:rowOff>12947</xdr:rowOff>
    </xdr:to>
    <xdr:cxnSp macro="">
      <xdr:nvCxnSpPr>
        <xdr:cNvPr id="26" name="Rovná spojnica 25">
          <a:extLst>
            <a:ext uri="{FF2B5EF4-FFF2-40B4-BE49-F238E27FC236}">
              <a16:creationId xmlns:a16="http://schemas.microsoft.com/office/drawing/2014/main" id="{6A33E2AE-3C84-3B82-FDE3-0424D1B491D0}"/>
            </a:ext>
          </a:extLst>
        </xdr:cNvPr>
        <xdr:cNvCxnSpPr/>
      </xdr:nvCxnSpPr>
      <xdr:spPr>
        <a:xfrm rot="2700000">
          <a:off x="3400302" y="5186447"/>
          <a:ext cx="0" cy="702000"/>
        </a:xfrm>
        <a:prstGeom prst="line">
          <a:avLst/>
        </a:prstGeom>
        <a:ln w="28575"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1090454</xdr:colOff>
      <xdr:row>28</xdr:row>
      <xdr:rowOff>19170</xdr:rowOff>
    </xdr:from>
    <xdr:to>
      <xdr:col>2</xdr:col>
      <xdr:colOff>611354</xdr:colOff>
      <xdr:row>28</xdr:row>
      <xdr:rowOff>19170</xdr:rowOff>
    </xdr:to>
    <xdr:cxnSp macro="">
      <xdr:nvCxnSpPr>
        <xdr:cNvPr id="27" name="Rovná spojnica 26">
          <a:extLst>
            <a:ext uri="{FF2B5EF4-FFF2-40B4-BE49-F238E27FC236}">
              <a16:creationId xmlns:a16="http://schemas.microsoft.com/office/drawing/2014/main" id="{2F57FDB2-91C1-4F12-B8F5-B320AA416B8D}"/>
            </a:ext>
          </a:extLst>
        </xdr:cNvPr>
        <xdr:cNvCxnSpPr/>
      </xdr:nvCxnSpPr>
      <xdr:spPr>
        <a:xfrm rot="2700000">
          <a:off x="1755779" y="5192670"/>
          <a:ext cx="0" cy="702000"/>
        </a:xfrm>
        <a:prstGeom prst="line">
          <a:avLst/>
        </a:prstGeom>
        <a:ln w="28575"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576102</xdr:colOff>
      <xdr:row>36</xdr:row>
      <xdr:rowOff>133471</xdr:rowOff>
    </xdr:from>
    <xdr:to>
      <xdr:col>4</xdr:col>
      <xdr:colOff>97002</xdr:colOff>
      <xdr:row>36</xdr:row>
      <xdr:rowOff>133471</xdr:rowOff>
    </xdr:to>
    <xdr:cxnSp macro="">
      <xdr:nvCxnSpPr>
        <xdr:cNvPr id="29" name="Rovná spojnica 28">
          <a:extLst>
            <a:ext uri="{FF2B5EF4-FFF2-40B4-BE49-F238E27FC236}">
              <a16:creationId xmlns:a16="http://schemas.microsoft.com/office/drawing/2014/main" id="{FBD56BC9-65AB-4298-AA18-5C1544D71430}"/>
            </a:ext>
          </a:extLst>
        </xdr:cNvPr>
        <xdr:cNvCxnSpPr/>
      </xdr:nvCxnSpPr>
      <xdr:spPr>
        <a:xfrm rot="2700000">
          <a:off x="3413127" y="6830971"/>
          <a:ext cx="0" cy="702000"/>
        </a:xfrm>
        <a:prstGeom prst="line">
          <a:avLst/>
        </a:prstGeom>
        <a:ln w="28575"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781050</xdr:colOff>
      <xdr:row>39</xdr:row>
      <xdr:rowOff>171450</xdr:rowOff>
    </xdr:from>
    <xdr:to>
      <xdr:col>3</xdr:col>
      <xdr:colOff>1133475</xdr:colOff>
      <xdr:row>41</xdr:row>
      <xdr:rowOff>47625</xdr:rowOff>
    </xdr:to>
    <xdr:sp macro="" textlink="">
      <xdr:nvSpPr>
        <xdr:cNvPr id="30" name="BlokTextu 29">
          <a:extLst>
            <a:ext uri="{FF2B5EF4-FFF2-40B4-BE49-F238E27FC236}">
              <a16:creationId xmlns:a16="http://schemas.microsoft.com/office/drawing/2014/main" id="{0CE7A849-7665-F82F-BE10-5A5408C74C57}"/>
            </a:ext>
          </a:extLst>
        </xdr:cNvPr>
        <xdr:cNvSpPr txBox="1"/>
      </xdr:nvSpPr>
      <xdr:spPr>
        <a:xfrm>
          <a:off x="1095375" y="7791450"/>
          <a:ext cx="25241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k-SK" sz="1100"/>
            <a:t>uhol uvoľnenia</a:t>
          </a:r>
        </a:p>
      </xdr:txBody>
    </xdr:sp>
    <xdr:clientData/>
  </xdr:twoCellAnchor>
  <xdr:oneCellAnchor>
    <xdr:from>
      <xdr:col>8</xdr:col>
      <xdr:colOff>0</xdr:colOff>
      <xdr:row>37</xdr:row>
      <xdr:rowOff>0</xdr:rowOff>
    </xdr:from>
    <xdr:ext cx="184731" cy="264560"/>
    <xdr:sp macro="" textlink="">
      <xdr:nvSpPr>
        <xdr:cNvPr id="32" name="BlokTextu 31">
          <a:extLst>
            <a:ext uri="{FF2B5EF4-FFF2-40B4-BE49-F238E27FC236}">
              <a16:creationId xmlns:a16="http://schemas.microsoft.com/office/drawing/2014/main" id="{480F187A-6B19-F1FD-BA9E-596B6BA66CC1}"/>
            </a:ext>
          </a:extLst>
        </xdr:cNvPr>
        <xdr:cNvSpPr txBox="1"/>
      </xdr:nvSpPr>
      <xdr:spPr>
        <a:xfrm>
          <a:off x="6705600" y="564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k-SK" sz="1100"/>
        </a:p>
      </xdr:txBody>
    </xdr:sp>
    <xdr:clientData/>
  </xdr:oneCellAnchor>
  <xdr:twoCellAnchor>
    <xdr:from>
      <xdr:col>3</xdr:col>
      <xdr:colOff>1095375</xdr:colOff>
      <xdr:row>36</xdr:row>
      <xdr:rowOff>85725</xdr:rowOff>
    </xdr:from>
    <xdr:to>
      <xdr:col>5</xdr:col>
      <xdr:colOff>295275</xdr:colOff>
      <xdr:row>37</xdr:row>
      <xdr:rowOff>152400</xdr:rowOff>
    </xdr:to>
    <xdr:sp macro="" textlink="">
      <xdr:nvSpPr>
        <xdr:cNvPr id="33" name="BlokTextu 32">
          <a:extLst>
            <a:ext uri="{FF2B5EF4-FFF2-40B4-BE49-F238E27FC236}">
              <a16:creationId xmlns:a16="http://schemas.microsoft.com/office/drawing/2014/main" id="{6E0869EF-FF2D-42AD-8114-C4D76A8F791F}"/>
            </a:ext>
          </a:extLst>
        </xdr:cNvPr>
        <xdr:cNvSpPr txBox="1"/>
      </xdr:nvSpPr>
      <xdr:spPr>
        <a:xfrm>
          <a:off x="3581400" y="7134225"/>
          <a:ext cx="1828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k-SK" sz="1100"/>
            <a:t>uhol steľby</a:t>
          </a:r>
        </a:p>
      </xdr:txBody>
    </xdr:sp>
    <xdr:clientData/>
  </xdr:twoCellAnchor>
  <xdr:twoCellAnchor>
    <xdr:from>
      <xdr:col>4</xdr:col>
      <xdr:colOff>295275</xdr:colOff>
      <xdr:row>30</xdr:row>
      <xdr:rowOff>95250</xdr:rowOff>
    </xdr:from>
    <xdr:to>
      <xdr:col>5</xdr:col>
      <xdr:colOff>676275</xdr:colOff>
      <xdr:row>31</xdr:row>
      <xdr:rowOff>161925</xdr:rowOff>
    </xdr:to>
    <xdr:sp macro="" textlink="">
      <xdr:nvSpPr>
        <xdr:cNvPr id="34" name="BlokTextu 33">
          <a:extLst>
            <a:ext uri="{FF2B5EF4-FFF2-40B4-BE49-F238E27FC236}">
              <a16:creationId xmlns:a16="http://schemas.microsoft.com/office/drawing/2014/main" id="{5C180C7A-789F-4CF4-99CB-BF7FAA4601BB}"/>
            </a:ext>
          </a:extLst>
        </xdr:cNvPr>
        <xdr:cNvSpPr txBox="1"/>
      </xdr:nvSpPr>
      <xdr:spPr>
        <a:xfrm>
          <a:off x="3962400" y="6000750"/>
          <a:ext cx="1828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k-SK" sz="1100"/>
            <a:t>výška</a:t>
          </a:r>
          <a:r>
            <a:rPr lang="sk-SK" sz="1100" baseline="0"/>
            <a:t> misky</a:t>
          </a:r>
        </a:p>
      </xdr:txBody>
    </xdr:sp>
    <xdr:clientData/>
  </xdr:twoCellAnchor>
  <xdr:twoCellAnchor>
    <xdr:from>
      <xdr:col>4</xdr:col>
      <xdr:colOff>752475</xdr:colOff>
      <xdr:row>34</xdr:row>
      <xdr:rowOff>104776</xdr:rowOff>
    </xdr:from>
    <xdr:to>
      <xdr:col>4</xdr:col>
      <xdr:colOff>1047750</xdr:colOff>
      <xdr:row>35</xdr:row>
      <xdr:rowOff>161926</xdr:rowOff>
    </xdr:to>
    <xdr:sp macro="" textlink="">
      <xdr:nvSpPr>
        <xdr:cNvPr id="35" name="BlokTextu 34">
          <a:extLst>
            <a:ext uri="{FF2B5EF4-FFF2-40B4-BE49-F238E27FC236}">
              <a16:creationId xmlns:a16="http://schemas.microsoft.com/office/drawing/2014/main" id="{9995EF19-6019-1068-45DB-2E0AB3EBBFA4}"/>
            </a:ext>
          </a:extLst>
        </xdr:cNvPr>
        <xdr:cNvSpPr txBox="1"/>
      </xdr:nvSpPr>
      <xdr:spPr>
        <a:xfrm>
          <a:off x="4419600" y="6772276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ym typeface="Symbol" panose="05050102010706020507" pitchFamily="18" charset="2"/>
            </a:rPr>
            <a:t></a:t>
          </a:r>
          <a:endParaRPr lang="sk-SK" sz="1100"/>
        </a:p>
      </xdr:txBody>
    </xdr:sp>
    <xdr:clientData/>
  </xdr:twoCellAnchor>
  <xdr:twoCellAnchor>
    <xdr:from>
      <xdr:col>1</xdr:col>
      <xdr:colOff>923925</xdr:colOff>
      <xdr:row>39</xdr:row>
      <xdr:rowOff>47625</xdr:rowOff>
    </xdr:from>
    <xdr:to>
      <xdr:col>2</xdr:col>
      <xdr:colOff>38100</xdr:colOff>
      <xdr:row>40</xdr:row>
      <xdr:rowOff>104775</xdr:rowOff>
    </xdr:to>
    <xdr:sp macro="" textlink="">
      <xdr:nvSpPr>
        <xdr:cNvPr id="36" name="BlokTextu 35">
          <a:extLst>
            <a:ext uri="{FF2B5EF4-FFF2-40B4-BE49-F238E27FC236}">
              <a16:creationId xmlns:a16="http://schemas.microsoft.com/office/drawing/2014/main" id="{9D178D68-A6F7-4050-A28A-063B9E7FC51A}"/>
            </a:ext>
          </a:extLst>
        </xdr:cNvPr>
        <xdr:cNvSpPr txBox="1"/>
      </xdr:nvSpPr>
      <xdr:spPr>
        <a:xfrm>
          <a:off x="1238250" y="76676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ym typeface="Symbol" panose="05050102010706020507" pitchFamily="18" charset="2"/>
            </a:rPr>
            <a:t></a:t>
          </a:r>
          <a:endParaRPr lang="sk-SK" sz="1100"/>
        </a:p>
      </xdr:txBody>
    </xdr:sp>
    <xdr:clientData/>
  </xdr:twoCellAnchor>
  <xdr:twoCellAnchor>
    <xdr:from>
      <xdr:col>4</xdr:col>
      <xdr:colOff>9525</xdr:colOff>
      <xdr:row>37</xdr:row>
      <xdr:rowOff>133350</xdr:rowOff>
    </xdr:from>
    <xdr:to>
      <xdr:col>4</xdr:col>
      <xdr:colOff>304800</xdr:colOff>
      <xdr:row>39</xdr:row>
      <xdr:rowOff>0</xdr:rowOff>
    </xdr:to>
    <xdr:sp macro="" textlink="">
      <xdr:nvSpPr>
        <xdr:cNvPr id="37" name="BlokTextu 36">
          <a:extLst>
            <a:ext uri="{FF2B5EF4-FFF2-40B4-BE49-F238E27FC236}">
              <a16:creationId xmlns:a16="http://schemas.microsoft.com/office/drawing/2014/main" id="{E7679E62-0709-41C5-B89A-AB62306BAFD3}"/>
            </a:ext>
          </a:extLst>
        </xdr:cNvPr>
        <xdr:cNvSpPr txBox="1"/>
      </xdr:nvSpPr>
      <xdr:spPr>
        <a:xfrm>
          <a:off x="3676650" y="7372350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ym typeface="Symbol" panose="05050102010706020507" pitchFamily="18" charset="2"/>
            </a:rPr>
            <a:t></a:t>
          </a:r>
          <a:endParaRPr lang="sk-SK" sz="1100"/>
        </a:p>
      </xdr:txBody>
    </xdr:sp>
    <xdr:clientData/>
  </xdr:twoCellAnchor>
  <xdr:twoCellAnchor>
    <xdr:from>
      <xdr:col>4</xdr:col>
      <xdr:colOff>542925</xdr:colOff>
      <xdr:row>35</xdr:row>
      <xdr:rowOff>9525</xdr:rowOff>
    </xdr:from>
    <xdr:to>
      <xdr:col>4</xdr:col>
      <xdr:colOff>838200</xdr:colOff>
      <xdr:row>36</xdr:row>
      <xdr:rowOff>66675</xdr:rowOff>
    </xdr:to>
    <xdr:sp macro="" textlink="">
      <xdr:nvSpPr>
        <xdr:cNvPr id="39" name="BlokTextu 38">
          <a:extLst>
            <a:ext uri="{FF2B5EF4-FFF2-40B4-BE49-F238E27FC236}">
              <a16:creationId xmlns:a16="http://schemas.microsoft.com/office/drawing/2014/main" id="{34B17909-CF2E-4ED0-9DF1-4CEB8DD20BBC}"/>
            </a:ext>
          </a:extLst>
        </xdr:cNvPr>
        <xdr:cNvSpPr txBox="1"/>
      </xdr:nvSpPr>
      <xdr:spPr>
        <a:xfrm>
          <a:off x="4210050" y="68675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ym typeface="Symbol" panose="05050102010706020507" pitchFamily="18" charset="2"/>
            </a:rPr>
            <a:t>+</a:t>
          </a:r>
          <a:endParaRPr lang="sk-SK" sz="1100"/>
        </a:p>
      </xdr:txBody>
    </xdr:sp>
    <xdr:clientData/>
  </xdr:twoCellAnchor>
  <xdr:twoCellAnchor>
    <xdr:from>
      <xdr:col>4</xdr:col>
      <xdr:colOff>723900</xdr:colOff>
      <xdr:row>25</xdr:row>
      <xdr:rowOff>161925</xdr:rowOff>
    </xdr:from>
    <xdr:to>
      <xdr:col>4</xdr:col>
      <xdr:colOff>1019175</xdr:colOff>
      <xdr:row>27</xdr:row>
      <xdr:rowOff>28575</xdr:rowOff>
    </xdr:to>
    <xdr:sp macro="" textlink="">
      <xdr:nvSpPr>
        <xdr:cNvPr id="40" name="BlokTextu 39">
          <a:extLst>
            <a:ext uri="{FF2B5EF4-FFF2-40B4-BE49-F238E27FC236}">
              <a16:creationId xmlns:a16="http://schemas.microsoft.com/office/drawing/2014/main" id="{5D9768DC-72CA-4290-8488-E658B0075B2D}"/>
            </a:ext>
          </a:extLst>
        </xdr:cNvPr>
        <xdr:cNvSpPr txBox="1"/>
      </xdr:nvSpPr>
      <xdr:spPr>
        <a:xfrm>
          <a:off x="4391025" y="51149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ym typeface="Symbol" panose="05050102010706020507" pitchFamily="18" charset="2"/>
            </a:rPr>
            <a:t>+</a:t>
          </a:r>
          <a:endParaRPr lang="sk-SK" sz="1100"/>
        </a:p>
      </xdr:txBody>
    </xdr:sp>
    <xdr:clientData/>
  </xdr:twoCellAnchor>
  <xdr:twoCellAnchor>
    <xdr:from>
      <xdr:col>3</xdr:col>
      <xdr:colOff>733425</xdr:colOff>
      <xdr:row>39</xdr:row>
      <xdr:rowOff>57150</xdr:rowOff>
    </xdr:from>
    <xdr:to>
      <xdr:col>3</xdr:col>
      <xdr:colOff>1028700</xdr:colOff>
      <xdr:row>40</xdr:row>
      <xdr:rowOff>114300</xdr:rowOff>
    </xdr:to>
    <xdr:sp macro="" textlink="">
      <xdr:nvSpPr>
        <xdr:cNvPr id="41" name="BlokTextu 40">
          <a:extLst>
            <a:ext uri="{FF2B5EF4-FFF2-40B4-BE49-F238E27FC236}">
              <a16:creationId xmlns:a16="http://schemas.microsoft.com/office/drawing/2014/main" id="{B1412432-0932-4ACB-8D86-22C0F3B18108}"/>
            </a:ext>
          </a:extLst>
        </xdr:cNvPr>
        <xdr:cNvSpPr txBox="1"/>
      </xdr:nvSpPr>
      <xdr:spPr>
        <a:xfrm>
          <a:off x="3219450" y="7677150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ym typeface="Symbol" panose="05050102010706020507" pitchFamily="18" charset="2"/>
            </a:rPr>
            <a:t>+</a:t>
          </a:r>
          <a:endParaRPr lang="sk-SK" sz="1100"/>
        </a:p>
      </xdr:txBody>
    </xdr:sp>
    <xdr:clientData/>
  </xdr:twoCellAnchor>
  <xdr:twoCellAnchor>
    <xdr:from>
      <xdr:col>1</xdr:col>
      <xdr:colOff>657225</xdr:colOff>
      <xdr:row>36</xdr:row>
      <xdr:rowOff>171449</xdr:rowOff>
    </xdr:from>
    <xdr:to>
      <xdr:col>2</xdr:col>
      <xdr:colOff>190500</xdr:colOff>
      <xdr:row>39</xdr:row>
      <xdr:rowOff>9524</xdr:rowOff>
    </xdr:to>
    <xdr:sp macro="" textlink="">
      <xdr:nvSpPr>
        <xdr:cNvPr id="45" name="BlokTextu 44">
          <a:extLst>
            <a:ext uri="{FF2B5EF4-FFF2-40B4-BE49-F238E27FC236}">
              <a16:creationId xmlns:a16="http://schemas.microsoft.com/office/drawing/2014/main" id="{42375612-58F5-4A68-90D7-FF5A3E5E4F0C}"/>
            </a:ext>
          </a:extLst>
        </xdr:cNvPr>
        <xdr:cNvSpPr txBox="1"/>
      </xdr:nvSpPr>
      <xdr:spPr>
        <a:xfrm>
          <a:off x="971550" y="7219949"/>
          <a:ext cx="71437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 u="none"/>
            <a:t>310,27</a:t>
          </a:r>
        </a:p>
        <a:p>
          <a:r>
            <a:rPr lang="sk-SK" sz="1000" b="1" u="none"/>
            <a:t>293,86</a:t>
          </a:r>
        </a:p>
      </xdr:txBody>
    </xdr:sp>
    <xdr:clientData/>
  </xdr:twoCellAnchor>
  <xdr:twoCellAnchor>
    <xdr:from>
      <xdr:col>2</xdr:col>
      <xdr:colOff>19044</xdr:colOff>
      <xdr:row>29</xdr:row>
      <xdr:rowOff>66672</xdr:rowOff>
    </xdr:from>
    <xdr:to>
      <xdr:col>3</xdr:col>
      <xdr:colOff>666444</xdr:colOff>
      <xdr:row>37</xdr:row>
      <xdr:rowOff>180672</xdr:rowOff>
    </xdr:to>
    <xdr:sp macro="" textlink="">
      <xdr:nvSpPr>
        <xdr:cNvPr id="4" name="Obdĺžnik 3">
          <a:extLst>
            <a:ext uri="{FF2B5EF4-FFF2-40B4-BE49-F238E27FC236}">
              <a16:creationId xmlns:a16="http://schemas.microsoft.com/office/drawing/2014/main" id="{8BAA8FC3-1D3F-20E8-742D-AEA83447423D}"/>
            </a:ext>
          </a:extLst>
        </xdr:cNvPr>
        <xdr:cNvSpPr/>
      </xdr:nvSpPr>
      <xdr:spPr>
        <a:xfrm>
          <a:off x="1514469" y="5781672"/>
          <a:ext cx="1638000" cy="1638000"/>
        </a:xfrm>
        <a:prstGeom prst="rect">
          <a:avLst/>
        </a:prstGeom>
        <a:noFill/>
        <a:ln w="28575">
          <a:solidFill>
            <a:schemeClr val="tx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2</xdr:col>
      <xdr:colOff>514344</xdr:colOff>
      <xdr:row>26</xdr:row>
      <xdr:rowOff>152397</xdr:rowOff>
    </xdr:from>
    <xdr:to>
      <xdr:col>3</xdr:col>
      <xdr:colOff>1161744</xdr:colOff>
      <xdr:row>35</xdr:row>
      <xdr:rowOff>75897</xdr:rowOff>
    </xdr:to>
    <xdr:sp macro="" textlink="">
      <xdr:nvSpPr>
        <xdr:cNvPr id="6" name="Obdĺžnik 5">
          <a:extLst>
            <a:ext uri="{FF2B5EF4-FFF2-40B4-BE49-F238E27FC236}">
              <a16:creationId xmlns:a16="http://schemas.microsoft.com/office/drawing/2014/main" id="{7A41D97C-AEEC-9F7A-7E9E-61822C3A00A4}"/>
            </a:ext>
          </a:extLst>
        </xdr:cNvPr>
        <xdr:cNvSpPr/>
      </xdr:nvSpPr>
      <xdr:spPr>
        <a:xfrm>
          <a:off x="2009769" y="5295897"/>
          <a:ext cx="1638000" cy="1638000"/>
        </a:xfrm>
        <a:prstGeom prst="rect">
          <a:avLst/>
        </a:prstGeom>
        <a:noFill/>
        <a:ln w="28575">
          <a:solidFill>
            <a:schemeClr val="tx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</xdr:col>
      <xdr:colOff>1109506</xdr:colOff>
      <xdr:row>36</xdr:row>
      <xdr:rowOff>123945</xdr:rowOff>
    </xdr:from>
    <xdr:to>
      <xdr:col>2</xdr:col>
      <xdr:colOff>630406</xdr:colOff>
      <xdr:row>36</xdr:row>
      <xdr:rowOff>123945</xdr:rowOff>
    </xdr:to>
    <xdr:cxnSp macro="">
      <xdr:nvCxnSpPr>
        <xdr:cNvPr id="7" name="Rovná spojnica 6">
          <a:extLst>
            <a:ext uri="{FF2B5EF4-FFF2-40B4-BE49-F238E27FC236}">
              <a16:creationId xmlns:a16="http://schemas.microsoft.com/office/drawing/2014/main" id="{993207B5-97F2-102B-AAC7-77DF93511246}"/>
            </a:ext>
          </a:extLst>
        </xdr:cNvPr>
        <xdr:cNvCxnSpPr/>
      </xdr:nvCxnSpPr>
      <xdr:spPr>
        <a:xfrm rot="2700000">
          <a:off x="1774831" y="6821445"/>
          <a:ext cx="0" cy="702000"/>
        </a:xfrm>
        <a:prstGeom prst="line">
          <a:avLst/>
        </a:prstGeom>
        <a:ln w="28575"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11480</xdr:colOff>
      <xdr:row>40</xdr:row>
      <xdr:rowOff>1045</xdr:rowOff>
    </xdr:from>
    <xdr:to>
      <xdr:col>3</xdr:col>
      <xdr:colOff>658880</xdr:colOff>
      <xdr:row>40</xdr:row>
      <xdr:rowOff>1655</xdr:rowOff>
    </xdr:to>
    <xdr:cxnSp macro="">
      <xdr:nvCxnSpPr>
        <xdr:cNvPr id="8" name="Rovná spojovacia šípka 7">
          <a:extLst>
            <a:ext uri="{FF2B5EF4-FFF2-40B4-BE49-F238E27FC236}">
              <a16:creationId xmlns:a16="http://schemas.microsoft.com/office/drawing/2014/main" id="{43F3F8AA-9121-4F05-92BF-46740C2E5A3C}"/>
            </a:ext>
          </a:extLst>
        </xdr:cNvPr>
        <xdr:cNvCxnSpPr/>
      </xdr:nvCxnSpPr>
      <xdr:spPr>
        <a:xfrm rot="5400000" flipH="1">
          <a:off x="2325600" y="6992850"/>
          <a:ext cx="610" cy="1638000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581025</xdr:colOff>
      <xdr:row>27</xdr:row>
      <xdr:rowOff>171450</xdr:rowOff>
    </xdr:from>
    <xdr:to>
      <xdr:col>2</xdr:col>
      <xdr:colOff>114300</xdr:colOff>
      <xdr:row>30</xdr:row>
      <xdr:rowOff>9525</xdr:rowOff>
    </xdr:to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30008082-2F89-4C29-9C7E-56265587A119}"/>
            </a:ext>
          </a:extLst>
        </xdr:cNvPr>
        <xdr:cNvSpPr txBox="1"/>
      </xdr:nvSpPr>
      <xdr:spPr>
        <a:xfrm>
          <a:off x="895350" y="5505450"/>
          <a:ext cx="71437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362,05</a:t>
          </a:r>
        </a:p>
        <a:p>
          <a:r>
            <a:rPr lang="sk-SK" sz="1000" b="1"/>
            <a:t>357,95</a:t>
          </a:r>
        </a:p>
      </xdr:txBody>
    </xdr:sp>
    <xdr:clientData/>
  </xdr:twoCellAnchor>
  <xdr:twoCellAnchor>
    <xdr:from>
      <xdr:col>2</xdr:col>
      <xdr:colOff>0</xdr:colOff>
      <xdr:row>33</xdr:row>
      <xdr:rowOff>171450</xdr:rowOff>
    </xdr:from>
    <xdr:to>
      <xdr:col>2</xdr:col>
      <xdr:colOff>714375</xdr:colOff>
      <xdr:row>36</xdr:row>
      <xdr:rowOff>9525</xdr:rowOff>
    </xdr:to>
    <xdr:sp macro="" textlink="">
      <xdr:nvSpPr>
        <xdr:cNvPr id="10" name="BlokTextu 9">
          <a:extLst>
            <a:ext uri="{FF2B5EF4-FFF2-40B4-BE49-F238E27FC236}">
              <a16:creationId xmlns:a16="http://schemas.microsoft.com/office/drawing/2014/main" id="{39177FC7-16BA-4BC2-8EDB-806BC91388DB}"/>
            </a:ext>
          </a:extLst>
        </xdr:cNvPr>
        <xdr:cNvSpPr txBox="1"/>
      </xdr:nvSpPr>
      <xdr:spPr>
        <a:xfrm>
          <a:off x="1495425" y="6648450"/>
          <a:ext cx="71437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354,08</a:t>
          </a:r>
        </a:p>
        <a:p>
          <a:r>
            <a:rPr lang="sk-SK" sz="1000" b="1"/>
            <a:t>344,74</a:t>
          </a:r>
        </a:p>
      </xdr:txBody>
    </xdr:sp>
    <xdr:clientData/>
  </xdr:twoCellAnchor>
  <xdr:twoCellAnchor>
    <xdr:from>
      <xdr:col>2</xdr:col>
      <xdr:colOff>19050</xdr:colOff>
      <xdr:row>24</xdr:row>
      <xdr:rowOff>171450</xdr:rowOff>
    </xdr:from>
    <xdr:to>
      <xdr:col>2</xdr:col>
      <xdr:colOff>733425</xdr:colOff>
      <xdr:row>27</xdr:row>
      <xdr:rowOff>9525</xdr:rowOff>
    </xdr:to>
    <xdr:sp macro="" textlink="">
      <xdr:nvSpPr>
        <xdr:cNvPr id="11" name="BlokTextu 10">
          <a:extLst>
            <a:ext uri="{FF2B5EF4-FFF2-40B4-BE49-F238E27FC236}">
              <a16:creationId xmlns:a16="http://schemas.microsoft.com/office/drawing/2014/main" id="{E3082812-1979-4624-95D2-AD59805FD52A}"/>
            </a:ext>
          </a:extLst>
        </xdr:cNvPr>
        <xdr:cNvSpPr txBox="1"/>
      </xdr:nvSpPr>
      <xdr:spPr>
        <a:xfrm>
          <a:off x="1514475" y="4933950"/>
          <a:ext cx="71437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423,94</a:t>
          </a:r>
        </a:p>
        <a:p>
          <a:r>
            <a:rPr lang="sk-SK" sz="1000" b="1"/>
            <a:t>428,77</a:t>
          </a:r>
        </a:p>
      </xdr:txBody>
    </xdr:sp>
    <xdr:clientData/>
  </xdr:twoCellAnchor>
  <xdr:twoCellAnchor>
    <xdr:from>
      <xdr:col>3</xdr:col>
      <xdr:colOff>742950</xdr:colOff>
      <xdr:row>36</xdr:row>
      <xdr:rowOff>180975</xdr:rowOff>
    </xdr:from>
    <xdr:to>
      <xdr:col>4</xdr:col>
      <xdr:colOff>276225</xdr:colOff>
      <xdr:row>39</xdr:row>
      <xdr:rowOff>19050</xdr:rowOff>
    </xdr:to>
    <xdr:sp macro="" textlink="">
      <xdr:nvSpPr>
        <xdr:cNvPr id="12" name="BlokTextu 11">
          <a:extLst>
            <a:ext uri="{FF2B5EF4-FFF2-40B4-BE49-F238E27FC236}">
              <a16:creationId xmlns:a16="http://schemas.microsoft.com/office/drawing/2014/main" id="{CD73AE17-CC52-4E9D-8949-D282243A9401}"/>
            </a:ext>
          </a:extLst>
        </xdr:cNvPr>
        <xdr:cNvSpPr txBox="1"/>
      </xdr:nvSpPr>
      <xdr:spPr>
        <a:xfrm>
          <a:off x="3228975" y="7229475"/>
          <a:ext cx="71437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374,24</a:t>
          </a:r>
        </a:p>
        <a:p>
          <a:r>
            <a:rPr lang="sk-SK" sz="1000" b="1"/>
            <a:t>370,96</a:t>
          </a:r>
        </a:p>
      </xdr:txBody>
    </xdr:sp>
    <xdr:clientData/>
  </xdr:twoCellAnchor>
  <xdr:twoCellAnchor>
    <xdr:from>
      <xdr:col>3</xdr:col>
      <xdr:colOff>200025</xdr:colOff>
      <xdr:row>27</xdr:row>
      <xdr:rowOff>76200</xdr:rowOff>
    </xdr:from>
    <xdr:to>
      <xdr:col>3</xdr:col>
      <xdr:colOff>914400</xdr:colOff>
      <xdr:row>29</xdr:row>
      <xdr:rowOff>104775</xdr:rowOff>
    </xdr:to>
    <xdr:sp macro="" textlink="">
      <xdr:nvSpPr>
        <xdr:cNvPr id="14" name="BlokTextu 13">
          <a:extLst>
            <a:ext uri="{FF2B5EF4-FFF2-40B4-BE49-F238E27FC236}">
              <a16:creationId xmlns:a16="http://schemas.microsoft.com/office/drawing/2014/main" id="{819B122C-FAED-4DCA-BD28-1BEFF2F870EB}"/>
            </a:ext>
          </a:extLst>
        </xdr:cNvPr>
        <xdr:cNvSpPr txBox="1"/>
      </xdr:nvSpPr>
      <xdr:spPr>
        <a:xfrm>
          <a:off x="2686050" y="5410200"/>
          <a:ext cx="71437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450,52</a:t>
          </a:r>
        </a:p>
        <a:p>
          <a:r>
            <a:rPr lang="sk-SK" sz="1000" b="1"/>
            <a:t>451,06</a:t>
          </a:r>
        </a:p>
      </xdr:txBody>
    </xdr:sp>
    <xdr:clientData/>
  </xdr:twoCellAnchor>
  <xdr:twoCellAnchor>
    <xdr:from>
      <xdr:col>3</xdr:col>
      <xdr:colOff>1133475</xdr:colOff>
      <xdr:row>34</xdr:row>
      <xdr:rowOff>38100</xdr:rowOff>
    </xdr:from>
    <xdr:to>
      <xdr:col>4</xdr:col>
      <xdr:colOff>666750</xdr:colOff>
      <xdr:row>36</xdr:row>
      <xdr:rowOff>66675</xdr:rowOff>
    </xdr:to>
    <xdr:sp macro="" textlink="">
      <xdr:nvSpPr>
        <xdr:cNvPr id="15" name="BlokTextu 14">
          <a:extLst>
            <a:ext uri="{FF2B5EF4-FFF2-40B4-BE49-F238E27FC236}">
              <a16:creationId xmlns:a16="http://schemas.microsoft.com/office/drawing/2014/main" id="{CBC12E24-CC63-4F58-B3CB-66EF6A7E63C4}"/>
            </a:ext>
          </a:extLst>
        </xdr:cNvPr>
        <xdr:cNvSpPr txBox="1"/>
      </xdr:nvSpPr>
      <xdr:spPr>
        <a:xfrm>
          <a:off x="3619500" y="6705600"/>
          <a:ext cx="71437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505,85</a:t>
          </a:r>
        </a:p>
        <a:p>
          <a:r>
            <a:rPr lang="sk-SK" sz="1000" b="1"/>
            <a:t>496,34</a:t>
          </a:r>
        </a:p>
      </xdr:txBody>
    </xdr:sp>
    <xdr:clientData/>
  </xdr:twoCellAnchor>
  <xdr:twoCellAnchor>
    <xdr:from>
      <xdr:col>3</xdr:col>
      <xdr:colOff>1123950</xdr:colOff>
      <xdr:row>24</xdr:row>
      <xdr:rowOff>180975</xdr:rowOff>
    </xdr:from>
    <xdr:to>
      <xdr:col>4</xdr:col>
      <xdr:colOff>657225</xdr:colOff>
      <xdr:row>27</xdr:row>
      <xdr:rowOff>19050</xdr:rowOff>
    </xdr:to>
    <xdr:sp macro="" textlink="">
      <xdr:nvSpPr>
        <xdr:cNvPr id="16" name="BlokTextu 15">
          <a:extLst>
            <a:ext uri="{FF2B5EF4-FFF2-40B4-BE49-F238E27FC236}">
              <a16:creationId xmlns:a16="http://schemas.microsoft.com/office/drawing/2014/main" id="{81A924FB-79AF-4790-84DD-0F4C004A5140}"/>
            </a:ext>
          </a:extLst>
        </xdr:cNvPr>
        <xdr:cNvSpPr txBox="1"/>
      </xdr:nvSpPr>
      <xdr:spPr>
        <a:xfrm>
          <a:off x="3609975" y="4943475"/>
          <a:ext cx="71437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599,87</a:t>
          </a:r>
        </a:p>
        <a:p>
          <a:r>
            <a:rPr lang="sk-SK" sz="1000" b="1"/>
            <a:t>602,73</a:t>
          </a:r>
        </a:p>
      </xdr:txBody>
    </xdr:sp>
    <xdr:clientData/>
  </xdr:twoCellAnchor>
  <xdr:twoCellAnchor>
    <xdr:from>
      <xdr:col>9</xdr:col>
      <xdr:colOff>149098</xdr:colOff>
      <xdr:row>28</xdr:row>
      <xdr:rowOff>12950</xdr:rowOff>
    </xdr:from>
    <xdr:to>
      <xdr:col>10</xdr:col>
      <xdr:colOff>241498</xdr:colOff>
      <xdr:row>28</xdr:row>
      <xdr:rowOff>12950</xdr:rowOff>
    </xdr:to>
    <xdr:cxnSp macro="">
      <xdr:nvCxnSpPr>
        <xdr:cNvPr id="17" name="Rovná spojnica 16">
          <a:extLst>
            <a:ext uri="{FF2B5EF4-FFF2-40B4-BE49-F238E27FC236}">
              <a16:creationId xmlns:a16="http://schemas.microsoft.com/office/drawing/2014/main" id="{B71655B1-39D8-4EA4-893E-F243F6A25FA3}"/>
            </a:ext>
          </a:extLst>
        </xdr:cNvPr>
        <xdr:cNvCxnSpPr/>
      </xdr:nvCxnSpPr>
      <xdr:spPr>
        <a:xfrm rot="2700000">
          <a:off x="8510623" y="5186450"/>
          <a:ext cx="0" cy="702000"/>
        </a:xfrm>
        <a:prstGeom prst="line">
          <a:avLst/>
        </a:prstGeom>
        <a:ln w="28575"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647700</xdr:colOff>
      <xdr:row>28</xdr:row>
      <xdr:rowOff>19173</xdr:rowOff>
    </xdr:from>
    <xdr:to>
      <xdr:col>7</xdr:col>
      <xdr:colOff>597225</xdr:colOff>
      <xdr:row>28</xdr:row>
      <xdr:rowOff>19173</xdr:rowOff>
    </xdr:to>
    <xdr:cxnSp macro="">
      <xdr:nvCxnSpPr>
        <xdr:cNvPr id="18" name="Rovná spojnica 17">
          <a:extLst>
            <a:ext uri="{FF2B5EF4-FFF2-40B4-BE49-F238E27FC236}">
              <a16:creationId xmlns:a16="http://schemas.microsoft.com/office/drawing/2014/main" id="{C4901C54-EE14-4605-BD48-4E9479839BD3}"/>
            </a:ext>
          </a:extLst>
        </xdr:cNvPr>
        <xdr:cNvCxnSpPr/>
      </xdr:nvCxnSpPr>
      <xdr:spPr>
        <a:xfrm rot="2700000">
          <a:off x="6866100" y="5192673"/>
          <a:ext cx="0" cy="702000"/>
        </a:xfrm>
        <a:prstGeom prst="line">
          <a:avLst/>
        </a:prstGeom>
        <a:ln w="28575"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161923</xdr:colOff>
      <xdr:row>36</xdr:row>
      <xdr:rowOff>133474</xdr:rowOff>
    </xdr:from>
    <xdr:to>
      <xdr:col>10</xdr:col>
      <xdr:colOff>254323</xdr:colOff>
      <xdr:row>36</xdr:row>
      <xdr:rowOff>133474</xdr:rowOff>
    </xdr:to>
    <xdr:cxnSp macro="">
      <xdr:nvCxnSpPr>
        <xdr:cNvPr id="20" name="Rovná spojnica 19">
          <a:extLst>
            <a:ext uri="{FF2B5EF4-FFF2-40B4-BE49-F238E27FC236}">
              <a16:creationId xmlns:a16="http://schemas.microsoft.com/office/drawing/2014/main" id="{A164906F-6B3C-4B18-AC71-532D06B7F5CD}"/>
            </a:ext>
          </a:extLst>
        </xdr:cNvPr>
        <xdr:cNvCxnSpPr/>
      </xdr:nvCxnSpPr>
      <xdr:spPr>
        <a:xfrm rot="2700000">
          <a:off x="8523448" y="6830974"/>
          <a:ext cx="0" cy="702000"/>
        </a:xfrm>
        <a:prstGeom prst="line">
          <a:avLst/>
        </a:prstGeom>
        <a:ln w="28575"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4915</xdr:colOff>
      <xdr:row>29</xdr:row>
      <xdr:rowOff>66675</xdr:rowOff>
    </xdr:from>
    <xdr:to>
      <xdr:col>9</xdr:col>
      <xdr:colOff>252265</xdr:colOff>
      <xdr:row>37</xdr:row>
      <xdr:rowOff>180675</xdr:rowOff>
    </xdr:to>
    <xdr:sp macro="" textlink="">
      <xdr:nvSpPr>
        <xdr:cNvPr id="21" name="Obdĺžnik 20">
          <a:extLst>
            <a:ext uri="{FF2B5EF4-FFF2-40B4-BE49-F238E27FC236}">
              <a16:creationId xmlns:a16="http://schemas.microsoft.com/office/drawing/2014/main" id="{A1B296CB-899B-4A34-92E6-70377F50DAA2}"/>
            </a:ext>
          </a:extLst>
        </xdr:cNvPr>
        <xdr:cNvSpPr/>
      </xdr:nvSpPr>
      <xdr:spPr>
        <a:xfrm>
          <a:off x="6624790" y="5781675"/>
          <a:ext cx="1638000" cy="1638000"/>
        </a:xfrm>
        <a:prstGeom prst="rect">
          <a:avLst/>
        </a:prstGeom>
        <a:noFill/>
        <a:ln w="28575">
          <a:solidFill>
            <a:schemeClr val="tx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7</xdr:col>
      <xdr:colOff>500215</xdr:colOff>
      <xdr:row>26</xdr:row>
      <xdr:rowOff>152400</xdr:rowOff>
    </xdr:from>
    <xdr:to>
      <xdr:col>10</xdr:col>
      <xdr:colOff>137965</xdr:colOff>
      <xdr:row>35</xdr:row>
      <xdr:rowOff>75900</xdr:rowOff>
    </xdr:to>
    <xdr:sp macro="" textlink="">
      <xdr:nvSpPr>
        <xdr:cNvPr id="23" name="Obdĺžnik 22">
          <a:extLst>
            <a:ext uri="{FF2B5EF4-FFF2-40B4-BE49-F238E27FC236}">
              <a16:creationId xmlns:a16="http://schemas.microsoft.com/office/drawing/2014/main" id="{E02F0601-9704-472E-AC84-9FBA076DC008}"/>
            </a:ext>
          </a:extLst>
        </xdr:cNvPr>
        <xdr:cNvSpPr/>
      </xdr:nvSpPr>
      <xdr:spPr>
        <a:xfrm>
          <a:off x="7120090" y="5295900"/>
          <a:ext cx="1638000" cy="1638000"/>
        </a:xfrm>
        <a:prstGeom prst="rect">
          <a:avLst/>
        </a:prstGeom>
        <a:noFill/>
        <a:ln w="28575">
          <a:solidFill>
            <a:schemeClr val="tx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6</xdr:col>
      <xdr:colOff>666752</xdr:colOff>
      <xdr:row>36</xdr:row>
      <xdr:rowOff>123948</xdr:rowOff>
    </xdr:from>
    <xdr:to>
      <xdr:col>7</xdr:col>
      <xdr:colOff>616277</xdr:colOff>
      <xdr:row>36</xdr:row>
      <xdr:rowOff>123948</xdr:rowOff>
    </xdr:to>
    <xdr:cxnSp macro="">
      <xdr:nvCxnSpPr>
        <xdr:cNvPr id="25" name="Rovná spojnica 24">
          <a:extLst>
            <a:ext uri="{FF2B5EF4-FFF2-40B4-BE49-F238E27FC236}">
              <a16:creationId xmlns:a16="http://schemas.microsoft.com/office/drawing/2014/main" id="{EFDE500E-27DB-41A2-BADB-6A4079D6CAF8}"/>
            </a:ext>
          </a:extLst>
        </xdr:cNvPr>
        <xdr:cNvCxnSpPr/>
      </xdr:nvCxnSpPr>
      <xdr:spPr>
        <a:xfrm rot="2700000">
          <a:off x="6885152" y="6821448"/>
          <a:ext cx="0" cy="702000"/>
        </a:xfrm>
        <a:prstGeom prst="line">
          <a:avLst/>
        </a:prstGeom>
        <a:ln w="28575"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26</xdr:row>
      <xdr:rowOff>142875</xdr:rowOff>
    </xdr:from>
    <xdr:to>
      <xdr:col>12</xdr:col>
      <xdr:colOff>10135</xdr:colOff>
      <xdr:row>35</xdr:row>
      <xdr:rowOff>66375</xdr:rowOff>
    </xdr:to>
    <xdr:cxnSp macro="">
      <xdr:nvCxnSpPr>
        <xdr:cNvPr id="31" name="Rovná spojovacia šípka 30">
          <a:extLst>
            <a:ext uri="{FF2B5EF4-FFF2-40B4-BE49-F238E27FC236}">
              <a16:creationId xmlns:a16="http://schemas.microsoft.com/office/drawing/2014/main" id="{294C205B-3129-4685-9923-3396BBA38728}"/>
            </a:ext>
          </a:extLst>
        </xdr:cNvPr>
        <xdr:cNvCxnSpPr/>
      </xdr:nvCxnSpPr>
      <xdr:spPr>
        <a:xfrm flipH="1">
          <a:off x="9553575" y="5286375"/>
          <a:ext cx="610" cy="1638000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232262</xdr:colOff>
      <xdr:row>35</xdr:row>
      <xdr:rowOff>25586</xdr:rowOff>
    </xdr:from>
    <xdr:to>
      <xdr:col>11</xdr:col>
      <xdr:colOff>232872</xdr:colOff>
      <xdr:row>38</xdr:row>
      <xdr:rowOff>84086</xdr:rowOff>
    </xdr:to>
    <xdr:cxnSp macro="">
      <xdr:nvCxnSpPr>
        <xdr:cNvPr id="38" name="Rovná spojovacia šípka 37">
          <a:extLst>
            <a:ext uri="{FF2B5EF4-FFF2-40B4-BE49-F238E27FC236}">
              <a16:creationId xmlns:a16="http://schemas.microsoft.com/office/drawing/2014/main" id="{CFEEFCEA-9DA9-4FAC-9028-98D45052B976}"/>
            </a:ext>
          </a:extLst>
        </xdr:cNvPr>
        <xdr:cNvCxnSpPr/>
      </xdr:nvCxnSpPr>
      <xdr:spPr>
        <a:xfrm rot="2700000" flipH="1">
          <a:off x="9166712" y="6883586"/>
          <a:ext cx="610" cy="630000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6</xdr:col>
      <xdr:colOff>390525</xdr:colOff>
      <xdr:row>39</xdr:row>
      <xdr:rowOff>171450</xdr:rowOff>
    </xdr:from>
    <xdr:to>
      <xdr:col>10</xdr:col>
      <xdr:colOff>161925</xdr:colOff>
      <xdr:row>41</xdr:row>
      <xdr:rowOff>47625</xdr:rowOff>
    </xdr:to>
    <xdr:sp macro="" textlink="">
      <xdr:nvSpPr>
        <xdr:cNvPr id="50" name="BlokTextu 49">
          <a:extLst>
            <a:ext uri="{FF2B5EF4-FFF2-40B4-BE49-F238E27FC236}">
              <a16:creationId xmlns:a16="http://schemas.microsoft.com/office/drawing/2014/main" id="{E7280267-455B-4E0D-AF6A-ABE383B267A0}"/>
            </a:ext>
          </a:extLst>
        </xdr:cNvPr>
        <xdr:cNvSpPr txBox="1"/>
      </xdr:nvSpPr>
      <xdr:spPr>
        <a:xfrm>
          <a:off x="6257925" y="7791450"/>
          <a:ext cx="25241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k-SK" sz="1100" b="0"/>
            <a:t>uhol</a:t>
          </a:r>
          <a:r>
            <a:rPr lang="sk-SK" sz="1100"/>
            <a:t> uvoľnenia</a:t>
          </a:r>
        </a:p>
      </xdr:txBody>
    </xdr:sp>
    <xdr:clientData/>
  </xdr:twoCellAnchor>
  <xdr:twoCellAnchor>
    <xdr:from>
      <xdr:col>10</xdr:col>
      <xdr:colOff>123825</xdr:colOff>
      <xdr:row>36</xdr:row>
      <xdr:rowOff>85725</xdr:rowOff>
    </xdr:from>
    <xdr:to>
      <xdr:col>13</xdr:col>
      <xdr:colOff>419100</xdr:colOff>
      <xdr:row>37</xdr:row>
      <xdr:rowOff>152400</xdr:rowOff>
    </xdr:to>
    <xdr:sp macro="" textlink="">
      <xdr:nvSpPr>
        <xdr:cNvPr id="51" name="BlokTextu 50">
          <a:extLst>
            <a:ext uri="{FF2B5EF4-FFF2-40B4-BE49-F238E27FC236}">
              <a16:creationId xmlns:a16="http://schemas.microsoft.com/office/drawing/2014/main" id="{3234EF3E-298E-40D1-9720-0131DAB474FC}"/>
            </a:ext>
          </a:extLst>
        </xdr:cNvPr>
        <xdr:cNvSpPr txBox="1"/>
      </xdr:nvSpPr>
      <xdr:spPr>
        <a:xfrm>
          <a:off x="8743950" y="7134225"/>
          <a:ext cx="1828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k-SK" sz="1100"/>
            <a:t>uhol steľby</a:t>
          </a:r>
        </a:p>
      </xdr:txBody>
    </xdr:sp>
    <xdr:clientData/>
  </xdr:twoCellAnchor>
  <xdr:twoCellAnchor>
    <xdr:from>
      <xdr:col>11</xdr:col>
      <xdr:colOff>333375</xdr:colOff>
      <xdr:row>30</xdr:row>
      <xdr:rowOff>95250</xdr:rowOff>
    </xdr:from>
    <xdr:to>
      <xdr:col>14</xdr:col>
      <xdr:colOff>333375</xdr:colOff>
      <xdr:row>31</xdr:row>
      <xdr:rowOff>161925</xdr:rowOff>
    </xdr:to>
    <xdr:sp macro="" textlink="">
      <xdr:nvSpPr>
        <xdr:cNvPr id="52" name="BlokTextu 51">
          <a:extLst>
            <a:ext uri="{FF2B5EF4-FFF2-40B4-BE49-F238E27FC236}">
              <a16:creationId xmlns:a16="http://schemas.microsoft.com/office/drawing/2014/main" id="{738EB763-916A-4881-85FD-DF3D8678D80C}"/>
            </a:ext>
          </a:extLst>
        </xdr:cNvPr>
        <xdr:cNvSpPr txBox="1"/>
      </xdr:nvSpPr>
      <xdr:spPr>
        <a:xfrm>
          <a:off x="9267825" y="6000750"/>
          <a:ext cx="1828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k-SK" sz="1100"/>
            <a:t>výška</a:t>
          </a:r>
          <a:r>
            <a:rPr lang="sk-SK" sz="1100" baseline="0"/>
            <a:t> misky</a:t>
          </a:r>
        </a:p>
      </xdr:txBody>
    </xdr:sp>
    <xdr:clientData/>
  </xdr:twoCellAnchor>
  <xdr:twoCellAnchor>
    <xdr:from>
      <xdr:col>12</xdr:col>
      <xdr:colOff>38100</xdr:colOff>
      <xdr:row>34</xdr:row>
      <xdr:rowOff>104776</xdr:rowOff>
    </xdr:from>
    <xdr:to>
      <xdr:col>12</xdr:col>
      <xdr:colOff>333375</xdr:colOff>
      <xdr:row>35</xdr:row>
      <xdr:rowOff>161926</xdr:rowOff>
    </xdr:to>
    <xdr:sp macro="" textlink="">
      <xdr:nvSpPr>
        <xdr:cNvPr id="53" name="BlokTextu 52">
          <a:extLst>
            <a:ext uri="{FF2B5EF4-FFF2-40B4-BE49-F238E27FC236}">
              <a16:creationId xmlns:a16="http://schemas.microsoft.com/office/drawing/2014/main" id="{74CC7A87-4EF4-4BDD-9C1D-E65D900F6DA9}"/>
            </a:ext>
          </a:extLst>
        </xdr:cNvPr>
        <xdr:cNvSpPr txBox="1"/>
      </xdr:nvSpPr>
      <xdr:spPr>
        <a:xfrm>
          <a:off x="9582150" y="6772276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ym typeface="Symbol" panose="05050102010706020507" pitchFamily="18" charset="2"/>
            </a:rPr>
            <a:t></a:t>
          </a:r>
          <a:endParaRPr lang="sk-SK" sz="1100"/>
        </a:p>
      </xdr:txBody>
    </xdr:sp>
    <xdr:clientData/>
  </xdr:twoCellAnchor>
  <xdr:twoCellAnchor>
    <xdr:from>
      <xdr:col>6</xdr:col>
      <xdr:colOff>533400</xdr:colOff>
      <xdr:row>39</xdr:row>
      <xdr:rowOff>47625</xdr:rowOff>
    </xdr:from>
    <xdr:to>
      <xdr:col>7</xdr:col>
      <xdr:colOff>76200</xdr:colOff>
      <xdr:row>40</xdr:row>
      <xdr:rowOff>104775</xdr:rowOff>
    </xdr:to>
    <xdr:sp macro="" textlink="">
      <xdr:nvSpPr>
        <xdr:cNvPr id="54" name="BlokTextu 53">
          <a:extLst>
            <a:ext uri="{FF2B5EF4-FFF2-40B4-BE49-F238E27FC236}">
              <a16:creationId xmlns:a16="http://schemas.microsoft.com/office/drawing/2014/main" id="{B4E39560-F8C8-4FED-9EE1-0DC47D65C889}"/>
            </a:ext>
          </a:extLst>
        </xdr:cNvPr>
        <xdr:cNvSpPr txBox="1"/>
      </xdr:nvSpPr>
      <xdr:spPr>
        <a:xfrm>
          <a:off x="6400800" y="76676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ym typeface="Symbol" panose="05050102010706020507" pitchFamily="18" charset="2"/>
            </a:rPr>
            <a:t></a:t>
          </a:r>
          <a:endParaRPr lang="sk-SK" sz="1100"/>
        </a:p>
      </xdr:txBody>
    </xdr:sp>
    <xdr:clientData/>
  </xdr:twoCellAnchor>
  <xdr:twoCellAnchor>
    <xdr:from>
      <xdr:col>10</xdr:col>
      <xdr:colOff>219075</xdr:colOff>
      <xdr:row>37</xdr:row>
      <xdr:rowOff>133350</xdr:rowOff>
    </xdr:from>
    <xdr:to>
      <xdr:col>11</xdr:col>
      <xdr:colOff>200025</xdr:colOff>
      <xdr:row>39</xdr:row>
      <xdr:rowOff>0</xdr:rowOff>
    </xdr:to>
    <xdr:sp macro="" textlink="">
      <xdr:nvSpPr>
        <xdr:cNvPr id="55" name="BlokTextu 54">
          <a:extLst>
            <a:ext uri="{FF2B5EF4-FFF2-40B4-BE49-F238E27FC236}">
              <a16:creationId xmlns:a16="http://schemas.microsoft.com/office/drawing/2014/main" id="{98B223EF-FBBC-4E60-B73E-DD0B4030064F}"/>
            </a:ext>
          </a:extLst>
        </xdr:cNvPr>
        <xdr:cNvSpPr txBox="1"/>
      </xdr:nvSpPr>
      <xdr:spPr>
        <a:xfrm>
          <a:off x="8839200" y="7372350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ym typeface="Symbol" panose="05050102010706020507" pitchFamily="18" charset="2"/>
            </a:rPr>
            <a:t></a:t>
          </a:r>
          <a:endParaRPr lang="sk-SK" sz="1100"/>
        </a:p>
      </xdr:txBody>
    </xdr:sp>
    <xdr:clientData/>
  </xdr:twoCellAnchor>
  <xdr:twoCellAnchor>
    <xdr:from>
      <xdr:col>11</xdr:col>
      <xdr:colOff>438150</xdr:colOff>
      <xdr:row>35</xdr:row>
      <xdr:rowOff>9525</xdr:rowOff>
    </xdr:from>
    <xdr:to>
      <xdr:col>12</xdr:col>
      <xdr:colOff>123825</xdr:colOff>
      <xdr:row>36</xdr:row>
      <xdr:rowOff>66675</xdr:rowOff>
    </xdr:to>
    <xdr:sp macro="" textlink="">
      <xdr:nvSpPr>
        <xdr:cNvPr id="56" name="BlokTextu 55">
          <a:extLst>
            <a:ext uri="{FF2B5EF4-FFF2-40B4-BE49-F238E27FC236}">
              <a16:creationId xmlns:a16="http://schemas.microsoft.com/office/drawing/2014/main" id="{3EA20F56-E61B-410D-A951-8423DBC9D863}"/>
            </a:ext>
          </a:extLst>
        </xdr:cNvPr>
        <xdr:cNvSpPr txBox="1"/>
      </xdr:nvSpPr>
      <xdr:spPr>
        <a:xfrm>
          <a:off x="9372600" y="68675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ym typeface="Symbol" panose="05050102010706020507" pitchFamily="18" charset="2"/>
            </a:rPr>
            <a:t>+</a:t>
          </a:r>
          <a:endParaRPr lang="sk-SK" sz="1100"/>
        </a:p>
      </xdr:txBody>
    </xdr:sp>
    <xdr:clientData/>
  </xdr:twoCellAnchor>
  <xdr:twoCellAnchor>
    <xdr:from>
      <xdr:col>12</xdr:col>
      <xdr:colOff>9525</xdr:colOff>
      <xdr:row>25</xdr:row>
      <xdr:rowOff>161925</xdr:rowOff>
    </xdr:from>
    <xdr:to>
      <xdr:col>12</xdr:col>
      <xdr:colOff>304800</xdr:colOff>
      <xdr:row>27</xdr:row>
      <xdr:rowOff>28575</xdr:rowOff>
    </xdr:to>
    <xdr:sp macro="" textlink="">
      <xdr:nvSpPr>
        <xdr:cNvPr id="57" name="BlokTextu 56">
          <a:extLst>
            <a:ext uri="{FF2B5EF4-FFF2-40B4-BE49-F238E27FC236}">
              <a16:creationId xmlns:a16="http://schemas.microsoft.com/office/drawing/2014/main" id="{1EFB2FFB-B4B1-4D00-8D7C-E8BA1503ACD1}"/>
            </a:ext>
          </a:extLst>
        </xdr:cNvPr>
        <xdr:cNvSpPr txBox="1"/>
      </xdr:nvSpPr>
      <xdr:spPr>
        <a:xfrm>
          <a:off x="9553575" y="51149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ym typeface="Symbol" panose="05050102010706020507" pitchFamily="18" charset="2"/>
            </a:rPr>
            <a:t>+</a:t>
          </a:r>
          <a:endParaRPr lang="sk-SK" sz="1100"/>
        </a:p>
      </xdr:txBody>
    </xdr:sp>
    <xdr:clientData/>
  </xdr:twoCellAnchor>
  <xdr:twoCellAnchor>
    <xdr:from>
      <xdr:col>9</xdr:col>
      <xdr:colOff>371475</xdr:colOff>
      <xdr:row>39</xdr:row>
      <xdr:rowOff>57150</xdr:rowOff>
    </xdr:from>
    <xdr:to>
      <xdr:col>10</xdr:col>
      <xdr:colOff>57150</xdr:colOff>
      <xdr:row>40</xdr:row>
      <xdr:rowOff>114300</xdr:rowOff>
    </xdr:to>
    <xdr:sp macro="" textlink="">
      <xdr:nvSpPr>
        <xdr:cNvPr id="58" name="BlokTextu 57">
          <a:extLst>
            <a:ext uri="{FF2B5EF4-FFF2-40B4-BE49-F238E27FC236}">
              <a16:creationId xmlns:a16="http://schemas.microsoft.com/office/drawing/2014/main" id="{9B685103-E53E-4313-B7AA-76B2EF057254}"/>
            </a:ext>
          </a:extLst>
        </xdr:cNvPr>
        <xdr:cNvSpPr txBox="1"/>
      </xdr:nvSpPr>
      <xdr:spPr>
        <a:xfrm>
          <a:off x="8382000" y="7677150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ym typeface="Symbol" panose="05050102010706020507" pitchFamily="18" charset="2"/>
            </a:rPr>
            <a:t>+</a:t>
          </a:r>
          <a:endParaRPr lang="sk-SK" sz="1100"/>
        </a:p>
      </xdr:txBody>
    </xdr:sp>
    <xdr:clientData/>
  </xdr:twoCellAnchor>
  <xdr:twoCellAnchor>
    <xdr:from>
      <xdr:col>7</xdr:col>
      <xdr:colOff>49580</xdr:colOff>
      <xdr:row>40</xdr:row>
      <xdr:rowOff>1045</xdr:rowOff>
    </xdr:from>
    <xdr:to>
      <xdr:col>9</xdr:col>
      <xdr:colOff>296930</xdr:colOff>
      <xdr:row>40</xdr:row>
      <xdr:rowOff>1655</xdr:rowOff>
    </xdr:to>
    <xdr:cxnSp macro="">
      <xdr:nvCxnSpPr>
        <xdr:cNvPr id="59" name="Rovná spojovacia šípka 58">
          <a:extLst>
            <a:ext uri="{FF2B5EF4-FFF2-40B4-BE49-F238E27FC236}">
              <a16:creationId xmlns:a16="http://schemas.microsoft.com/office/drawing/2014/main" id="{743B12D8-5DE6-4B60-B2F9-BA94E6AE662C}"/>
            </a:ext>
          </a:extLst>
        </xdr:cNvPr>
        <xdr:cNvCxnSpPr/>
      </xdr:nvCxnSpPr>
      <xdr:spPr>
        <a:xfrm rot="5400000" flipH="1">
          <a:off x="7488150" y="6992850"/>
          <a:ext cx="610" cy="1638000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37</xdr:row>
      <xdr:rowOff>104775</xdr:rowOff>
    </xdr:from>
    <xdr:to>
      <xdr:col>7</xdr:col>
      <xdr:colOff>219075</xdr:colOff>
      <xdr:row>38</xdr:row>
      <xdr:rowOff>171450</xdr:rowOff>
    </xdr:to>
    <xdr:sp macro="" textlink="">
      <xdr:nvSpPr>
        <xdr:cNvPr id="60" name="BlokTextu 59">
          <a:extLst>
            <a:ext uri="{FF2B5EF4-FFF2-40B4-BE49-F238E27FC236}">
              <a16:creationId xmlns:a16="http://schemas.microsoft.com/office/drawing/2014/main" id="{5F96F2F1-D370-515D-1266-FBF493437D34}"/>
            </a:ext>
          </a:extLst>
        </xdr:cNvPr>
        <xdr:cNvSpPr txBox="1"/>
      </xdr:nvSpPr>
      <xdr:spPr>
        <a:xfrm>
          <a:off x="6076950" y="7381875"/>
          <a:ext cx="7620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>
              <a:solidFill>
                <a:srgbClr val="C00000"/>
              </a:solidFill>
            </a:rPr>
            <a:t>302,07</a:t>
          </a:r>
        </a:p>
      </xdr:txBody>
    </xdr:sp>
    <xdr:clientData/>
  </xdr:twoCellAnchor>
  <xdr:twoCellAnchor>
    <xdr:from>
      <xdr:col>6</xdr:col>
      <xdr:colOff>171450</xdr:colOff>
      <xdr:row>28</xdr:row>
      <xdr:rowOff>133350</xdr:rowOff>
    </xdr:from>
    <xdr:to>
      <xdr:col>7</xdr:col>
      <xdr:colOff>180975</xdr:colOff>
      <xdr:row>30</xdr:row>
      <xdr:rowOff>9525</xdr:rowOff>
    </xdr:to>
    <xdr:sp macro="" textlink="">
      <xdr:nvSpPr>
        <xdr:cNvPr id="61" name="BlokTextu 60">
          <a:extLst>
            <a:ext uri="{FF2B5EF4-FFF2-40B4-BE49-F238E27FC236}">
              <a16:creationId xmlns:a16="http://schemas.microsoft.com/office/drawing/2014/main" id="{D6FE0510-0192-4411-B9FE-FB09DE6157EE}"/>
            </a:ext>
          </a:extLst>
        </xdr:cNvPr>
        <xdr:cNvSpPr txBox="1"/>
      </xdr:nvSpPr>
      <xdr:spPr>
        <a:xfrm>
          <a:off x="6038850" y="5695950"/>
          <a:ext cx="7620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>
              <a:solidFill>
                <a:srgbClr val="C00000"/>
              </a:solidFill>
            </a:rPr>
            <a:t>360,00</a:t>
          </a:r>
        </a:p>
      </xdr:txBody>
    </xdr:sp>
    <xdr:clientData/>
  </xdr:twoCellAnchor>
  <xdr:twoCellAnchor>
    <xdr:from>
      <xdr:col>6</xdr:col>
      <xdr:colOff>723900</xdr:colOff>
      <xdr:row>34</xdr:row>
      <xdr:rowOff>66675</xdr:rowOff>
    </xdr:from>
    <xdr:to>
      <xdr:col>7</xdr:col>
      <xdr:colOff>733425</xdr:colOff>
      <xdr:row>35</xdr:row>
      <xdr:rowOff>133350</xdr:rowOff>
    </xdr:to>
    <xdr:sp macro="" textlink="">
      <xdr:nvSpPr>
        <xdr:cNvPr id="62" name="BlokTextu 61">
          <a:extLst>
            <a:ext uri="{FF2B5EF4-FFF2-40B4-BE49-F238E27FC236}">
              <a16:creationId xmlns:a16="http://schemas.microsoft.com/office/drawing/2014/main" id="{E476D44F-4982-4285-A94A-E171B317E160}"/>
            </a:ext>
          </a:extLst>
        </xdr:cNvPr>
        <xdr:cNvSpPr txBox="1"/>
      </xdr:nvSpPr>
      <xdr:spPr>
        <a:xfrm>
          <a:off x="6591300" y="6772275"/>
          <a:ext cx="7620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>
              <a:solidFill>
                <a:srgbClr val="C00000"/>
              </a:solidFill>
            </a:rPr>
            <a:t>349,41</a:t>
          </a:r>
        </a:p>
      </xdr:txBody>
    </xdr:sp>
    <xdr:clientData/>
  </xdr:twoCellAnchor>
  <xdr:twoCellAnchor>
    <xdr:from>
      <xdr:col>6</xdr:col>
      <xdr:colOff>733425</xdr:colOff>
      <xdr:row>25</xdr:row>
      <xdr:rowOff>133350</xdr:rowOff>
    </xdr:from>
    <xdr:to>
      <xdr:col>7</xdr:col>
      <xdr:colOff>742950</xdr:colOff>
      <xdr:row>27</xdr:row>
      <xdr:rowOff>9525</xdr:rowOff>
    </xdr:to>
    <xdr:sp macro="" textlink="">
      <xdr:nvSpPr>
        <xdr:cNvPr id="63" name="BlokTextu 62">
          <a:extLst>
            <a:ext uri="{FF2B5EF4-FFF2-40B4-BE49-F238E27FC236}">
              <a16:creationId xmlns:a16="http://schemas.microsoft.com/office/drawing/2014/main" id="{147022CA-5F88-459A-857C-4A5ED7B8B7EB}"/>
            </a:ext>
          </a:extLst>
        </xdr:cNvPr>
        <xdr:cNvSpPr txBox="1"/>
      </xdr:nvSpPr>
      <xdr:spPr>
        <a:xfrm>
          <a:off x="6600825" y="5124450"/>
          <a:ext cx="7620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>
              <a:solidFill>
                <a:srgbClr val="C00000"/>
              </a:solidFill>
            </a:rPr>
            <a:t>426,36</a:t>
          </a:r>
        </a:p>
      </xdr:txBody>
    </xdr:sp>
    <xdr:clientData/>
  </xdr:twoCellAnchor>
  <xdr:twoCellAnchor>
    <xdr:from>
      <xdr:col>9</xdr:col>
      <xdr:colOff>257175</xdr:colOff>
      <xdr:row>37</xdr:row>
      <xdr:rowOff>95250</xdr:rowOff>
    </xdr:from>
    <xdr:to>
      <xdr:col>11</xdr:col>
      <xdr:colOff>95250</xdr:colOff>
      <xdr:row>38</xdr:row>
      <xdr:rowOff>161925</xdr:rowOff>
    </xdr:to>
    <xdr:sp macro="" textlink="">
      <xdr:nvSpPr>
        <xdr:cNvPr id="64" name="BlokTextu 63">
          <a:extLst>
            <a:ext uri="{FF2B5EF4-FFF2-40B4-BE49-F238E27FC236}">
              <a16:creationId xmlns:a16="http://schemas.microsoft.com/office/drawing/2014/main" id="{C652DD2E-81BE-4B5C-985A-FC61D4D9164B}"/>
            </a:ext>
          </a:extLst>
        </xdr:cNvPr>
        <xdr:cNvSpPr txBox="1"/>
      </xdr:nvSpPr>
      <xdr:spPr>
        <a:xfrm>
          <a:off x="8267700" y="7372350"/>
          <a:ext cx="7620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>
              <a:solidFill>
                <a:srgbClr val="C00000"/>
              </a:solidFill>
            </a:rPr>
            <a:t>372,60</a:t>
          </a:r>
        </a:p>
      </xdr:txBody>
    </xdr:sp>
    <xdr:clientData/>
  </xdr:twoCellAnchor>
  <xdr:twoCellAnchor>
    <xdr:from>
      <xdr:col>8</xdr:col>
      <xdr:colOff>333375</xdr:colOff>
      <xdr:row>27</xdr:row>
      <xdr:rowOff>171450</xdr:rowOff>
    </xdr:from>
    <xdr:to>
      <xdr:col>9</xdr:col>
      <xdr:colOff>485775</xdr:colOff>
      <xdr:row>29</xdr:row>
      <xdr:rowOff>47625</xdr:rowOff>
    </xdr:to>
    <xdr:sp macro="" textlink="">
      <xdr:nvSpPr>
        <xdr:cNvPr id="65" name="BlokTextu 64">
          <a:extLst>
            <a:ext uri="{FF2B5EF4-FFF2-40B4-BE49-F238E27FC236}">
              <a16:creationId xmlns:a16="http://schemas.microsoft.com/office/drawing/2014/main" id="{2C2B98BB-6882-4A7E-8D6D-139A3F57F2F5}"/>
            </a:ext>
          </a:extLst>
        </xdr:cNvPr>
        <xdr:cNvSpPr txBox="1"/>
      </xdr:nvSpPr>
      <xdr:spPr>
        <a:xfrm>
          <a:off x="7734300" y="5543550"/>
          <a:ext cx="7620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>
              <a:solidFill>
                <a:srgbClr val="C00000"/>
              </a:solidFill>
            </a:rPr>
            <a:t>450,79</a:t>
          </a:r>
        </a:p>
      </xdr:txBody>
    </xdr:sp>
    <xdr:clientData/>
  </xdr:twoCellAnchor>
  <xdr:twoCellAnchor>
    <xdr:from>
      <xdr:col>10</xdr:col>
      <xdr:colOff>133350</xdr:colOff>
      <xdr:row>34</xdr:row>
      <xdr:rowOff>57150</xdr:rowOff>
    </xdr:from>
    <xdr:to>
      <xdr:col>11</xdr:col>
      <xdr:colOff>581025</xdr:colOff>
      <xdr:row>35</xdr:row>
      <xdr:rowOff>123825</xdr:rowOff>
    </xdr:to>
    <xdr:sp macro="" textlink="">
      <xdr:nvSpPr>
        <xdr:cNvPr id="66" name="BlokTextu 65">
          <a:extLst>
            <a:ext uri="{FF2B5EF4-FFF2-40B4-BE49-F238E27FC236}">
              <a16:creationId xmlns:a16="http://schemas.microsoft.com/office/drawing/2014/main" id="{DA833917-6C5A-4288-A966-7E75336F62F0}"/>
            </a:ext>
          </a:extLst>
        </xdr:cNvPr>
        <xdr:cNvSpPr txBox="1"/>
      </xdr:nvSpPr>
      <xdr:spPr>
        <a:xfrm>
          <a:off x="8753475" y="6762750"/>
          <a:ext cx="7620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>
              <a:solidFill>
                <a:srgbClr val="C00000"/>
              </a:solidFill>
            </a:rPr>
            <a:t>501,10</a:t>
          </a:r>
        </a:p>
      </xdr:txBody>
    </xdr:sp>
    <xdr:clientData/>
  </xdr:twoCellAnchor>
  <xdr:twoCellAnchor>
    <xdr:from>
      <xdr:col>10</xdr:col>
      <xdr:colOff>76200</xdr:colOff>
      <xdr:row>25</xdr:row>
      <xdr:rowOff>123825</xdr:rowOff>
    </xdr:from>
    <xdr:to>
      <xdr:col>11</xdr:col>
      <xdr:colOff>523875</xdr:colOff>
      <xdr:row>27</xdr:row>
      <xdr:rowOff>0</xdr:rowOff>
    </xdr:to>
    <xdr:sp macro="" textlink="">
      <xdr:nvSpPr>
        <xdr:cNvPr id="67" name="BlokTextu 66">
          <a:extLst>
            <a:ext uri="{FF2B5EF4-FFF2-40B4-BE49-F238E27FC236}">
              <a16:creationId xmlns:a16="http://schemas.microsoft.com/office/drawing/2014/main" id="{05ECD977-0D80-45D4-8F89-8B870A893402}"/>
            </a:ext>
          </a:extLst>
        </xdr:cNvPr>
        <xdr:cNvSpPr txBox="1"/>
      </xdr:nvSpPr>
      <xdr:spPr>
        <a:xfrm>
          <a:off x="8696325" y="5114925"/>
          <a:ext cx="7620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>
              <a:solidFill>
                <a:srgbClr val="C00000"/>
              </a:solidFill>
            </a:rPr>
            <a:t>601,30</a:t>
          </a:r>
        </a:p>
      </xdr:txBody>
    </xdr:sp>
    <xdr:clientData/>
  </xdr:twoCellAnchor>
  <xdr:twoCellAnchor editAs="oneCell">
    <xdr:from>
      <xdr:col>3</xdr:col>
      <xdr:colOff>334662</xdr:colOff>
      <xdr:row>47</xdr:row>
      <xdr:rowOff>38615</xdr:rowOff>
    </xdr:from>
    <xdr:to>
      <xdr:col>8</xdr:col>
      <xdr:colOff>283175</xdr:colOff>
      <xdr:row>66</xdr:row>
      <xdr:rowOff>76671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68E61D1-9826-43E1-8D7C-AA319C5AA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486" r="6503"/>
        <a:stretch/>
      </xdr:blipFill>
      <xdr:spPr>
        <a:xfrm>
          <a:off x="2818885" y="9396284"/>
          <a:ext cx="4852601" cy="37064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43860</xdr:colOff>
      <xdr:row>57</xdr:row>
      <xdr:rowOff>32564</xdr:rowOff>
    </xdr:from>
    <xdr:ext cx="11185768" cy="51646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BlokTextu 2">
              <a:extLst>
                <a:ext uri="{FF2B5EF4-FFF2-40B4-BE49-F238E27FC236}">
                  <a16:creationId xmlns:a16="http://schemas.microsoft.com/office/drawing/2014/main" id="{727C67DE-C109-453B-B7E0-AD713B71592F}"/>
                </a:ext>
              </a:extLst>
            </xdr:cNvPr>
            <xdr:cNvSpPr txBox="1"/>
          </xdr:nvSpPr>
          <xdr:spPr>
            <a:xfrm>
              <a:off x="651079" y="11403033"/>
              <a:ext cx="11185768" cy="516462"/>
            </a:xfrm>
            <a:prstGeom prst="rect">
              <a:avLst/>
            </a:prstGeom>
            <a:solidFill>
              <a:schemeClr val="bg1"/>
            </a:solidFill>
            <a:ln w="19050">
              <a:solidFill>
                <a:srgbClr val="C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sk-SK" sz="1100" i="1">
                        <a:latin typeface="Cambria Math" panose="02040503050406030204" pitchFamily="18" charset="0"/>
                      </a:rPr>
                      <m:t>𝑓𝐿</m:t>
                    </m:r>
                    <m:r>
                      <a:rPr lang="sk-SK" sz="1100" i="1">
                        <a:latin typeface="Cambria Math" panose="02040503050406030204" pitchFamily="18" charset="0"/>
                      </a:rPr>
                      <m:t> </m:t>
                    </m:r>
                    <m:d>
                      <m:dPr>
                        <m:ctrlPr>
                          <a:rPr lang="sk-SK" sz="110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sk-SK" sz="110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sk-SK" sz="1100" i="1">
                            <a:latin typeface="Cambria Math" panose="02040503050406030204" pitchFamily="18" charset="0"/>
                          </a:rPr>
                          <m:t>1,</m:t>
                        </m:r>
                        <m:r>
                          <a:rPr lang="sk-SK" sz="110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sk-SK" sz="1100" i="1">
                            <a:latin typeface="Cambria Math" panose="02040503050406030204" pitchFamily="18" charset="0"/>
                          </a:rPr>
                          <m:t>2,</m:t>
                        </m:r>
                        <m:r>
                          <a:rPr lang="sk-SK" sz="110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sk-SK" sz="1100" i="1">
                            <a:latin typeface="Cambria Math" panose="02040503050406030204" pitchFamily="18" charset="0"/>
                          </a:rPr>
                          <m:t>3</m:t>
                        </m:r>
                      </m:e>
                    </m:d>
                    <m:r>
                      <a:rPr lang="sk-SK" sz="1100" i="1">
                        <a:latin typeface="Cambria Math" panose="02040503050406030204" pitchFamily="18" charset="0"/>
                      </a:rPr>
                      <m:t>= 420,45 + 60,99∗</m:t>
                    </m:r>
                    <m:f>
                      <m:fPr>
                        <m:ctrlPr>
                          <a:rPr lang="sk-SK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1−170</m:t>
                        </m:r>
                      </m:num>
                      <m:den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10</m:t>
                        </m:r>
                      </m:den>
                    </m:f>
                    <m:r>
                      <a:rPr lang="sk-SK" sz="1100" i="1">
                        <a:latin typeface="Cambria Math" panose="02040503050406030204" pitchFamily="18" charset="0"/>
                      </a:rPr>
                      <m:t>+ 49,09∗</m:t>
                    </m:r>
                    <m:f>
                      <m:fPr>
                        <m:ctrlPr>
                          <a:rPr lang="sk-SK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2−110</m:t>
                        </m:r>
                      </m:num>
                      <m:den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10</m:t>
                        </m:r>
                      </m:den>
                    </m:f>
                    <m:r>
                      <a:rPr lang="sk-SK" sz="1100" i="1">
                        <a:latin typeface="Cambria Math" panose="02040503050406030204" pitchFamily="18" charset="0"/>
                      </a:rPr>
                      <m:t> + 39,16∗</m:t>
                    </m:r>
                    <m:f>
                      <m:fPr>
                        <m:ctrlPr>
                          <a:rPr lang="sk-SK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3−280</m:t>
                        </m:r>
                      </m:num>
                      <m:den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20</m:t>
                        </m:r>
                      </m:den>
                    </m:f>
                    <m:r>
                      <a:rPr lang="sk-SK" sz="1100" i="1">
                        <a:latin typeface="Cambria Math" panose="02040503050406030204" pitchFamily="18" charset="0"/>
                      </a:rPr>
                      <m:t> + 20,66∗</m:t>
                    </m:r>
                    <m:f>
                      <m:fPr>
                        <m:ctrlPr>
                          <a:rPr lang="sk-SK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1−170</m:t>
                        </m:r>
                      </m:num>
                      <m:den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10</m:t>
                        </m:r>
                      </m:den>
                    </m:f>
                    <m:r>
                      <a:rPr lang="sk-SK" sz="110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sk-SK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2−110</m:t>
                        </m:r>
                      </m:num>
                      <m:den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10</m:t>
                        </m:r>
                      </m:den>
                    </m:f>
                    <m:r>
                      <a:rPr lang="sk-SK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i="1">
                        <a:latin typeface="Cambria Math" panose="02040503050406030204" pitchFamily="18" charset="0"/>
                      </a:rPr>
                      <m:t>+ 5,44∗</m:t>
                    </m:r>
                    <m:f>
                      <m:fPr>
                        <m:ctrlPr>
                          <a:rPr lang="sk-SK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1−170</m:t>
                        </m:r>
                      </m:num>
                      <m:den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10</m:t>
                        </m:r>
                      </m:den>
                    </m:f>
                    <m:r>
                      <a:rPr lang="sk-SK" sz="110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sk-SK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3−280</m:t>
                        </m:r>
                      </m:num>
                      <m:den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20</m:t>
                        </m:r>
                      </m:den>
                    </m:f>
                    <m:r>
                      <a:rPr lang="sk-SK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i="1">
                        <a:latin typeface="Cambria Math" panose="02040503050406030204" pitchFamily="18" charset="0"/>
                      </a:rPr>
                      <m:t> + 5,13∗</m:t>
                    </m:r>
                    <m:f>
                      <m:fPr>
                        <m:ctrlPr>
                          <a:rPr lang="sk-SK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2−110</m:t>
                        </m:r>
                      </m:num>
                      <m:den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10</m:t>
                        </m:r>
                      </m:den>
                    </m:f>
                    <m:r>
                      <a:rPr lang="sk-SK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sk-SK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3−280</m:t>
                        </m:r>
                      </m:num>
                      <m:den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20</m:t>
                        </m:r>
                      </m:den>
                    </m:f>
                  </m:oMath>
                </m:oMathPara>
              </a14:m>
              <a:endParaRPr lang="sk-SK" sz="1100"/>
            </a:p>
          </xdr:txBody>
        </xdr:sp>
      </mc:Choice>
      <mc:Fallback xmlns="">
        <xdr:sp macro="" textlink="">
          <xdr:nvSpPr>
            <xdr:cNvPr id="3" name="BlokTextu 2">
              <a:extLst>
                <a:ext uri="{FF2B5EF4-FFF2-40B4-BE49-F238E27FC236}">
                  <a16:creationId xmlns:a16="http://schemas.microsoft.com/office/drawing/2014/main" id="{727C67DE-C109-453B-B7E0-AD713B71592F}"/>
                </a:ext>
              </a:extLst>
            </xdr:cNvPr>
            <xdr:cNvSpPr txBox="1"/>
          </xdr:nvSpPr>
          <xdr:spPr>
            <a:xfrm>
              <a:off x="651079" y="11403033"/>
              <a:ext cx="11185768" cy="516462"/>
            </a:xfrm>
            <a:prstGeom prst="rect">
              <a:avLst/>
            </a:prstGeom>
            <a:solidFill>
              <a:schemeClr val="bg1"/>
            </a:solidFill>
            <a:ln w="19050">
              <a:solidFill>
                <a:srgbClr val="C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sk-SK" sz="1100" i="0">
                  <a:latin typeface="Cambria Math" panose="02040503050406030204" pitchFamily="18" charset="0"/>
                </a:rPr>
                <a:t>𝑓𝐿 (𝑥1,𝑥2,𝑥3)= 420,45 + 60,99∗(</a:t>
              </a:r>
              <a:r>
                <a:rPr lang="sk-SK" sz="1100" b="0" i="0">
                  <a:latin typeface="Cambria Math" panose="02040503050406030204" pitchFamily="18" charset="0"/>
                </a:rPr>
                <a:t>𝑥1−170)/10</a:t>
              </a:r>
              <a:r>
                <a:rPr lang="sk-SK" sz="1100" i="0">
                  <a:latin typeface="Cambria Math" panose="02040503050406030204" pitchFamily="18" charset="0"/>
                </a:rPr>
                <a:t>+ 49,09∗(</a:t>
              </a:r>
              <a:r>
                <a:rPr lang="sk-SK" sz="1100" b="0" i="0">
                  <a:latin typeface="Cambria Math" panose="02040503050406030204" pitchFamily="18" charset="0"/>
                </a:rPr>
                <a:t>𝑥2−110)/10 </a:t>
              </a:r>
              <a:r>
                <a:rPr lang="sk-SK" sz="1100" i="0">
                  <a:latin typeface="Cambria Math" panose="02040503050406030204" pitchFamily="18" charset="0"/>
                </a:rPr>
                <a:t> + 39,16∗(</a:t>
              </a:r>
              <a:r>
                <a:rPr lang="sk-SK" sz="1100" b="0" i="0">
                  <a:latin typeface="Cambria Math" panose="02040503050406030204" pitchFamily="18" charset="0"/>
                </a:rPr>
                <a:t>𝑥3−280)/20 </a:t>
              </a:r>
              <a:r>
                <a:rPr lang="sk-SK" sz="1100" i="0">
                  <a:latin typeface="Cambria Math" panose="02040503050406030204" pitchFamily="18" charset="0"/>
                </a:rPr>
                <a:t> + 20,66∗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sk-S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𝑥1−170)/10</a:t>
              </a:r>
              <a:r>
                <a:rPr lang="sk-SK" sz="1100" i="0">
                  <a:latin typeface="Cambria Math" panose="02040503050406030204" pitchFamily="18" charset="0"/>
                </a:rPr>
                <a:t>∗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sk-S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𝑥2−110)/10 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sk-SK" sz="1100" i="0">
                  <a:latin typeface="Cambria Math" panose="02040503050406030204" pitchFamily="18" charset="0"/>
                </a:rPr>
                <a:t>+ 5,44∗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sk-S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𝑥1−170)/10</a:t>
              </a:r>
              <a:r>
                <a:rPr lang="sk-SK" sz="1100" i="0">
                  <a:latin typeface="Cambria Math" panose="02040503050406030204" pitchFamily="18" charset="0"/>
                </a:rPr>
                <a:t>∗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sk-S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𝑥3−280)/20 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sk-SK" sz="1100" i="0">
                  <a:latin typeface="Cambria Math" panose="02040503050406030204" pitchFamily="18" charset="0"/>
                </a:rPr>
                <a:t> + 5,13∗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sk-S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𝑥2−110)/10 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sk-SK" sz="1100" i="0">
                  <a:latin typeface="Cambria Math" panose="02040503050406030204" pitchFamily="18" charset="0"/>
                </a:rPr>
                <a:t>∗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sk-S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𝑥3−280)/20</a:t>
              </a:r>
              <a:endParaRPr lang="sk-SK" sz="1100"/>
            </a:p>
          </xdr:txBody>
        </xdr:sp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453571</xdr:colOff>
      <xdr:row>23</xdr:row>
      <xdr:rowOff>113393</xdr:rowOff>
    </xdr:from>
    <xdr:to>
      <xdr:col>6</xdr:col>
      <xdr:colOff>884464</xdr:colOff>
      <xdr:row>30</xdr:row>
      <xdr:rowOff>124732</xdr:rowOff>
    </xdr:to>
    <xdr:cxnSp macro="">
      <xdr:nvCxnSpPr>
        <xdr:cNvPr id="2" name="Rovná spojovacia šípka 1">
          <a:extLst>
            <a:ext uri="{FF2B5EF4-FFF2-40B4-BE49-F238E27FC236}">
              <a16:creationId xmlns:a16="http://schemas.microsoft.com/office/drawing/2014/main" id="{590890BD-9245-4955-8FE0-ECA9BCF0D82A}"/>
            </a:ext>
          </a:extLst>
        </xdr:cNvPr>
        <xdr:cNvCxnSpPr/>
      </xdr:nvCxnSpPr>
      <xdr:spPr>
        <a:xfrm flipV="1">
          <a:off x="5216071" y="25564193"/>
          <a:ext cx="1040493" cy="136388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928687</xdr:colOff>
      <xdr:row>2</xdr:row>
      <xdr:rowOff>107156</xdr:rowOff>
    </xdr:from>
    <xdr:to>
      <xdr:col>10</xdr:col>
      <xdr:colOff>76200</xdr:colOff>
      <xdr:row>3</xdr:row>
      <xdr:rowOff>85725</xdr:rowOff>
    </xdr:to>
    <xdr:cxnSp macro="">
      <xdr:nvCxnSpPr>
        <xdr:cNvPr id="4" name="Rovná spojovacia šípka 3">
          <a:extLst>
            <a:ext uri="{FF2B5EF4-FFF2-40B4-BE49-F238E27FC236}">
              <a16:creationId xmlns:a16="http://schemas.microsoft.com/office/drawing/2014/main" id="{F7C7AC53-F054-65D2-2434-03F189327544}"/>
            </a:ext>
          </a:extLst>
        </xdr:cNvPr>
        <xdr:cNvCxnSpPr/>
      </xdr:nvCxnSpPr>
      <xdr:spPr>
        <a:xfrm>
          <a:off x="7441406" y="547687"/>
          <a:ext cx="2266950" cy="169069"/>
        </a:xfrm>
        <a:prstGeom prst="straightConnector1">
          <a:avLst/>
        </a:prstGeom>
        <a:ln w="9525" cap="flat" cmpd="sng" algn="ctr">
          <a:solidFill>
            <a:srgbClr val="A21F00"/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oneCellAnchor>
    <xdr:from>
      <xdr:col>12</xdr:col>
      <xdr:colOff>11112</xdr:colOff>
      <xdr:row>64</xdr:row>
      <xdr:rowOff>106349</xdr:rowOff>
    </xdr:from>
    <xdr:ext cx="1548000" cy="4680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BlokTextu 5">
              <a:extLst>
                <a:ext uri="{FF2B5EF4-FFF2-40B4-BE49-F238E27FC236}">
                  <a16:creationId xmlns:a16="http://schemas.microsoft.com/office/drawing/2014/main" id="{28653F94-C397-FCDA-B3BA-1892E91480B8}"/>
                </a:ext>
              </a:extLst>
            </xdr:cNvPr>
            <xdr:cNvSpPr txBox="1"/>
          </xdr:nvSpPr>
          <xdr:spPr>
            <a:xfrm>
              <a:off x="10306771" y="12514826"/>
              <a:ext cx="1548000" cy="468000"/>
            </a:xfrm>
            <a:prstGeom prst="rect">
              <a:avLst/>
            </a:prstGeom>
            <a:ln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sk-SK" sz="1200" b="0" i="1">
                        <a:latin typeface="Cambria Math" panose="02040503050406030204" pitchFamily="18" charset="0"/>
                      </a:rPr>
                      <m:t>𝐹</m:t>
                    </m:r>
                    <m:r>
                      <a:rPr lang="sk-SK" sz="12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sk-S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sk-SK" sz="1200" b="0" i="1">
                            <a:latin typeface="Cambria Math" panose="02040503050406030204" pitchFamily="18" charset="0"/>
                          </a:rPr>
                          <m:t>𝑆𝑆𝐿𝐹</m:t>
                        </m:r>
                        <m:r>
                          <a:rPr lang="sk-SK" sz="1200" b="0" i="1">
                            <a:latin typeface="Cambria Math" panose="02040503050406030204" pitchFamily="18" charset="0"/>
                          </a:rPr>
                          <m:t>/</m:t>
                        </m:r>
                        <m:r>
                          <a:rPr lang="sk-SK" sz="1200" b="0" i="1">
                            <a:latin typeface="Cambria Math" panose="02040503050406030204" pitchFamily="18" charset="0"/>
                          </a:rPr>
                          <m:t>𝑑𝑓𝐿𝐹</m:t>
                        </m:r>
                      </m:num>
                      <m:den>
                        <m:r>
                          <a:rPr lang="sk-SK" sz="1200" b="0" i="1">
                            <a:latin typeface="Cambria Math" panose="02040503050406030204" pitchFamily="18" charset="0"/>
                          </a:rPr>
                          <m:t>𝑆𝑆𝑃𝐸</m:t>
                        </m:r>
                        <m:r>
                          <a:rPr lang="sk-SK" sz="1200" b="0" i="1">
                            <a:latin typeface="Cambria Math" panose="02040503050406030204" pitchFamily="18" charset="0"/>
                          </a:rPr>
                          <m:t>/</m:t>
                        </m:r>
                        <m:r>
                          <a:rPr lang="sk-SK" sz="1200" b="0" i="1">
                            <a:latin typeface="Cambria Math" panose="02040503050406030204" pitchFamily="18" charset="0"/>
                          </a:rPr>
                          <m:t>𝑑𝑓𝑃𝐸</m:t>
                        </m:r>
                      </m:den>
                    </m:f>
                  </m:oMath>
                </m:oMathPara>
              </a14:m>
              <a:endParaRPr lang="sk-SK" sz="1100"/>
            </a:p>
          </xdr:txBody>
        </xdr:sp>
      </mc:Choice>
      <mc:Fallback xmlns="">
        <xdr:sp macro="" textlink="">
          <xdr:nvSpPr>
            <xdr:cNvPr id="6" name="BlokTextu 5">
              <a:extLst>
                <a:ext uri="{FF2B5EF4-FFF2-40B4-BE49-F238E27FC236}">
                  <a16:creationId xmlns:a16="http://schemas.microsoft.com/office/drawing/2014/main" id="{28653F94-C397-FCDA-B3BA-1892E91480B8}"/>
                </a:ext>
              </a:extLst>
            </xdr:cNvPr>
            <xdr:cNvSpPr txBox="1"/>
          </xdr:nvSpPr>
          <xdr:spPr>
            <a:xfrm>
              <a:off x="10306771" y="12514826"/>
              <a:ext cx="1548000" cy="468000"/>
            </a:xfrm>
            <a:prstGeom prst="rect">
              <a:avLst/>
            </a:prstGeom>
            <a:ln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rtlCol="0" anchor="ctr">
              <a:spAutoFit/>
            </a:bodyPr>
            <a:lstStyle/>
            <a:p>
              <a:pPr/>
              <a:r>
                <a:rPr lang="sk-SK" sz="1200" b="0" i="0">
                  <a:latin typeface="Cambria Math" panose="02040503050406030204" pitchFamily="18" charset="0"/>
                </a:rPr>
                <a:t>𝐹=</a:t>
              </a:r>
              <a:r>
                <a:rPr lang="sk-SK" sz="1200" i="0">
                  <a:latin typeface="Cambria Math" panose="02040503050406030204" pitchFamily="18" charset="0"/>
                </a:rPr>
                <a:t>(</a:t>
              </a:r>
              <a:r>
                <a:rPr lang="sk-SK" sz="1200" b="0" i="0">
                  <a:latin typeface="Cambria Math" panose="02040503050406030204" pitchFamily="18" charset="0"/>
                </a:rPr>
                <a:t>𝑆𝑆𝐿𝐹/𝑑𝑓𝐿𝐹)/(𝑆𝑆𝑃𝐸/𝑑𝑓𝑃𝐸)</a:t>
              </a:r>
              <a:endParaRPr lang="sk-SK" sz="1100"/>
            </a:p>
          </xdr:txBody>
        </xdr:sp>
      </mc:Fallback>
    </mc:AlternateContent>
    <xdr:clientData/>
  </xdr:oneCellAnchor>
  <xdr:oneCellAnchor>
    <xdr:from>
      <xdr:col>4</xdr:col>
      <xdr:colOff>296333</xdr:colOff>
      <xdr:row>89</xdr:row>
      <xdr:rowOff>53045</xdr:rowOff>
    </xdr:from>
    <xdr:ext cx="952120" cy="3195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BlokTextu 6">
              <a:extLst>
                <a:ext uri="{FF2B5EF4-FFF2-40B4-BE49-F238E27FC236}">
                  <a16:creationId xmlns:a16="http://schemas.microsoft.com/office/drawing/2014/main" id="{55F91591-AA1E-4DE9-A1BC-FE868BFE8002}"/>
                </a:ext>
              </a:extLst>
            </xdr:cNvPr>
            <xdr:cNvSpPr txBox="1"/>
          </xdr:nvSpPr>
          <xdr:spPr>
            <a:xfrm>
              <a:off x="3884083" y="17377962"/>
              <a:ext cx="952120" cy="319575"/>
            </a:xfrm>
            <a:prstGeom prst="rect">
              <a:avLst/>
            </a:prstGeom>
            <a:ln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sk-SK" sz="1000" b="0" i="1">
                        <a:latin typeface="Cambria Math" panose="02040503050406030204" pitchFamily="18" charset="0"/>
                      </a:rPr>
                      <m:t>𝐹</m:t>
                    </m:r>
                    <m:r>
                      <a:rPr lang="sk-SK" sz="10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sk-SK" sz="10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sk-SK" sz="1000" b="0" i="1">
                            <a:latin typeface="Cambria Math" panose="02040503050406030204" pitchFamily="18" charset="0"/>
                          </a:rPr>
                          <m:t>𝑆𝑆𝐿𝐹</m:t>
                        </m:r>
                        <m:r>
                          <a:rPr lang="sk-SK" sz="1000" b="0" i="1">
                            <a:latin typeface="Cambria Math" panose="02040503050406030204" pitchFamily="18" charset="0"/>
                          </a:rPr>
                          <m:t>/</m:t>
                        </m:r>
                        <m:r>
                          <a:rPr lang="sk-SK" sz="1000" b="0" i="1">
                            <a:latin typeface="Cambria Math" panose="02040503050406030204" pitchFamily="18" charset="0"/>
                          </a:rPr>
                          <m:t>𝑑𝑓𝐿𝐹</m:t>
                        </m:r>
                      </m:num>
                      <m:den>
                        <m:r>
                          <a:rPr lang="sk-SK" sz="1000" b="0" i="1">
                            <a:latin typeface="Cambria Math" panose="02040503050406030204" pitchFamily="18" charset="0"/>
                          </a:rPr>
                          <m:t>𝑆𝑆𝑃𝐸</m:t>
                        </m:r>
                        <m:r>
                          <a:rPr lang="sk-SK" sz="1000" b="0" i="1">
                            <a:latin typeface="Cambria Math" panose="02040503050406030204" pitchFamily="18" charset="0"/>
                          </a:rPr>
                          <m:t>/</m:t>
                        </m:r>
                        <m:r>
                          <a:rPr lang="sk-SK" sz="1000" b="0" i="1">
                            <a:latin typeface="Cambria Math" panose="02040503050406030204" pitchFamily="18" charset="0"/>
                          </a:rPr>
                          <m:t>𝑑𝑓𝑃𝐸</m:t>
                        </m:r>
                      </m:den>
                    </m:f>
                  </m:oMath>
                </m:oMathPara>
              </a14:m>
              <a:endParaRPr lang="sk-SK" sz="1100"/>
            </a:p>
          </xdr:txBody>
        </xdr:sp>
      </mc:Choice>
      <mc:Fallback xmlns="">
        <xdr:sp macro="" textlink="">
          <xdr:nvSpPr>
            <xdr:cNvPr id="7" name="BlokTextu 6">
              <a:extLst>
                <a:ext uri="{FF2B5EF4-FFF2-40B4-BE49-F238E27FC236}">
                  <a16:creationId xmlns:a16="http://schemas.microsoft.com/office/drawing/2014/main" id="{55F91591-AA1E-4DE9-A1BC-FE868BFE8002}"/>
                </a:ext>
              </a:extLst>
            </xdr:cNvPr>
            <xdr:cNvSpPr txBox="1"/>
          </xdr:nvSpPr>
          <xdr:spPr>
            <a:xfrm>
              <a:off x="3884083" y="17377962"/>
              <a:ext cx="952120" cy="319575"/>
            </a:xfrm>
            <a:prstGeom prst="rect">
              <a:avLst/>
            </a:prstGeom>
            <a:ln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rtlCol="0" anchor="ctr">
              <a:spAutoFit/>
            </a:bodyPr>
            <a:lstStyle/>
            <a:p>
              <a:pPr/>
              <a:r>
                <a:rPr lang="sk-SK" sz="1000" b="0" i="0">
                  <a:latin typeface="Cambria Math" panose="02040503050406030204" pitchFamily="18" charset="0"/>
                </a:rPr>
                <a:t>𝐹=</a:t>
              </a:r>
              <a:r>
                <a:rPr lang="sk-SK" sz="1000" i="0">
                  <a:latin typeface="Cambria Math" panose="02040503050406030204" pitchFamily="18" charset="0"/>
                </a:rPr>
                <a:t>(</a:t>
              </a:r>
              <a:r>
                <a:rPr lang="sk-SK" sz="1000" b="0" i="0">
                  <a:latin typeface="Cambria Math" panose="02040503050406030204" pitchFamily="18" charset="0"/>
                </a:rPr>
                <a:t>𝑆𝑆𝐿𝐹/𝑑𝑓𝐿𝐹)/(𝑆𝑆𝑃𝐸/𝑑𝑓𝑃𝐸)</a:t>
              </a:r>
              <a:endParaRPr lang="sk-SK" sz="1100"/>
            </a:p>
          </xdr:txBody>
        </xdr:sp>
      </mc:Fallback>
    </mc:AlternateContent>
    <xdr:clientData/>
  </xdr:oneCellAnchor>
  <xdr:twoCellAnchor editAs="oneCell">
    <xdr:from>
      <xdr:col>1</xdr:col>
      <xdr:colOff>11907</xdr:colOff>
      <xdr:row>147</xdr:row>
      <xdr:rowOff>59530</xdr:rowOff>
    </xdr:from>
    <xdr:to>
      <xdr:col>7</xdr:col>
      <xdr:colOff>47415</xdr:colOff>
      <xdr:row>170</xdr:row>
      <xdr:rowOff>69650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831FE4BE-E67D-4C7E-83DB-E680B941B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6" y="24264936"/>
          <a:ext cx="5941008" cy="4391620"/>
        </a:xfrm>
        <a:prstGeom prst="rect">
          <a:avLst/>
        </a:prstGeom>
        <a:ln w="28575">
          <a:solidFill>
            <a:srgbClr val="003366"/>
          </a:solidFill>
        </a:ln>
      </xdr:spPr>
    </xdr:pic>
    <xdr:clientData/>
  </xdr:twoCellAnchor>
  <xdr:twoCellAnchor editAs="oneCell">
    <xdr:from>
      <xdr:col>9</xdr:col>
      <xdr:colOff>0</xdr:colOff>
      <xdr:row>147</xdr:row>
      <xdr:rowOff>0</xdr:rowOff>
    </xdr:from>
    <xdr:to>
      <xdr:col>15</xdr:col>
      <xdr:colOff>114009</xdr:colOff>
      <xdr:row>170</xdr:row>
      <xdr:rowOff>59531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E7271ED4-91E8-499C-ABF2-17976FDAE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0" y="24205406"/>
          <a:ext cx="6138572" cy="4441031"/>
        </a:xfrm>
        <a:prstGeom prst="rect">
          <a:avLst/>
        </a:prstGeom>
        <a:ln w="28575">
          <a:solidFill>
            <a:srgbClr val="003366"/>
          </a:solidFill>
        </a:ln>
      </xdr:spPr>
    </xdr:pic>
    <xdr:clientData/>
  </xdr:twoCellAnchor>
  <xdr:twoCellAnchor>
    <xdr:from>
      <xdr:col>1</xdr:col>
      <xdr:colOff>511968</xdr:colOff>
      <xdr:row>123</xdr:row>
      <xdr:rowOff>11906</xdr:rowOff>
    </xdr:from>
    <xdr:to>
      <xdr:col>4</xdr:col>
      <xdr:colOff>1093990</xdr:colOff>
      <xdr:row>132</xdr:row>
      <xdr:rowOff>174752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9F4E9F01-2F5F-4F03-9754-074C917CF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107155</xdr:colOff>
      <xdr:row>122</xdr:row>
      <xdr:rowOff>188800</xdr:rowOff>
    </xdr:from>
    <xdr:to>
      <xdr:col>9</xdr:col>
      <xdr:colOff>903489</xdr:colOff>
      <xdr:row>132</xdr:row>
      <xdr:rowOff>144145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B165DB4B-7910-436E-B545-86AE792AC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761998</xdr:colOff>
      <xdr:row>123</xdr:row>
      <xdr:rowOff>8505</xdr:rowOff>
    </xdr:from>
    <xdr:to>
      <xdr:col>14</xdr:col>
      <xdr:colOff>427238</xdr:colOff>
      <xdr:row>132</xdr:row>
      <xdr:rowOff>160905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D29D5940-3576-4AB2-A28D-21C910033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503464</xdr:colOff>
      <xdr:row>134</xdr:row>
      <xdr:rowOff>11906</xdr:rowOff>
    </xdr:from>
    <xdr:to>
      <xdr:col>4</xdr:col>
      <xdr:colOff>1062809</xdr:colOff>
      <xdr:row>143</xdr:row>
      <xdr:rowOff>157751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EA66D5E0-910A-46F0-A36C-09FC38D7B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146277</xdr:colOff>
      <xdr:row>134</xdr:row>
      <xdr:rowOff>34018</xdr:rowOff>
    </xdr:from>
    <xdr:to>
      <xdr:col>9</xdr:col>
      <xdr:colOff>919934</xdr:colOff>
      <xdr:row>143</xdr:row>
      <xdr:rowOff>177405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B8C4CAE8-1173-4A84-94CB-BFA4723A6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3401</xdr:colOff>
      <xdr:row>134</xdr:row>
      <xdr:rowOff>44223</xdr:rowOff>
    </xdr:from>
    <xdr:to>
      <xdr:col>14</xdr:col>
      <xdr:colOff>431777</xdr:colOff>
      <xdr:row>144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5286EE34-265D-47AE-9CB0-BA36FC1CE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84667</xdr:colOff>
      <xdr:row>3</xdr:row>
      <xdr:rowOff>45621</xdr:rowOff>
    </xdr:from>
    <xdr:to>
      <xdr:col>20</xdr:col>
      <xdr:colOff>553714</xdr:colOff>
      <xdr:row>20</xdr:row>
      <xdr:rowOff>52848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CAA31F55-8DEC-466F-8F4C-334AB2123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500" y="691204"/>
          <a:ext cx="4765881" cy="3266894"/>
        </a:xfrm>
        <a:prstGeom prst="rect">
          <a:avLst/>
        </a:prstGeom>
      </xdr:spPr>
    </xdr:pic>
    <xdr:clientData/>
  </xdr:twoCellAnchor>
  <xdr:twoCellAnchor>
    <xdr:from>
      <xdr:col>0</xdr:col>
      <xdr:colOff>598189</xdr:colOff>
      <xdr:row>22</xdr:row>
      <xdr:rowOff>76937</xdr:rowOff>
    </xdr:from>
    <xdr:to>
      <xdr:col>7</xdr:col>
      <xdr:colOff>150928</xdr:colOff>
      <xdr:row>33</xdr:row>
      <xdr:rowOff>116878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9D6F0B62-E26B-4A56-B7E0-581DF8257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419859</xdr:colOff>
      <xdr:row>22</xdr:row>
      <xdr:rowOff>87952</xdr:rowOff>
    </xdr:from>
    <xdr:to>
      <xdr:col>14</xdr:col>
      <xdr:colOff>164630</xdr:colOff>
      <xdr:row>33</xdr:row>
      <xdr:rowOff>141110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72DBE714-64D2-451F-BD34-AA1987541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23519</xdr:colOff>
      <xdr:row>25</xdr:row>
      <xdr:rowOff>70555</xdr:rowOff>
    </xdr:from>
    <xdr:to>
      <xdr:col>12</xdr:col>
      <xdr:colOff>564444</xdr:colOff>
      <xdr:row>26</xdr:row>
      <xdr:rowOff>78395</xdr:rowOff>
    </xdr:to>
    <xdr:cxnSp macro="">
      <xdr:nvCxnSpPr>
        <xdr:cNvPr id="5" name="Rovná spojnica 4">
          <a:extLst>
            <a:ext uri="{FF2B5EF4-FFF2-40B4-BE49-F238E27FC236}">
              <a16:creationId xmlns:a16="http://schemas.microsoft.com/office/drawing/2014/main" id="{FA7427DF-771F-4A63-B3BF-9BBDC08A0553}"/>
            </a:ext>
          </a:extLst>
        </xdr:cNvPr>
        <xdr:cNvCxnSpPr/>
      </xdr:nvCxnSpPr>
      <xdr:spPr>
        <a:xfrm flipV="1">
          <a:off x="5509919" y="15177205"/>
          <a:ext cx="2369725" cy="1983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52472</xdr:colOff>
      <xdr:row>22</xdr:row>
      <xdr:rowOff>80467</xdr:rowOff>
    </xdr:from>
    <xdr:to>
      <xdr:col>20</xdr:col>
      <xdr:colOff>518219</xdr:colOff>
      <xdr:row>33</xdr:row>
      <xdr:rowOff>138678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98C6030B-E7D5-4A12-84D0-D68C172AE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189770</xdr:colOff>
      <xdr:row>25</xdr:row>
      <xdr:rowOff>65690</xdr:rowOff>
    </xdr:from>
    <xdr:to>
      <xdr:col>19</xdr:col>
      <xdr:colOff>401436</xdr:colOff>
      <xdr:row>26</xdr:row>
      <xdr:rowOff>65690</xdr:rowOff>
    </xdr:to>
    <xdr:cxnSp macro="">
      <xdr:nvCxnSpPr>
        <xdr:cNvPr id="7" name="Rovná spojnica 6">
          <a:extLst>
            <a:ext uri="{FF2B5EF4-FFF2-40B4-BE49-F238E27FC236}">
              <a16:creationId xmlns:a16="http://schemas.microsoft.com/office/drawing/2014/main" id="{FD0F195B-90C1-421F-B7A5-3933B4C9401B}"/>
            </a:ext>
          </a:extLst>
        </xdr:cNvPr>
        <xdr:cNvCxnSpPr/>
      </xdr:nvCxnSpPr>
      <xdr:spPr>
        <a:xfrm flipV="1">
          <a:off x="9943370" y="15172340"/>
          <a:ext cx="2040466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79804</xdr:colOff>
      <xdr:row>41</xdr:row>
      <xdr:rowOff>73914</xdr:rowOff>
    </xdr:from>
    <xdr:to>
      <xdr:col>20</xdr:col>
      <xdr:colOff>576053</xdr:colOff>
      <xdr:row>56</xdr:row>
      <xdr:rowOff>84668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70CFDF91-A6B0-4D66-9235-1A4ABB9FEE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2084"/>
        <a:stretch/>
      </xdr:blipFill>
      <xdr:spPr>
        <a:xfrm>
          <a:off x="8059637" y="8085497"/>
          <a:ext cx="4793083" cy="2868254"/>
        </a:xfrm>
        <a:prstGeom prst="rect">
          <a:avLst/>
        </a:prstGeom>
      </xdr:spPr>
    </xdr:pic>
    <xdr:clientData/>
  </xdr:twoCellAnchor>
  <xdr:twoCellAnchor editAs="oneCell">
    <xdr:from>
      <xdr:col>8</xdr:col>
      <xdr:colOff>54367</xdr:colOff>
      <xdr:row>58</xdr:row>
      <xdr:rowOff>56700</xdr:rowOff>
    </xdr:from>
    <xdr:to>
      <xdr:col>14</xdr:col>
      <xdr:colOff>118944</xdr:colOff>
      <xdr:row>69</xdr:row>
      <xdr:rowOff>170886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4A8E4F00-C493-40F9-9DC5-CA1226B34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31167" y="3895275"/>
          <a:ext cx="3722177" cy="2209686"/>
        </a:xfrm>
        <a:prstGeom prst="rect">
          <a:avLst/>
        </a:prstGeom>
      </xdr:spPr>
    </xdr:pic>
    <xdr:clientData/>
  </xdr:twoCellAnchor>
  <xdr:twoCellAnchor editAs="oneCell">
    <xdr:from>
      <xdr:col>22</xdr:col>
      <xdr:colOff>62538</xdr:colOff>
      <xdr:row>58</xdr:row>
      <xdr:rowOff>19997</xdr:rowOff>
    </xdr:from>
    <xdr:to>
      <xdr:col>28</xdr:col>
      <xdr:colOff>173845</xdr:colOff>
      <xdr:row>69</xdr:row>
      <xdr:rowOff>130891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F17D3C4D-72F7-459F-80D6-D57EF83C1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473738" y="3858572"/>
          <a:ext cx="3768907" cy="2206394"/>
        </a:xfrm>
        <a:prstGeom prst="rect">
          <a:avLst/>
        </a:prstGeom>
      </xdr:spPr>
    </xdr:pic>
    <xdr:clientData/>
  </xdr:twoCellAnchor>
  <xdr:twoCellAnchor editAs="oneCell">
    <xdr:from>
      <xdr:col>22</xdr:col>
      <xdr:colOff>1603</xdr:colOff>
      <xdr:row>72</xdr:row>
      <xdr:rowOff>169174</xdr:rowOff>
    </xdr:from>
    <xdr:to>
      <xdr:col>28</xdr:col>
      <xdr:colOff>58300</xdr:colOff>
      <xdr:row>84</xdr:row>
      <xdr:rowOff>143086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1CC90435-ACC5-4E41-B5C2-184750A13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412803" y="6674749"/>
          <a:ext cx="3714297" cy="2259912"/>
        </a:xfrm>
        <a:prstGeom prst="rect">
          <a:avLst/>
        </a:prstGeom>
      </xdr:spPr>
    </xdr:pic>
    <xdr:clientData/>
  </xdr:twoCellAnchor>
  <xdr:twoCellAnchor editAs="oneCell">
    <xdr:from>
      <xdr:col>8</xdr:col>
      <xdr:colOff>47466</xdr:colOff>
      <xdr:row>73</xdr:row>
      <xdr:rowOff>18862</xdr:rowOff>
    </xdr:from>
    <xdr:to>
      <xdr:col>14</xdr:col>
      <xdr:colOff>118023</xdr:colOff>
      <xdr:row>84</xdr:row>
      <xdr:rowOff>156460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446956E4-C175-4044-B940-CD709BB5A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24266" y="6714937"/>
          <a:ext cx="3728157" cy="2233098"/>
        </a:xfrm>
        <a:prstGeom prst="rect">
          <a:avLst/>
        </a:prstGeom>
      </xdr:spPr>
    </xdr:pic>
    <xdr:clientData/>
  </xdr:twoCellAnchor>
  <xdr:twoCellAnchor editAs="oneCell">
    <xdr:from>
      <xdr:col>15</xdr:col>
      <xdr:colOff>13313</xdr:colOff>
      <xdr:row>57</xdr:row>
      <xdr:rowOff>163909</xdr:rowOff>
    </xdr:from>
    <xdr:to>
      <xdr:col>21</xdr:col>
      <xdr:colOff>175441</xdr:colOff>
      <xdr:row>69</xdr:row>
      <xdr:rowOff>163737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553D082E-5B17-41FB-BF94-68974449F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157313" y="3811984"/>
          <a:ext cx="3819728" cy="2285828"/>
        </a:xfrm>
        <a:prstGeom prst="rect">
          <a:avLst/>
        </a:prstGeom>
      </xdr:spPr>
    </xdr:pic>
    <xdr:clientData/>
  </xdr:twoCellAnchor>
  <xdr:twoCellAnchor editAs="oneCell">
    <xdr:from>
      <xdr:col>15</xdr:col>
      <xdr:colOff>81371</xdr:colOff>
      <xdr:row>73</xdr:row>
      <xdr:rowOff>5825</xdr:rowOff>
    </xdr:from>
    <xdr:to>
      <xdr:col>21</xdr:col>
      <xdr:colOff>58870</xdr:colOff>
      <xdr:row>84</xdr:row>
      <xdr:rowOff>60885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68920E19-182C-4207-B051-FEB9E79B2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225371" y="6701900"/>
          <a:ext cx="3635099" cy="2150560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0.20706</cdr:x>
      <cdr:y>0.3216</cdr:y>
    </cdr:from>
    <cdr:to>
      <cdr:x>0.79487</cdr:x>
      <cdr:y>0.42424</cdr:y>
    </cdr:to>
    <cdr:cxnSp macro="">
      <cdr:nvCxnSpPr>
        <cdr:cNvPr id="3" name="Rovná spojnica 2">
          <a:extLst xmlns:a="http://schemas.openxmlformats.org/drawingml/2006/main">
            <a:ext uri="{FF2B5EF4-FFF2-40B4-BE49-F238E27FC236}">
              <a16:creationId xmlns:a16="http://schemas.microsoft.com/office/drawing/2014/main" id="{C93715B1-EC68-7297-EAF1-E0A93A681753}"/>
            </a:ext>
          </a:extLst>
        </cdr:cNvPr>
        <cdr:cNvCxnSpPr/>
      </cdr:nvCxnSpPr>
      <cdr:spPr>
        <a:xfrm xmlns:a="http://schemas.openxmlformats.org/drawingml/2006/main" flipV="1">
          <a:off x="787768" y="657454"/>
          <a:ext cx="2236304" cy="20982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63960</xdr:colOff>
      <xdr:row>9</xdr:row>
      <xdr:rowOff>45822</xdr:rowOff>
    </xdr:from>
    <xdr:to>
      <xdr:col>19</xdr:col>
      <xdr:colOff>500374</xdr:colOff>
      <xdr:row>27</xdr:row>
      <xdr:rowOff>95250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5A58404-24F4-4614-A3E4-4F76B39311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4845"/>
        <a:stretch/>
      </xdr:blipFill>
      <xdr:spPr>
        <a:xfrm>
          <a:off x="8707898" y="1819853"/>
          <a:ext cx="5044132" cy="3478428"/>
        </a:xfrm>
        <a:prstGeom prst="rect">
          <a:avLst/>
        </a:prstGeom>
      </xdr:spPr>
    </xdr:pic>
    <xdr:clientData/>
  </xdr:twoCellAnchor>
  <xdr:oneCellAnchor>
    <xdr:from>
      <xdr:col>1</xdr:col>
      <xdr:colOff>35719</xdr:colOff>
      <xdr:row>4</xdr:row>
      <xdr:rowOff>23812</xdr:rowOff>
    </xdr:from>
    <xdr:ext cx="11185768" cy="51646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BlokTextu 2">
              <a:extLst>
                <a:ext uri="{FF2B5EF4-FFF2-40B4-BE49-F238E27FC236}">
                  <a16:creationId xmlns:a16="http://schemas.microsoft.com/office/drawing/2014/main" id="{658367C0-4DA3-40BC-A877-47545D76EDE9}"/>
                </a:ext>
              </a:extLst>
            </xdr:cNvPr>
            <xdr:cNvSpPr txBox="1"/>
          </xdr:nvSpPr>
          <xdr:spPr>
            <a:xfrm>
              <a:off x="642938" y="464343"/>
              <a:ext cx="11185768" cy="516462"/>
            </a:xfrm>
            <a:prstGeom prst="rect">
              <a:avLst/>
            </a:prstGeom>
            <a:solidFill>
              <a:schemeClr val="bg1"/>
            </a:solidFill>
            <a:ln w="19050">
              <a:solidFill>
                <a:srgbClr val="C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sk-SK" sz="1100" i="1">
                        <a:latin typeface="Cambria Math" panose="02040503050406030204" pitchFamily="18" charset="0"/>
                      </a:rPr>
                      <m:t>𝑓𝐿</m:t>
                    </m:r>
                    <m:r>
                      <a:rPr lang="sk-SK" sz="1100" i="1">
                        <a:latin typeface="Cambria Math" panose="02040503050406030204" pitchFamily="18" charset="0"/>
                      </a:rPr>
                      <m:t> </m:t>
                    </m:r>
                    <m:d>
                      <m:dPr>
                        <m:ctrlPr>
                          <a:rPr lang="sk-SK" sz="110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sk-SK" sz="110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sk-SK" sz="1100" i="1">
                            <a:latin typeface="Cambria Math" panose="02040503050406030204" pitchFamily="18" charset="0"/>
                          </a:rPr>
                          <m:t>1,</m:t>
                        </m:r>
                        <m:r>
                          <a:rPr lang="sk-SK" sz="110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sk-SK" sz="1100" i="1">
                            <a:latin typeface="Cambria Math" panose="02040503050406030204" pitchFamily="18" charset="0"/>
                          </a:rPr>
                          <m:t>2,</m:t>
                        </m:r>
                        <m:r>
                          <a:rPr lang="sk-SK" sz="110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sk-SK" sz="1100" i="1">
                            <a:latin typeface="Cambria Math" panose="02040503050406030204" pitchFamily="18" charset="0"/>
                          </a:rPr>
                          <m:t>3</m:t>
                        </m:r>
                      </m:e>
                    </m:d>
                    <m:r>
                      <a:rPr lang="sk-SK" sz="1100" i="1">
                        <a:latin typeface="Cambria Math" panose="02040503050406030204" pitchFamily="18" charset="0"/>
                      </a:rPr>
                      <m:t>= 420,45 + 60,99∗</m:t>
                    </m:r>
                    <m:f>
                      <m:fPr>
                        <m:ctrlPr>
                          <a:rPr lang="sk-SK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1−170</m:t>
                        </m:r>
                      </m:num>
                      <m:den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10</m:t>
                        </m:r>
                      </m:den>
                    </m:f>
                    <m:r>
                      <a:rPr lang="sk-SK" sz="1100" i="1">
                        <a:latin typeface="Cambria Math" panose="02040503050406030204" pitchFamily="18" charset="0"/>
                      </a:rPr>
                      <m:t>+ 49,09∗</m:t>
                    </m:r>
                    <m:f>
                      <m:fPr>
                        <m:ctrlPr>
                          <a:rPr lang="sk-SK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2−110</m:t>
                        </m:r>
                      </m:num>
                      <m:den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10</m:t>
                        </m:r>
                      </m:den>
                    </m:f>
                    <m:r>
                      <a:rPr lang="sk-SK" sz="1100" i="1">
                        <a:latin typeface="Cambria Math" panose="02040503050406030204" pitchFamily="18" charset="0"/>
                      </a:rPr>
                      <m:t> + 39,16∗</m:t>
                    </m:r>
                    <m:f>
                      <m:fPr>
                        <m:ctrlPr>
                          <a:rPr lang="sk-SK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3−280</m:t>
                        </m:r>
                      </m:num>
                      <m:den>
                        <m:r>
                          <a:rPr lang="sk-SK" sz="1100" b="0" i="1">
                            <a:latin typeface="Cambria Math" panose="02040503050406030204" pitchFamily="18" charset="0"/>
                          </a:rPr>
                          <m:t>20</m:t>
                        </m:r>
                      </m:den>
                    </m:f>
                    <m:r>
                      <a:rPr lang="sk-SK" sz="1100" i="1">
                        <a:latin typeface="Cambria Math" panose="02040503050406030204" pitchFamily="18" charset="0"/>
                      </a:rPr>
                      <m:t> + 20,66∗</m:t>
                    </m:r>
                    <m:f>
                      <m:fPr>
                        <m:ctrlPr>
                          <a:rPr lang="sk-SK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1−170</m:t>
                        </m:r>
                      </m:num>
                      <m:den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10</m:t>
                        </m:r>
                      </m:den>
                    </m:f>
                    <m:r>
                      <a:rPr lang="sk-SK" sz="110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sk-SK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2−110</m:t>
                        </m:r>
                      </m:num>
                      <m:den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10</m:t>
                        </m:r>
                      </m:den>
                    </m:f>
                    <m:r>
                      <a:rPr lang="sk-SK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i="1">
                        <a:latin typeface="Cambria Math" panose="02040503050406030204" pitchFamily="18" charset="0"/>
                      </a:rPr>
                      <m:t>+ 5,44∗</m:t>
                    </m:r>
                    <m:f>
                      <m:fPr>
                        <m:ctrlPr>
                          <a:rPr lang="sk-SK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1−170</m:t>
                        </m:r>
                      </m:num>
                      <m:den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10</m:t>
                        </m:r>
                      </m:den>
                    </m:f>
                    <m:r>
                      <a:rPr lang="sk-SK" sz="110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sk-SK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3−280</m:t>
                        </m:r>
                      </m:num>
                      <m:den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20</m:t>
                        </m:r>
                      </m:den>
                    </m:f>
                    <m:r>
                      <a:rPr lang="sk-SK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i="1">
                        <a:latin typeface="Cambria Math" panose="02040503050406030204" pitchFamily="18" charset="0"/>
                      </a:rPr>
                      <m:t> + 5,13∗</m:t>
                    </m:r>
                    <m:f>
                      <m:fPr>
                        <m:ctrlPr>
                          <a:rPr lang="sk-SK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2−110</m:t>
                        </m:r>
                      </m:num>
                      <m:den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10</m:t>
                        </m:r>
                      </m:den>
                    </m:f>
                    <m:r>
                      <a:rPr lang="sk-SK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sk-SK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3−280</m:t>
                        </m:r>
                      </m:num>
                      <m:den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20</m:t>
                        </m:r>
                      </m:den>
                    </m:f>
                  </m:oMath>
                </m:oMathPara>
              </a14:m>
              <a:endParaRPr lang="sk-SK" sz="1100"/>
            </a:p>
          </xdr:txBody>
        </xdr:sp>
      </mc:Choice>
      <mc:Fallback xmlns="">
        <xdr:sp macro="" textlink="">
          <xdr:nvSpPr>
            <xdr:cNvPr id="3" name="BlokTextu 2">
              <a:extLst>
                <a:ext uri="{FF2B5EF4-FFF2-40B4-BE49-F238E27FC236}">
                  <a16:creationId xmlns:a16="http://schemas.microsoft.com/office/drawing/2014/main" id="{658367C0-4DA3-40BC-A877-47545D76EDE9}"/>
                </a:ext>
              </a:extLst>
            </xdr:cNvPr>
            <xdr:cNvSpPr txBox="1"/>
          </xdr:nvSpPr>
          <xdr:spPr>
            <a:xfrm>
              <a:off x="642938" y="464343"/>
              <a:ext cx="11185768" cy="516462"/>
            </a:xfrm>
            <a:prstGeom prst="rect">
              <a:avLst/>
            </a:prstGeom>
            <a:solidFill>
              <a:schemeClr val="bg1"/>
            </a:solidFill>
            <a:ln w="19050">
              <a:solidFill>
                <a:srgbClr val="C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sk-SK" sz="1100" i="0">
                  <a:latin typeface="Cambria Math" panose="02040503050406030204" pitchFamily="18" charset="0"/>
                </a:rPr>
                <a:t>𝑓𝐿 (𝑥1,𝑥2,𝑥3)= 420,45 + 60,99∗(</a:t>
              </a:r>
              <a:r>
                <a:rPr lang="sk-SK" sz="1100" b="0" i="0">
                  <a:latin typeface="Cambria Math" panose="02040503050406030204" pitchFamily="18" charset="0"/>
                </a:rPr>
                <a:t>𝑥1−170)/10</a:t>
              </a:r>
              <a:r>
                <a:rPr lang="sk-SK" sz="1100" i="0">
                  <a:latin typeface="Cambria Math" panose="02040503050406030204" pitchFamily="18" charset="0"/>
                </a:rPr>
                <a:t>+ 49,09∗(</a:t>
              </a:r>
              <a:r>
                <a:rPr lang="sk-SK" sz="1100" b="0" i="0">
                  <a:latin typeface="Cambria Math" panose="02040503050406030204" pitchFamily="18" charset="0"/>
                </a:rPr>
                <a:t>𝑥2−110)/10 </a:t>
              </a:r>
              <a:r>
                <a:rPr lang="sk-SK" sz="1100" i="0">
                  <a:latin typeface="Cambria Math" panose="02040503050406030204" pitchFamily="18" charset="0"/>
                </a:rPr>
                <a:t> + 39,16∗(</a:t>
              </a:r>
              <a:r>
                <a:rPr lang="sk-SK" sz="1100" b="0" i="0">
                  <a:latin typeface="Cambria Math" panose="02040503050406030204" pitchFamily="18" charset="0"/>
                </a:rPr>
                <a:t>𝑥3−280)/20 </a:t>
              </a:r>
              <a:r>
                <a:rPr lang="sk-SK" sz="1100" i="0">
                  <a:latin typeface="Cambria Math" panose="02040503050406030204" pitchFamily="18" charset="0"/>
                </a:rPr>
                <a:t> + 20,66∗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sk-S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𝑥1−170)/10</a:t>
              </a:r>
              <a:r>
                <a:rPr lang="sk-SK" sz="1100" i="0">
                  <a:latin typeface="Cambria Math" panose="02040503050406030204" pitchFamily="18" charset="0"/>
                </a:rPr>
                <a:t>∗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sk-S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𝑥2−110)/10 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sk-SK" sz="1100" i="0">
                  <a:latin typeface="Cambria Math" panose="02040503050406030204" pitchFamily="18" charset="0"/>
                </a:rPr>
                <a:t>+ 5,44∗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sk-S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𝑥1−170)/10</a:t>
              </a:r>
              <a:r>
                <a:rPr lang="sk-SK" sz="1100" i="0">
                  <a:latin typeface="Cambria Math" panose="02040503050406030204" pitchFamily="18" charset="0"/>
                </a:rPr>
                <a:t>∗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sk-S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𝑥3−280)/20 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sk-SK" sz="1100" i="0">
                  <a:latin typeface="Cambria Math" panose="02040503050406030204" pitchFamily="18" charset="0"/>
                </a:rPr>
                <a:t> + 5,13∗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sk-S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𝑥2−110)/10 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sk-SK" sz="1100" i="0">
                  <a:latin typeface="Cambria Math" panose="02040503050406030204" pitchFamily="18" charset="0"/>
                </a:rPr>
                <a:t>∗</a:t>
              </a:r>
              <a:r>
                <a:rPr lang="sk-SK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sk-S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𝑥3−280)/20</a:t>
              </a:r>
              <a:endParaRPr lang="sk-SK" sz="1100"/>
            </a:p>
          </xdr:txBody>
        </xdr:sp>
      </mc:Fallback>
    </mc:AlternateContent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42334</xdr:colOff>
      <xdr:row>2</xdr:row>
      <xdr:rowOff>137583</xdr:rowOff>
    </xdr:from>
    <xdr:to>
      <xdr:col>16</xdr:col>
      <xdr:colOff>569988</xdr:colOff>
      <xdr:row>12</xdr:row>
      <xdr:rowOff>120993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1EFE65AE-4CFC-DC06-809C-E4788314D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414" t="33178" r="11589" b="39724"/>
        <a:stretch/>
      </xdr:blipFill>
      <xdr:spPr>
        <a:xfrm>
          <a:off x="656167" y="571500"/>
          <a:ext cx="9735154" cy="18884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4</xdr:row>
      <xdr:rowOff>19050</xdr:rowOff>
    </xdr:from>
    <xdr:to>
      <xdr:col>17</xdr:col>
      <xdr:colOff>571501</xdr:colOff>
      <xdr:row>11</xdr:row>
      <xdr:rowOff>103287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51450213-07F7-4054-2A7C-93B4388C5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8053" r="10184" b="26944"/>
        <a:stretch/>
      </xdr:blipFill>
      <xdr:spPr>
        <a:xfrm>
          <a:off x="2114550" y="838200"/>
          <a:ext cx="9058276" cy="1417737"/>
        </a:xfrm>
        <a:prstGeom prst="rect">
          <a:avLst/>
        </a:prstGeom>
        <a:ln>
          <a:solidFill>
            <a:srgbClr val="C00000"/>
          </a:solidFill>
        </a:ln>
      </xdr:spPr>
    </xdr:pic>
    <xdr:clientData/>
  </xdr:twoCellAnchor>
  <xdr:twoCellAnchor editAs="oneCell">
    <xdr:from>
      <xdr:col>1</xdr:col>
      <xdr:colOff>114300</xdr:colOff>
      <xdr:row>15</xdr:row>
      <xdr:rowOff>38101</xdr:rowOff>
    </xdr:from>
    <xdr:to>
      <xdr:col>7</xdr:col>
      <xdr:colOff>572436</xdr:colOff>
      <xdr:row>29</xdr:row>
      <xdr:rowOff>152401</xdr:rowOff>
    </xdr:to>
    <xdr:pic>
      <xdr:nvPicPr>
        <xdr:cNvPr id="3" name="Obrázok 2" descr="Obrázok, na ktorom je text, snímka obrazovky, písmo, číslo&#10;&#10;Obsah vygenerovaný pomocou AI môže byť nesprávny.">
          <a:extLst>
            <a:ext uri="{FF2B5EF4-FFF2-40B4-BE49-F238E27FC236}">
              <a16:creationId xmlns:a16="http://schemas.microsoft.com/office/drawing/2014/main" id="{104ACA4F-23CD-E543-CCF8-0C82C7FA0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0" y="2962276"/>
          <a:ext cx="4353861" cy="2800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"/>
  <sheetViews>
    <sheetView tabSelected="1" zoomScaleNormal="100" workbookViewId="0">
      <selection activeCell="A6" sqref="A6"/>
    </sheetView>
  </sheetViews>
  <sheetFormatPr defaultRowHeight="15"/>
  <sheetData>
    <row r="1" spans="1:20" ht="50.1" customHeight="1" thickBot="1">
      <c r="A1" s="4"/>
      <c r="B1" s="3"/>
      <c r="C1" s="3"/>
      <c r="D1" s="4"/>
      <c r="E1" s="3"/>
      <c r="F1" s="3"/>
      <c r="G1" s="4"/>
      <c r="H1" s="67"/>
      <c r="I1" s="4"/>
      <c r="J1" s="4"/>
      <c r="K1" s="3"/>
      <c r="L1" s="4"/>
      <c r="M1" s="67"/>
      <c r="N1" s="4"/>
      <c r="O1" s="67"/>
      <c r="P1" s="68"/>
      <c r="Q1" s="68"/>
      <c r="R1" s="68"/>
      <c r="S1" s="68"/>
      <c r="T1" s="68"/>
    </row>
    <row r="2" spans="1:20" ht="24.95" customHeight="1" thickBot="1">
      <c r="A2" s="334" t="s">
        <v>0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6"/>
    </row>
    <row r="3" spans="1:20" ht="15.75" thickBot="1"/>
    <row r="4" spans="1:20" ht="20.100000000000001" customHeight="1">
      <c r="A4" s="337" t="s">
        <v>1</v>
      </c>
      <c r="B4" s="338"/>
      <c r="C4" s="338"/>
      <c r="D4" s="339"/>
      <c r="E4" s="2"/>
      <c r="Q4" s="353" t="s">
        <v>3</v>
      </c>
      <c r="R4" s="354"/>
      <c r="S4" s="354"/>
      <c r="T4" s="355"/>
    </row>
    <row r="5" spans="1:20" ht="20.100000000000001" customHeight="1" thickBot="1">
      <c r="A5" s="340" t="s">
        <v>2</v>
      </c>
      <c r="B5" s="341"/>
      <c r="C5" s="341"/>
      <c r="D5" s="342"/>
      <c r="E5" s="2"/>
      <c r="Q5" s="356" t="s">
        <v>4</v>
      </c>
      <c r="R5" s="357"/>
      <c r="S5" s="357"/>
      <c r="T5" s="358"/>
    </row>
    <row r="7" spans="1:20" ht="18.75">
      <c r="I7" s="359" t="s">
        <v>5</v>
      </c>
      <c r="J7" s="360"/>
      <c r="K7" s="360"/>
      <c r="L7" s="361"/>
    </row>
    <row r="9" spans="1:20" ht="15" customHeight="1">
      <c r="A9" s="362" t="s">
        <v>6</v>
      </c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  <c r="P9" s="363"/>
      <c r="Q9" s="363"/>
      <c r="R9" s="363"/>
      <c r="S9" s="363"/>
      <c r="T9" s="364"/>
    </row>
    <row r="10" spans="1:20" ht="15" customHeight="1">
      <c r="A10" s="365"/>
      <c r="B10" s="366"/>
      <c r="C10" s="366"/>
      <c r="D10" s="366"/>
      <c r="E10" s="366"/>
      <c r="F10" s="366"/>
      <c r="G10" s="366"/>
      <c r="H10" s="366"/>
      <c r="I10" s="366"/>
      <c r="J10" s="366"/>
      <c r="K10" s="366"/>
      <c r="L10" s="366"/>
      <c r="M10" s="366"/>
      <c r="N10" s="366"/>
      <c r="O10" s="366"/>
      <c r="P10" s="366"/>
      <c r="Q10" s="366"/>
      <c r="R10" s="366"/>
      <c r="S10" s="366"/>
      <c r="T10" s="367"/>
    </row>
    <row r="11" spans="1:20" ht="15" customHeight="1">
      <c r="A11" s="368"/>
      <c r="B11" s="369"/>
      <c r="C11" s="369"/>
      <c r="D11" s="369"/>
      <c r="E11" s="369"/>
      <c r="F11" s="369"/>
      <c r="G11" s="369"/>
      <c r="H11" s="369"/>
      <c r="I11" s="369"/>
      <c r="J11" s="369"/>
      <c r="K11" s="369"/>
      <c r="L11" s="369"/>
      <c r="M11" s="369"/>
      <c r="N11" s="369"/>
      <c r="O11" s="369"/>
      <c r="P11" s="369"/>
      <c r="Q11" s="369"/>
      <c r="R11" s="369"/>
      <c r="S11" s="369"/>
      <c r="T11" s="370"/>
    </row>
    <row r="12" spans="1:20" ht="1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 ht="1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</row>
    <row r="14" spans="1:20" ht="17.100000000000001" customHeight="1">
      <c r="A14" s="343" t="s">
        <v>156</v>
      </c>
      <c r="B14" s="344"/>
      <c r="C14" s="344"/>
      <c r="D14" s="344"/>
      <c r="E14" s="344"/>
      <c r="F14" s="344"/>
      <c r="G14" s="344"/>
      <c r="H14" s="344"/>
      <c r="I14" s="344"/>
      <c r="J14" s="344"/>
      <c r="K14" s="344"/>
      <c r="L14" s="344"/>
      <c r="M14" s="344"/>
      <c r="N14" s="344"/>
      <c r="O14" s="344"/>
      <c r="P14" s="344"/>
      <c r="Q14" s="344"/>
      <c r="R14" s="344"/>
      <c r="S14" s="344"/>
      <c r="T14" s="345"/>
    </row>
    <row r="15" spans="1:20" ht="17.100000000000001" customHeight="1">
      <c r="A15" s="346"/>
      <c r="B15" s="347"/>
      <c r="C15" s="347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  <c r="P15" s="347"/>
      <c r="Q15" s="347"/>
      <c r="R15" s="347"/>
      <c r="S15" s="347"/>
      <c r="T15" s="348"/>
    </row>
    <row r="16" spans="1:20" ht="17.100000000000001" customHeight="1">
      <c r="A16" s="349"/>
      <c r="B16" s="350"/>
      <c r="C16" s="350"/>
      <c r="D16" s="350"/>
      <c r="E16" s="350"/>
      <c r="F16" s="350"/>
      <c r="G16" s="350"/>
      <c r="H16" s="350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1"/>
    </row>
    <row r="18" spans="1:11" ht="15.75">
      <c r="A18" s="352" t="s">
        <v>82</v>
      </c>
      <c r="B18" s="352"/>
      <c r="C18" s="352"/>
      <c r="D18" s="352"/>
      <c r="E18" s="352"/>
      <c r="F18" s="352"/>
      <c r="G18" s="352"/>
      <c r="H18" s="352"/>
      <c r="I18" s="352"/>
      <c r="J18" s="352"/>
      <c r="K18" s="352"/>
    </row>
  </sheetData>
  <mergeCells count="9">
    <mergeCell ref="A2:T2"/>
    <mergeCell ref="A4:D4"/>
    <mergeCell ref="A5:D5"/>
    <mergeCell ref="A14:T16"/>
    <mergeCell ref="A18:K18"/>
    <mergeCell ref="Q4:T4"/>
    <mergeCell ref="Q5:T5"/>
    <mergeCell ref="I7:L7"/>
    <mergeCell ref="A9:T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8"/>
  <sheetViews>
    <sheetView topLeftCell="A7" zoomScale="70" zoomScaleNormal="70" workbookViewId="0">
      <selection activeCell="J18" sqref="J18"/>
    </sheetView>
  </sheetViews>
  <sheetFormatPr defaultRowHeight="15"/>
  <sheetData>
    <row r="1" spans="1:21" s="39" customFormat="1" ht="20.100000000000001" customHeight="1" thickBot="1">
      <c r="A1" s="377" t="s">
        <v>222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9"/>
    </row>
    <row r="2" spans="1:21" ht="15.75" thickBot="1"/>
    <row r="3" spans="1:21" ht="15.75" thickBot="1">
      <c r="N3" s="508" t="s">
        <v>237</v>
      </c>
      <c r="O3" s="509"/>
      <c r="P3" s="509"/>
      <c r="Q3" s="509"/>
      <c r="R3" s="509"/>
      <c r="S3" s="509"/>
      <c r="T3" s="509"/>
      <c r="U3" s="510"/>
    </row>
    <row r="4" spans="1:21" ht="15.75" thickBot="1">
      <c r="B4" s="263" t="s">
        <v>26</v>
      </c>
      <c r="C4" s="264" t="s">
        <v>27</v>
      </c>
      <c r="D4" s="265" t="s">
        <v>28</v>
      </c>
      <c r="E4" s="132" t="s">
        <v>29</v>
      </c>
      <c r="G4" s="145"/>
      <c r="H4" s="511" t="s">
        <v>216</v>
      </c>
      <c r="I4" s="511"/>
      <c r="J4" s="511"/>
      <c r="K4" s="511"/>
      <c r="N4" s="274"/>
      <c r="O4" s="275"/>
      <c r="P4" s="275"/>
      <c r="Q4" s="275"/>
      <c r="R4" s="275"/>
      <c r="S4" s="275"/>
      <c r="T4" s="275"/>
      <c r="U4" s="276"/>
    </row>
    <row r="5" spans="1:21">
      <c r="B5" s="266">
        <v>-1</v>
      </c>
      <c r="C5" s="129">
        <v>-1</v>
      </c>
      <c r="D5" s="267">
        <v>-1</v>
      </c>
      <c r="E5" s="134">
        <v>310.27</v>
      </c>
      <c r="H5" s="1">
        <v>-1</v>
      </c>
      <c r="I5">
        <f>AVERAGE(E5:E8,E13:E16)</f>
        <v>359.45749999999992</v>
      </c>
      <c r="N5" s="274"/>
      <c r="O5" s="275"/>
      <c r="P5" s="275"/>
      <c r="Q5" s="275"/>
      <c r="R5" s="275"/>
      <c r="S5" s="275"/>
      <c r="T5" s="275"/>
      <c r="U5" s="276"/>
    </row>
    <row r="6" spans="1:21">
      <c r="B6" s="268">
        <v>-1</v>
      </c>
      <c r="C6" s="128">
        <v>-1</v>
      </c>
      <c r="D6" s="269">
        <v>1</v>
      </c>
      <c r="E6" s="136">
        <v>362.05</v>
      </c>
      <c r="H6" s="1">
        <v>1</v>
      </c>
      <c r="I6">
        <f>AVERAGE(E9:E12,E17:E20)</f>
        <v>481.44625000000002</v>
      </c>
      <c r="N6" s="274"/>
      <c r="O6" s="275"/>
      <c r="P6" s="275"/>
      <c r="Q6" s="275"/>
      <c r="R6" s="275"/>
      <c r="S6" s="275"/>
      <c r="T6" s="275"/>
      <c r="U6" s="276"/>
    </row>
    <row r="7" spans="1:21">
      <c r="B7" s="268">
        <v>-1</v>
      </c>
      <c r="C7" s="128">
        <v>1</v>
      </c>
      <c r="D7" s="269">
        <v>-1</v>
      </c>
      <c r="E7" s="136">
        <v>354.08</v>
      </c>
      <c r="H7" s="201" t="s">
        <v>217</v>
      </c>
      <c r="I7" s="34">
        <f>I6-I5</f>
        <v>121.9887500000001</v>
      </c>
      <c r="N7" s="274"/>
      <c r="O7" s="275"/>
      <c r="P7" s="275"/>
      <c r="Q7" s="275"/>
      <c r="R7" s="275"/>
      <c r="S7" s="275"/>
      <c r="T7" s="275"/>
      <c r="U7" s="276"/>
    </row>
    <row r="8" spans="1:21">
      <c r="B8" s="268">
        <v>-1</v>
      </c>
      <c r="C8" s="128">
        <v>1</v>
      </c>
      <c r="D8" s="269">
        <v>1</v>
      </c>
      <c r="E8" s="136">
        <v>423.94</v>
      </c>
      <c r="N8" s="274"/>
      <c r="O8" s="275"/>
      <c r="P8" s="275"/>
      <c r="Q8" s="275"/>
      <c r="R8" s="275"/>
      <c r="S8" s="275"/>
      <c r="T8" s="275"/>
      <c r="U8" s="276"/>
    </row>
    <row r="9" spans="1:21">
      <c r="B9" s="268">
        <v>1</v>
      </c>
      <c r="C9" s="128">
        <v>-1</v>
      </c>
      <c r="D9" s="269">
        <v>-1</v>
      </c>
      <c r="E9" s="136">
        <v>374.24</v>
      </c>
      <c r="H9" s="511" t="s">
        <v>218</v>
      </c>
      <c r="I9" s="511"/>
      <c r="J9" s="511"/>
      <c r="K9" s="511"/>
      <c r="N9" s="274"/>
      <c r="O9" s="275"/>
      <c r="P9" s="275"/>
      <c r="Q9" s="275"/>
      <c r="R9" s="275"/>
      <c r="S9" s="275"/>
      <c r="T9" s="275"/>
      <c r="U9" s="276"/>
    </row>
    <row r="10" spans="1:21">
      <c r="B10" s="268">
        <v>1</v>
      </c>
      <c r="C10" s="128">
        <v>-1</v>
      </c>
      <c r="D10" s="269">
        <v>1</v>
      </c>
      <c r="E10" s="136">
        <v>450.52</v>
      </c>
      <c r="H10" s="1">
        <v>-1</v>
      </c>
      <c r="I10">
        <f>AVERAGE(E5:E6,E9:E10,E13:E14,E17:E18)</f>
        <v>371.36374999999998</v>
      </c>
      <c r="N10" s="274"/>
      <c r="O10" s="275"/>
      <c r="P10" s="275"/>
      <c r="Q10" s="275"/>
      <c r="R10" s="275"/>
      <c r="S10" s="275"/>
      <c r="T10" s="275"/>
      <c r="U10" s="276"/>
    </row>
    <row r="11" spans="1:21">
      <c r="B11" s="268">
        <v>1</v>
      </c>
      <c r="C11" s="128">
        <v>1</v>
      </c>
      <c r="D11" s="269">
        <v>-1</v>
      </c>
      <c r="E11" s="136">
        <v>505.85</v>
      </c>
      <c r="H11" s="1">
        <v>1</v>
      </c>
      <c r="I11">
        <f>AVERAGE(E7:E8,E11:E12,E15:E16,E19,E20)</f>
        <v>469.53999999999996</v>
      </c>
      <c r="N11" s="274"/>
      <c r="O11" s="275"/>
      <c r="P11" s="275"/>
      <c r="Q11" s="275"/>
      <c r="R11" s="275"/>
      <c r="S11" s="275"/>
      <c r="T11" s="275"/>
      <c r="U11" s="276"/>
    </row>
    <row r="12" spans="1:21">
      <c r="B12" s="268">
        <v>1</v>
      </c>
      <c r="C12" s="128">
        <v>1</v>
      </c>
      <c r="D12" s="269">
        <v>1</v>
      </c>
      <c r="E12" s="136">
        <v>599.87</v>
      </c>
      <c r="H12" s="201" t="s">
        <v>219</v>
      </c>
      <c r="I12" s="34">
        <f>I11-I10</f>
        <v>98.176249999999982</v>
      </c>
      <c r="N12" s="274"/>
      <c r="O12" s="275"/>
      <c r="P12" s="275"/>
      <c r="Q12" s="275"/>
      <c r="R12" s="275"/>
      <c r="S12" s="275"/>
      <c r="T12" s="275"/>
      <c r="U12" s="276"/>
    </row>
    <row r="13" spans="1:21">
      <c r="B13" s="268">
        <v>-1</v>
      </c>
      <c r="C13" s="128">
        <v>-1</v>
      </c>
      <c r="D13" s="269">
        <v>-1</v>
      </c>
      <c r="E13" s="136">
        <v>293.86</v>
      </c>
      <c r="N13" s="274"/>
      <c r="O13" s="275"/>
      <c r="P13" s="275"/>
      <c r="Q13" s="275"/>
      <c r="R13" s="275"/>
      <c r="S13" s="275"/>
      <c r="T13" s="275"/>
      <c r="U13" s="276"/>
    </row>
    <row r="14" spans="1:21">
      <c r="B14" s="268">
        <v>-1</v>
      </c>
      <c r="C14" s="128">
        <v>-1</v>
      </c>
      <c r="D14" s="269">
        <v>1</v>
      </c>
      <c r="E14" s="136">
        <v>357.95</v>
      </c>
      <c r="H14" s="511" t="s">
        <v>220</v>
      </c>
      <c r="I14" s="511"/>
      <c r="J14" s="511"/>
      <c r="K14" s="511"/>
      <c r="N14" s="274"/>
      <c r="O14" s="275"/>
      <c r="P14" s="275"/>
      <c r="Q14" s="275"/>
      <c r="R14" s="275"/>
      <c r="S14" s="275"/>
      <c r="T14" s="275"/>
      <c r="U14" s="276"/>
    </row>
    <row r="15" spans="1:21">
      <c r="B15" s="268">
        <v>-1</v>
      </c>
      <c r="C15" s="128">
        <v>1</v>
      </c>
      <c r="D15" s="269">
        <v>-1</v>
      </c>
      <c r="E15" s="136">
        <v>344.74</v>
      </c>
      <c r="H15" s="1">
        <v>-1</v>
      </c>
      <c r="I15">
        <f>AVERAGE(E5,E7,E9,E11,E13,E15,E17,E19)</f>
        <v>381.29250000000002</v>
      </c>
      <c r="N15" s="274"/>
      <c r="O15" s="275"/>
      <c r="P15" s="275"/>
      <c r="Q15" s="275"/>
      <c r="R15" s="275"/>
      <c r="S15" s="275"/>
      <c r="T15" s="275"/>
      <c r="U15" s="276"/>
    </row>
    <row r="16" spans="1:21">
      <c r="B16" s="268">
        <v>-1</v>
      </c>
      <c r="C16" s="128">
        <v>1</v>
      </c>
      <c r="D16" s="269">
        <v>1</v>
      </c>
      <c r="E16" s="136">
        <v>428.77</v>
      </c>
      <c r="H16" s="1">
        <v>1</v>
      </c>
      <c r="I16">
        <f>AVERAGE(E6,E8,E10,E12,E14,E16,E18,E20)</f>
        <v>459.61124999999998</v>
      </c>
      <c r="N16" s="274"/>
      <c r="O16" s="275"/>
      <c r="P16" s="275"/>
      <c r="Q16" s="275"/>
      <c r="R16" s="275"/>
      <c r="S16" s="275"/>
      <c r="T16" s="275"/>
      <c r="U16" s="276"/>
    </row>
    <row r="17" spans="2:21">
      <c r="B17" s="268">
        <v>1</v>
      </c>
      <c r="C17" s="128">
        <v>-1</v>
      </c>
      <c r="D17" s="269">
        <v>-1</v>
      </c>
      <c r="E17" s="136">
        <v>370.96</v>
      </c>
      <c r="H17" s="201" t="s">
        <v>221</v>
      </c>
      <c r="I17" s="34">
        <f>I16-I15</f>
        <v>78.318749999999966</v>
      </c>
      <c r="N17" s="274"/>
      <c r="O17" s="275"/>
      <c r="P17" s="275"/>
      <c r="Q17" s="275"/>
      <c r="R17" s="275"/>
      <c r="S17" s="275"/>
      <c r="T17" s="275"/>
      <c r="U17" s="276"/>
    </row>
    <row r="18" spans="2:21">
      <c r="B18" s="268">
        <v>1</v>
      </c>
      <c r="C18" s="128">
        <v>-1</v>
      </c>
      <c r="D18" s="269">
        <v>1</v>
      </c>
      <c r="E18" s="136">
        <v>451.06</v>
      </c>
      <c r="N18" s="274"/>
      <c r="O18" s="275"/>
      <c r="P18" s="275"/>
      <c r="Q18" s="275"/>
      <c r="R18" s="275"/>
      <c r="S18" s="275"/>
      <c r="T18" s="275"/>
      <c r="U18" s="276"/>
    </row>
    <row r="19" spans="2:21">
      <c r="B19" s="268">
        <v>1</v>
      </c>
      <c r="C19" s="128">
        <v>1</v>
      </c>
      <c r="D19" s="269">
        <v>-1</v>
      </c>
      <c r="E19" s="136">
        <v>496.34</v>
      </c>
      <c r="N19" s="274"/>
      <c r="O19" s="275"/>
      <c r="P19" s="275"/>
      <c r="Q19" s="275"/>
      <c r="R19" s="275"/>
      <c r="S19" s="275"/>
      <c r="T19" s="275"/>
      <c r="U19" s="276"/>
    </row>
    <row r="20" spans="2:21" ht="15.75" thickBot="1">
      <c r="B20" s="270">
        <v>1</v>
      </c>
      <c r="C20" s="271">
        <v>1</v>
      </c>
      <c r="D20" s="272">
        <v>1</v>
      </c>
      <c r="E20" s="139">
        <v>602.73</v>
      </c>
      <c r="N20" s="274"/>
      <c r="O20" s="275"/>
      <c r="P20" s="275"/>
      <c r="Q20" s="275"/>
      <c r="R20" s="275"/>
      <c r="S20" s="275"/>
      <c r="T20" s="275"/>
      <c r="U20" s="276"/>
    </row>
    <row r="21" spans="2:21">
      <c r="N21" s="277"/>
      <c r="O21" s="278"/>
      <c r="P21" s="278"/>
      <c r="Q21" s="278"/>
      <c r="R21" s="278"/>
      <c r="S21" s="278"/>
      <c r="T21" s="278"/>
      <c r="U21" s="279"/>
    </row>
    <row r="35" spans="1:21" ht="15.75" thickBot="1"/>
    <row r="36" spans="1:21" ht="15.75" thickBot="1">
      <c r="A36" s="452" t="s">
        <v>223</v>
      </c>
      <c r="B36" s="453"/>
      <c r="C36" s="453"/>
      <c r="D36" s="453"/>
      <c r="E36" s="453"/>
      <c r="F36" s="453"/>
      <c r="G36" s="453"/>
      <c r="H36" s="453"/>
      <c r="I36" s="453"/>
      <c r="J36" s="453"/>
      <c r="K36" s="453"/>
      <c r="L36" s="453"/>
      <c r="M36" s="453"/>
      <c r="N36" s="453"/>
      <c r="O36" s="453"/>
      <c r="P36" s="453"/>
      <c r="Q36" s="453"/>
      <c r="R36" s="453"/>
      <c r="S36" s="453"/>
      <c r="T36" s="453"/>
      <c r="U36" s="454"/>
    </row>
    <row r="38" spans="1:21" ht="15.75" thickBot="1"/>
    <row r="39" spans="1:21" s="39" customFormat="1" ht="20.100000000000001" customHeight="1" thickBot="1">
      <c r="A39" s="377" t="s">
        <v>236</v>
      </c>
      <c r="B39" s="378"/>
      <c r="C39" s="378"/>
      <c r="D39" s="378"/>
      <c r="E39" s="378"/>
      <c r="F39" s="378"/>
      <c r="G39" s="378"/>
      <c r="H39" s="378"/>
      <c r="I39" s="378"/>
      <c r="J39" s="378"/>
      <c r="K39" s="378"/>
      <c r="L39" s="378"/>
      <c r="M39" s="378"/>
      <c r="N39" s="378"/>
      <c r="O39" s="378"/>
      <c r="P39" s="378"/>
      <c r="Q39" s="378"/>
      <c r="R39" s="378"/>
      <c r="S39" s="378"/>
      <c r="T39" s="378"/>
      <c r="U39" s="379"/>
    </row>
    <row r="40" spans="1:21" ht="15.75" thickBot="1"/>
    <row r="41" spans="1:21" ht="15.75" thickBot="1">
      <c r="B41" s="263" t="s">
        <v>26</v>
      </c>
      <c r="C41" s="264" t="s">
        <v>27</v>
      </c>
      <c r="D41" s="265" t="s">
        <v>28</v>
      </c>
      <c r="E41" s="132" t="s">
        <v>29</v>
      </c>
      <c r="H41" s="1"/>
      <c r="N41" s="508" t="s">
        <v>237</v>
      </c>
      <c r="O41" s="509"/>
      <c r="P41" s="509"/>
      <c r="Q41" s="509"/>
      <c r="R41" s="509"/>
      <c r="S41" s="509"/>
      <c r="T41" s="509"/>
      <c r="U41" s="510"/>
    </row>
    <row r="42" spans="1:21">
      <c r="B42" s="266">
        <v>-1</v>
      </c>
      <c r="C42" s="129">
        <v>-1</v>
      </c>
      <c r="D42" s="267">
        <v>-1</v>
      </c>
      <c r="E42" s="134">
        <v>310.27</v>
      </c>
      <c r="N42" s="274"/>
      <c r="O42" s="275"/>
      <c r="P42" s="275"/>
      <c r="Q42" s="275"/>
      <c r="R42" s="275"/>
      <c r="S42" s="275"/>
      <c r="T42" s="275"/>
      <c r="U42" s="276"/>
    </row>
    <row r="43" spans="1:21">
      <c r="B43" s="268">
        <v>-1</v>
      </c>
      <c r="C43" s="128">
        <v>-1</v>
      </c>
      <c r="D43" s="269">
        <v>1</v>
      </c>
      <c r="E43" s="136">
        <v>362.05</v>
      </c>
      <c r="N43" s="274"/>
      <c r="O43" s="275"/>
      <c r="P43" s="275"/>
      <c r="Q43" s="275"/>
      <c r="R43" s="275"/>
      <c r="S43" s="275"/>
      <c r="T43" s="275"/>
      <c r="U43" s="276"/>
    </row>
    <row r="44" spans="1:21">
      <c r="B44" s="268">
        <v>-1</v>
      </c>
      <c r="C44" s="128">
        <v>1</v>
      </c>
      <c r="D44" s="269">
        <v>-1</v>
      </c>
      <c r="E44" s="136">
        <v>354.08</v>
      </c>
      <c r="N44" s="274"/>
      <c r="O44" s="275"/>
      <c r="P44" s="275"/>
      <c r="Q44" s="275"/>
      <c r="R44" s="275"/>
      <c r="S44" s="275"/>
      <c r="T44" s="275"/>
      <c r="U44" s="276"/>
    </row>
    <row r="45" spans="1:21">
      <c r="B45" s="268">
        <v>-1</v>
      </c>
      <c r="C45" s="128">
        <v>1</v>
      </c>
      <c r="D45" s="269">
        <v>1</v>
      </c>
      <c r="E45" s="136">
        <v>423.94</v>
      </c>
      <c r="N45" s="274"/>
      <c r="O45" s="275"/>
      <c r="P45" s="275"/>
      <c r="Q45" s="275"/>
      <c r="R45" s="275"/>
      <c r="S45" s="275"/>
      <c r="T45" s="275"/>
      <c r="U45" s="276"/>
    </row>
    <row r="46" spans="1:21">
      <c r="B46" s="268">
        <v>1</v>
      </c>
      <c r="C46" s="128">
        <v>-1</v>
      </c>
      <c r="D46" s="269">
        <v>-1</v>
      </c>
      <c r="E46" s="136">
        <v>374.24</v>
      </c>
      <c r="N46" s="274"/>
      <c r="O46" s="275"/>
      <c r="P46" s="275"/>
      <c r="Q46" s="275"/>
      <c r="R46" s="275"/>
      <c r="S46" s="275"/>
      <c r="T46" s="275"/>
      <c r="U46" s="276"/>
    </row>
    <row r="47" spans="1:21">
      <c r="B47" s="268">
        <v>1</v>
      </c>
      <c r="C47" s="128">
        <v>-1</v>
      </c>
      <c r="D47" s="269">
        <v>1</v>
      </c>
      <c r="E47" s="136">
        <v>450.52</v>
      </c>
      <c r="N47" s="274"/>
      <c r="O47" s="275"/>
      <c r="P47" s="275"/>
      <c r="Q47" s="275"/>
      <c r="R47" s="275"/>
      <c r="S47" s="275"/>
      <c r="T47" s="275"/>
      <c r="U47" s="276"/>
    </row>
    <row r="48" spans="1:21">
      <c r="B48" s="268">
        <v>1</v>
      </c>
      <c r="C48" s="128">
        <v>1</v>
      </c>
      <c r="D48" s="269">
        <v>-1</v>
      </c>
      <c r="E48" s="136">
        <v>505.85</v>
      </c>
      <c r="N48" s="274"/>
      <c r="O48" s="275"/>
      <c r="P48" s="275"/>
      <c r="Q48" s="275"/>
      <c r="R48" s="275"/>
      <c r="S48" s="275"/>
      <c r="T48" s="275"/>
      <c r="U48" s="276"/>
    </row>
    <row r="49" spans="1:21">
      <c r="B49" s="268">
        <v>1</v>
      </c>
      <c r="C49" s="128">
        <v>1</v>
      </c>
      <c r="D49" s="269">
        <v>1</v>
      </c>
      <c r="E49" s="136">
        <v>599.87</v>
      </c>
      <c r="N49" s="274"/>
      <c r="O49" s="275"/>
      <c r="P49" s="275"/>
      <c r="Q49" s="275"/>
      <c r="R49" s="275"/>
      <c r="S49" s="275"/>
      <c r="T49" s="275"/>
      <c r="U49" s="276"/>
    </row>
    <row r="50" spans="1:21">
      <c r="B50" s="268">
        <v>-1</v>
      </c>
      <c r="C50" s="128">
        <v>-1</v>
      </c>
      <c r="D50" s="269">
        <v>-1</v>
      </c>
      <c r="E50" s="136">
        <v>293.86</v>
      </c>
      <c r="N50" s="274"/>
      <c r="O50" s="275"/>
      <c r="P50" s="275"/>
      <c r="Q50" s="275"/>
      <c r="R50" s="275"/>
      <c r="S50" s="275"/>
      <c r="T50" s="275"/>
      <c r="U50" s="276"/>
    </row>
    <row r="51" spans="1:21">
      <c r="B51" s="268">
        <v>-1</v>
      </c>
      <c r="C51" s="128">
        <v>-1</v>
      </c>
      <c r="D51" s="269">
        <v>1</v>
      </c>
      <c r="E51" s="136">
        <v>357.95</v>
      </c>
      <c r="N51" s="274"/>
      <c r="O51" s="275"/>
      <c r="P51" s="275"/>
      <c r="Q51" s="275"/>
      <c r="R51" s="275"/>
      <c r="S51" s="275"/>
      <c r="T51" s="275"/>
      <c r="U51" s="276"/>
    </row>
    <row r="52" spans="1:21">
      <c r="B52" s="268">
        <v>-1</v>
      </c>
      <c r="C52" s="128">
        <v>1</v>
      </c>
      <c r="D52" s="269">
        <v>-1</v>
      </c>
      <c r="E52" s="136">
        <v>344.74</v>
      </c>
      <c r="N52" s="274"/>
      <c r="O52" s="275"/>
      <c r="P52" s="275"/>
      <c r="Q52" s="275"/>
      <c r="R52" s="275"/>
      <c r="S52" s="275"/>
      <c r="T52" s="275"/>
      <c r="U52" s="276"/>
    </row>
    <row r="53" spans="1:21">
      <c r="B53" s="268">
        <v>-1</v>
      </c>
      <c r="C53" s="128">
        <v>1</v>
      </c>
      <c r="D53" s="269">
        <v>1</v>
      </c>
      <c r="E53" s="136">
        <v>428.77</v>
      </c>
      <c r="N53" s="274"/>
      <c r="O53" s="275"/>
      <c r="P53" s="275"/>
      <c r="Q53" s="275"/>
      <c r="R53" s="275"/>
      <c r="S53" s="275"/>
      <c r="T53" s="275"/>
      <c r="U53" s="276"/>
    </row>
    <row r="54" spans="1:21">
      <c r="B54" s="268">
        <v>1</v>
      </c>
      <c r="C54" s="128">
        <v>-1</v>
      </c>
      <c r="D54" s="269">
        <v>-1</v>
      </c>
      <c r="E54" s="136">
        <v>370.96</v>
      </c>
      <c r="N54" s="274"/>
      <c r="O54" s="275"/>
      <c r="P54" s="275"/>
      <c r="Q54" s="275"/>
      <c r="R54" s="275"/>
      <c r="S54" s="275"/>
      <c r="T54" s="275"/>
      <c r="U54" s="276"/>
    </row>
    <row r="55" spans="1:21">
      <c r="B55" s="268">
        <v>1</v>
      </c>
      <c r="C55" s="128">
        <v>-1</v>
      </c>
      <c r="D55" s="269">
        <v>1</v>
      </c>
      <c r="E55" s="136">
        <v>451.06</v>
      </c>
      <c r="N55" s="274"/>
      <c r="O55" s="275"/>
      <c r="P55" s="275"/>
      <c r="Q55" s="275"/>
      <c r="R55" s="275"/>
      <c r="S55" s="275"/>
      <c r="T55" s="275"/>
      <c r="U55" s="276"/>
    </row>
    <row r="56" spans="1:21">
      <c r="B56" s="268">
        <v>1</v>
      </c>
      <c r="C56" s="128">
        <v>1</v>
      </c>
      <c r="D56" s="269">
        <v>-1</v>
      </c>
      <c r="E56" s="136">
        <v>496.34</v>
      </c>
      <c r="N56" s="274"/>
      <c r="O56" s="275"/>
      <c r="P56" s="275"/>
      <c r="Q56" s="275"/>
      <c r="R56" s="275"/>
      <c r="S56" s="275"/>
      <c r="T56" s="275"/>
      <c r="U56" s="276"/>
    </row>
    <row r="57" spans="1:21" ht="15.75" thickBot="1">
      <c r="B57" s="270">
        <v>1</v>
      </c>
      <c r="C57" s="271">
        <v>1</v>
      </c>
      <c r="D57" s="272">
        <v>1</v>
      </c>
      <c r="E57" s="139">
        <v>602.73</v>
      </c>
      <c r="N57" s="277"/>
      <c r="O57" s="278"/>
      <c r="P57" s="278"/>
      <c r="Q57" s="278"/>
      <c r="R57" s="278"/>
      <c r="S57" s="278"/>
      <c r="T57" s="278"/>
      <c r="U57" s="279"/>
    </row>
    <row r="60" spans="1:21">
      <c r="A60" t="s">
        <v>224</v>
      </c>
    </row>
    <row r="62" spans="1:21">
      <c r="E62" s="507" t="s">
        <v>225</v>
      </c>
      <c r="F62" s="507"/>
    </row>
    <row r="63" spans="1:21">
      <c r="E63" s="273">
        <v>160</v>
      </c>
      <c r="F63" s="273">
        <v>180</v>
      </c>
    </row>
    <row r="64" spans="1:21">
      <c r="E64" s="273">
        <v>-1</v>
      </c>
      <c r="F64" s="273">
        <v>1</v>
      </c>
    </row>
    <row r="65" spans="1:23">
      <c r="B65" s="512" t="s">
        <v>226</v>
      </c>
      <c r="C65" s="273">
        <v>100</v>
      </c>
      <c r="D65" s="273">
        <v>-1</v>
      </c>
      <c r="E65" s="273">
        <f>AVERAGE(E42,E43,E50,E51)</f>
        <v>331.03249999999997</v>
      </c>
      <c r="F65" s="273">
        <f>AVERAGE(E47,E54,E46,E55)</f>
        <v>411.69499999999999</v>
      </c>
      <c r="G65">
        <f>AVERAGE(E65,F66)</f>
        <v>441.11500000000001</v>
      </c>
    </row>
    <row r="66" spans="1:23">
      <c r="B66" s="512"/>
      <c r="C66" s="273">
        <v>120</v>
      </c>
      <c r="D66" s="273">
        <v>1</v>
      </c>
      <c r="E66" s="273">
        <f>AVERAGE(E44,E45,E52,E53)</f>
        <v>387.88249999999999</v>
      </c>
      <c r="F66" s="273">
        <f>AVERAGE(E48,E49,E56,E57)</f>
        <v>551.19749999999999</v>
      </c>
      <c r="G66">
        <f>AVERAGE(E66,F65)</f>
        <v>399.78874999999999</v>
      </c>
    </row>
    <row r="67" spans="1:23">
      <c r="F67" s="34" t="s">
        <v>227</v>
      </c>
      <c r="G67" s="34">
        <f>G65-G66</f>
        <v>41.326250000000016</v>
      </c>
    </row>
    <row r="70" spans="1:23">
      <c r="A70" t="s">
        <v>228</v>
      </c>
    </row>
    <row r="71" spans="1:23">
      <c r="I71" t="s">
        <v>229</v>
      </c>
      <c r="P71" t="s">
        <v>230</v>
      </c>
      <c r="W71" t="s">
        <v>230</v>
      </c>
    </row>
    <row r="72" spans="1:23">
      <c r="E72" s="507" t="s">
        <v>226</v>
      </c>
      <c r="F72" s="507"/>
      <c r="I72" t="s">
        <v>231</v>
      </c>
      <c r="P72" t="s">
        <v>231</v>
      </c>
      <c r="W72" t="s">
        <v>231</v>
      </c>
    </row>
    <row r="73" spans="1:23">
      <c r="E73" s="273">
        <v>100</v>
      </c>
      <c r="F73" s="273">
        <v>120</v>
      </c>
    </row>
    <row r="74" spans="1:23">
      <c r="E74" s="273">
        <v>-1</v>
      </c>
      <c r="F74" s="273">
        <v>1</v>
      </c>
    </row>
    <row r="75" spans="1:23">
      <c r="B75" s="512" t="s">
        <v>232</v>
      </c>
      <c r="C75" s="273">
        <v>260</v>
      </c>
      <c r="D75" s="273">
        <v>-1</v>
      </c>
      <c r="E75" s="273">
        <f>AVERAGE(E42,E46,E50,E54)</f>
        <v>337.33249999999998</v>
      </c>
      <c r="F75" s="273">
        <f>AVERAGE(E44,E48,E52,E56)</f>
        <v>425.2525</v>
      </c>
      <c r="G75">
        <f>AVERAGE(E75,F76)</f>
        <v>425.58</v>
      </c>
    </row>
    <row r="76" spans="1:23">
      <c r="B76" s="512"/>
      <c r="C76" s="273">
        <v>300</v>
      </c>
      <c r="D76" s="273">
        <v>1</v>
      </c>
      <c r="E76" s="273">
        <f>AVERAGE(E43,E47,E51,E55)</f>
        <v>405.39499999999998</v>
      </c>
      <c r="F76" s="273">
        <f>AVERAGE(E45,E49,E53,E57)</f>
        <v>513.82749999999999</v>
      </c>
      <c r="G76">
        <f>AVERAGE(E76,F75)</f>
        <v>415.32375000000002</v>
      </c>
    </row>
    <row r="77" spans="1:23">
      <c r="F77" s="34" t="s">
        <v>233</v>
      </c>
      <c r="G77" s="34">
        <f>G75-G76</f>
        <v>10.256249999999966</v>
      </c>
    </row>
    <row r="80" spans="1:23">
      <c r="A80" t="s">
        <v>234</v>
      </c>
    </row>
    <row r="82" spans="2:23">
      <c r="E82" s="507" t="s">
        <v>225</v>
      </c>
      <c r="F82" s="507"/>
    </row>
    <row r="83" spans="2:23">
      <c r="E83" s="273">
        <v>160</v>
      </c>
      <c r="F83" s="273">
        <v>180</v>
      </c>
    </row>
    <row r="84" spans="2:23">
      <c r="E84" s="273">
        <v>-1</v>
      </c>
      <c r="F84" s="273">
        <v>1</v>
      </c>
    </row>
    <row r="85" spans="2:23">
      <c r="B85" s="512" t="s">
        <v>232</v>
      </c>
      <c r="C85" s="273">
        <v>260</v>
      </c>
      <c r="D85" s="273">
        <v>-1</v>
      </c>
      <c r="E85" s="273">
        <f>AVERAGE(E42,E44,E50,E52)</f>
        <v>325.73749999999995</v>
      </c>
      <c r="F85" s="273">
        <f>AVERAGE(E46,E48,E54,E56)</f>
        <v>436.84749999999997</v>
      </c>
      <c r="G85">
        <f>AVERAGE(E85,F86)</f>
        <v>425.89124999999996</v>
      </c>
    </row>
    <row r="86" spans="2:23">
      <c r="B86" s="512"/>
      <c r="C86" s="273">
        <v>300</v>
      </c>
      <c r="D86" s="273">
        <v>1</v>
      </c>
      <c r="E86" s="273">
        <f>AVERAGE(E45,E43,E51,E53)</f>
        <v>393.17750000000001</v>
      </c>
      <c r="F86" s="273">
        <f>AVERAGE(E47,E49,E55,E57)</f>
        <v>526.04499999999996</v>
      </c>
      <c r="G86">
        <f>AVERAGE(E86,F85)</f>
        <v>415.01249999999999</v>
      </c>
      <c r="P86" t="s">
        <v>235</v>
      </c>
      <c r="W86" t="s">
        <v>229</v>
      </c>
    </row>
    <row r="87" spans="2:23">
      <c r="F87" s="34" t="s">
        <v>233</v>
      </c>
      <c r="G87" s="34">
        <f>G85-G86</f>
        <v>10.878749999999968</v>
      </c>
      <c r="I87" t="s">
        <v>235</v>
      </c>
      <c r="P87" t="s">
        <v>231</v>
      </c>
      <c r="W87" t="s">
        <v>231</v>
      </c>
    </row>
    <row r="88" spans="2:23">
      <c r="I88" t="s">
        <v>231</v>
      </c>
    </row>
  </sheetData>
  <mergeCells count="14">
    <mergeCell ref="B65:B66"/>
    <mergeCell ref="E72:F72"/>
    <mergeCell ref="B75:B76"/>
    <mergeCell ref="E82:F82"/>
    <mergeCell ref="B85:B86"/>
    <mergeCell ref="E62:F62"/>
    <mergeCell ref="N3:U3"/>
    <mergeCell ref="A39:U39"/>
    <mergeCell ref="N41:U41"/>
    <mergeCell ref="A1:U1"/>
    <mergeCell ref="A36:U36"/>
    <mergeCell ref="H9:K9"/>
    <mergeCell ref="H4:K4"/>
    <mergeCell ref="H14:K1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"/>
  <sheetViews>
    <sheetView zoomScale="80" zoomScaleNormal="80" workbookViewId="0">
      <selection activeCell="J12" sqref="J12"/>
    </sheetView>
  </sheetViews>
  <sheetFormatPr defaultRowHeight="15"/>
  <cols>
    <col min="2" max="2" width="15.140625" bestFit="1" customWidth="1"/>
    <col min="3" max="3" width="13" bestFit="1" customWidth="1"/>
    <col min="6" max="6" width="13.85546875" bestFit="1" customWidth="1"/>
    <col min="7" max="7" width="12.85546875" customWidth="1"/>
    <col min="12" max="12" width="10.85546875" bestFit="1" customWidth="1"/>
    <col min="13" max="13" width="11.85546875" customWidth="1"/>
    <col min="14" max="14" width="10.5703125" bestFit="1" customWidth="1"/>
    <col min="15" max="15" width="10.140625" bestFit="1" customWidth="1"/>
    <col min="16" max="16" width="9.85546875" bestFit="1" customWidth="1"/>
    <col min="17" max="17" width="8.5703125" bestFit="1" customWidth="1"/>
  </cols>
  <sheetData>
    <row r="1" spans="1:21" ht="20.100000000000001" customHeight="1" thickBot="1">
      <c r="A1" s="395" t="s">
        <v>239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4"/>
    </row>
    <row r="3" spans="1:21">
      <c r="B3" s="148" t="s">
        <v>130</v>
      </c>
      <c r="C3" s="148">
        <v>420.45187499999997</v>
      </c>
      <c r="D3" s="148" t="s">
        <v>99</v>
      </c>
      <c r="E3" s="148">
        <v>60.994374999999998</v>
      </c>
      <c r="F3" s="148" t="s">
        <v>131</v>
      </c>
      <c r="G3" s="148" t="s">
        <v>99</v>
      </c>
      <c r="H3" s="148">
        <v>49.088124999999998</v>
      </c>
      <c r="I3" s="148" t="s">
        <v>132</v>
      </c>
      <c r="J3" s="148">
        <v>39.159375000000011</v>
      </c>
      <c r="K3" s="148" t="s">
        <v>133</v>
      </c>
      <c r="L3" s="148">
        <v>20.663125000000001</v>
      </c>
      <c r="M3" s="148" t="s">
        <v>134</v>
      </c>
      <c r="N3" s="148">
        <v>5.4393750000000018</v>
      </c>
      <c r="O3" s="148" t="s">
        <v>293</v>
      </c>
      <c r="P3" s="148">
        <v>5.1281250000000043</v>
      </c>
      <c r="Q3" s="148" t="s">
        <v>135</v>
      </c>
    </row>
    <row r="5" spans="1:21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9" spans="1:21">
      <c r="B9" s="461" t="s">
        <v>254</v>
      </c>
      <c r="C9" s="462"/>
      <c r="F9" s="461" t="s">
        <v>255</v>
      </c>
      <c r="G9" s="462"/>
      <c r="M9" s="515" t="s">
        <v>275</v>
      </c>
      <c r="N9" s="516"/>
      <c r="O9" s="516"/>
      <c r="P9" s="516"/>
      <c r="Q9" s="516"/>
      <c r="R9" s="516"/>
      <c r="S9" s="516"/>
      <c r="T9" s="517"/>
    </row>
    <row r="10" spans="1:21">
      <c r="B10" s="296" t="s">
        <v>256</v>
      </c>
      <c r="C10" s="297">
        <v>170</v>
      </c>
      <c r="F10" s="296" t="s">
        <v>256</v>
      </c>
      <c r="G10" s="297">
        <v>175</v>
      </c>
      <c r="M10" s="274"/>
      <c r="N10" s="275"/>
      <c r="O10" s="275"/>
      <c r="P10" s="275"/>
      <c r="Q10" s="275"/>
      <c r="R10" s="275"/>
      <c r="S10" s="275"/>
      <c r="T10" s="276"/>
    </row>
    <row r="11" spans="1:21">
      <c r="B11" s="296" t="s">
        <v>257</v>
      </c>
      <c r="C11" s="297">
        <v>110</v>
      </c>
      <c r="F11" s="296" t="s">
        <v>257</v>
      </c>
      <c r="G11" s="297">
        <v>115</v>
      </c>
      <c r="M11" s="274"/>
      <c r="N11" s="275"/>
      <c r="O11" s="275"/>
      <c r="P11" s="275"/>
      <c r="Q11" s="275"/>
      <c r="R11" s="275"/>
      <c r="S11" s="275"/>
      <c r="T11" s="276"/>
    </row>
    <row r="12" spans="1:21">
      <c r="B12" s="298" t="s">
        <v>258</v>
      </c>
      <c r="C12" s="299">
        <v>280</v>
      </c>
      <c r="F12" s="296" t="s">
        <v>258</v>
      </c>
      <c r="G12" s="297">
        <v>290</v>
      </c>
      <c r="M12" s="274"/>
      <c r="N12" s="275"/>
      <c r="O12" s="275"/>
      <c r="P12" s="275"/>
      <c r="Q12" s="275"/>
      <c r="R12" s="275"/>
      <c r="S12" s="275"/>
      <c r="T12" s="276"/>
    </row>
    <row r="13" spans="1:21">
      <c r="B13" s="300" t="s">
        <v>259</v>
      </c>
      <c r="C13" s="301">
        <f>C3+E3*0+H3*0+J3*0+L3*0+N3*0+P3*0</f>
        <v>420.45187499999997</v>
      </c>
      <c r="F13" s="302" t="s">
        <v>260</v>
      </c>
      <c r="G13" s="303">
        <f>C3+E3*(5/10)+H3*(5/10)+J3*(10/20)+L3*(5/10)*(5/10)+N3*(5/10)*(10/20)+P3*(5/10)*(10/20)</f>
        <v>502.88046874999992</v>
      </c>
      <c r="M13" s="274"/>
      <c r="N13" s="275"/>
      <c r="O13" s="275"/>
      <c r="P13" s="275"/>
      <c r="Q13" s="275"/>
      <c r="R13" s="275"/>
      <c r="S13" s="275"/>
      <c r="T13" s="276"/>
    </row>
    <row r="14" spans="1:21">
      <c r="M14" s="274"/>
      <c r="N14" s="275"/>
      <c r="O14" s="275"/>
      <c r="P14" s="275"/>
      <c r="Q14" s="275"/>
      <c r="R14" s="275"/>
      <c r="S14" s="275"/>
      <c r="T14" s="276"/>
    </row>
    <row r="15" spans="1:21">
      <c r="M15" s="274"/>
      <c r="N15" s="275"/>
      <c r="O15" s="275"/>
      <c r="P15" s="275"/>
      <c r="Q15" s="275"/>
      <c r="R15" s="275"/>
      <c r="S15" s="275"/>
      <c r="T15" s="276"/>
    </row>
    <row r="16" spans="1:21">
      <c r="M16" s="274"/>
      <c r="N16" s="275"/>
      <c r="O16" s="275"/>
      <c r="P16" s="275"/>
      <c r="Q16" s="275"/>
      <c r="R16" s="275"/>
      <c r="S16" s="275"/>
      <c r="T16" s="276"/>
    </row>
    <row r="17" spans="13:20">
      <c r="M17" s="274"/>
      <c r="N17" s="275"/>
      <c r="O17" s="275"/>
      <c r="P17" s="275"/>
      <c r="Q17" s="275"/>
      <c r="R17" s="275"/>
      <c r="S17" s="275"/>
      <c r="T17" s="276"/>
    </row>
    <row r="18" spans="13:20">
      <c r="M18" s="274"/>
      <c r="N18" s="275"/>
      <c r="O18" s="275"/>
      <c r="P18" s="275"/>
      <c r="Q18" s="275"/>
      <c r="R18" s="275"/>
      <c r="S18" s="275"/>
      <c r="T18" s="276"/>
    </row>
    <row r="19" spans="13:20">
      <c r="M19" s="274"/>
      <c r="N19" s="275"/>
      <c r="O19" s="275"/>
      <c r="P19" s="275"/>
      <c r="Q19" s="275"/>
      <c r="R19" s="275"/>
      <c r="S19" s="275"/>
      <c r="T19" s="276"/>
    </row>
    <row r="20" spans="13:20">
      <c r="M20" s="274"/>
      <c r="N20" s="275"/>
      <c r="O20" s="275"/>
      <c r="P20" s="275"/>
      <c r="Q20" s="275"/>
      <c r="R20" s="275"/>
      <c r="S20" s="275"/>
      <c r="T20" s="276"/>
    </row>
    <row r="21" spans="13:20">
      <c r="M21" s="274"/>
      <c r="N21" s="275"/>
      <c r="O21" s="275"/>
      <c r="P21" s="275"/>
      <c r="Q21" s="275"/>
      <c r="R21" s="275"/>
      <c r="S21" s="275"/>
      <c r="T21" s="276"/>
    </row>
    <row r="22" spans="13:20">
      <c r="M22" s="274"/>
      <c r="N22" s="275"/>
      <c r="O22" s="275"/>
      <c r="P22" s="275"/>
      <c r="Q22" s="275"/>
      <c r="R22" s="275"/>
      <c r="S22" s="275"/>
      <c r="T22" s="276"/>
    </row>
    <row r="23" spans="13:20">
      <c r="M23" s="274"/>
      <c r="N23" s="275"/>
      <c r="O23" s="275"/>
      <c r="P23" s="275"/>
      <c r="Q23" s="275"/>
      <c r="R23" s="275"/>
      <c r="S23" s="275"/>
      <c r="T23" s="276"/>
    </row>
    <row r="24" spans="13:20">
      <c r="M24" s="274"/>
      <c r="N24" s="275"/>
      <c r="O24" s="275"/>
      <c r="P24" s="275"/>
      <c r="Q24" s="275"/>
      <c r="R24" s="275"/>
      <c r="S24" s="275"/>
      <c r="T24" s="276"/>
    </row>
    <row r="25" spans="13:20">
      <c r="M25" s="274"/>
      <c r="N25" s="275"/>
      <c r="O25" s="275"/>
      <c r="P25" s="275"/>
      <c r="Q25" s="275"/>
      <c r="R25" s="275"/>
      <c r="S25" s="275"/>
      <c r="T25" s="276"/>
    </row>
    <row r="26" spans="13:20">
      <c r="M26" s="274"/>
      <c r="N26" s="275"/>
      <c r="O26" s="275"/>
      <c r="P26" s="275"/>
      <c r="Q26" s="275"/>
      <c r="R26" s="275"/>
      <c r="S26" s="275"/>
      <c r="T26" s="276"/>
    </row>
    <row r="27" spans="13:20">
      <c r="M27" s="274"/>
      <c r="N27" s="275"/>
      <c r="O27" s="275"/>
      <c r="P27" s="275"/>
      <c r="Q27" s="275"/>
      <c r="R27" s="275"/>
      <c r="S27" s="275"/>
      <c r="T27" s="276"/>
    </row>
    <row r="28" spans="13:20">
      <c r="M28" s="277"/>
      <c r="N28" s="278"/>
      <c r="O28" s="278"/>
      <c r="P28" s="278"/>
      <c r="Q28" s="278"/>
      <c r="R28" s="278"/>
      <c r="S28" s="278"/>
      <c r="T28" s="279"/>
    </row>
  </sheetData>
  <mergeCells count="4">
    <mergeCell ref="A1:U1"/>
    <mergeCell ref="B9:C9"/>
    <mergeCell ref="F9:G9"/>
    <mergeCell ref="M9:T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"/>
  <sheetViews>
    <sheetView zoomScale="90" zoomScaleNormal="90" workbookViewId="0">
      <selection activeCell="R23" sqref="R23"/>
    </sheetView>
  </sheetViews>
  <sheetFormatPr defaultRowHeight="15"/>
  <sheetData>
    <row r="1" spans="1:18" ht="20.100000000000001" customHeight="1" thickBot="1">
      <c r="A1" s="377" t="s">
        <v>240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9"/>
    </row>
    <row r="2" spans="1:18" ht="15.75" thickBot="1"/>
    <row r="3" spans="1:18">
      <c r="B3" s="304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256"/>
    </row>
    <row r="4" spans="1:18">
      <c r="B4" s="306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59"/>
    </row>
    <row r="5" spans="1:18">
      <c r="B5" s="306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59"/>
    </row>
    <row r="6" spans="1:18">
      <c r="B6" s="306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59"/>
    </row>
    <row r="7" spans="1:18">
      <c r="B7" s="306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59"/>
    </row>
    <row r="8" spans="1:18">
      <c r="B8" s="306"/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59"/>
    </row>
    <row r="9" spans="1:18">
      <c r="B9" s="306"/>
      <c r="C9" s="275"/>
      <c r="D9" s="275"/>
      <c r="E9" s="275"/>
      <c r="F9" s="275"/>
      <c r="G9" s="275"/>
      <c r="H9" s="275"/>
      <c r="I9" s="275"/>
      <c r="J9" s="275"/>
      <c r="K9" s="275"/>
      <c r="L9" s="275"/>
      <c r="M9" s="275"/>
      <c r="N9" s="275"/>
      <c r="O9" s="275"/>
      <c r="P9" s="275"/>
      <c r="Q9" s="259"/>
    </row>
    <row r="10" spans="1:18">
      <c r="B10" s="306"/>
      <c r="C10" s="275"/>
      <c r="D10" s="275"/>
      <c r="E10" s="275"/>
      <c r="F10" s="275"/>
      <c r="G10" s="275"/>
      <c r="H10" s="275"/>
      <c r="I10" s="275"/>
      <c r="J10" s="275"/>
      <c r="K10" s="275"/>
      <c r="L10" s="275"/>
      <c r="M10" s="275"/>
      <c r="N10" s="275"/>
      <c r="O10" s="275"/>
      <c r="P10" s="275"/>
      <c r="Q10" s="259"/>
    </row>
    <row r="11" spans="1:18">
      <c r="B11" s="306"/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59"/>
    </row>
    <row r="12" spans="1:18">
      <c r="B12" s="306"/>
      <c r="C12" s="275"/>
      <c r="D12" s="275"/>
      <c r="E12" s="275"/>
      <c r="F12" s="275"/>
      <c r="G12" s="275"/>
      <c r="H12" s="275"/>
      <c r="I12" s="275"/>
      <c r="J12" s="275"/>
      <c r="K12" s="275"/>
      <c r="L12" s="275"/>
      <c r="M12" s="275"/>
      <c r="N12" s="275"/>
      <c r="O12" s="275"/>
      <c r="P12" s="275"/>
      <c r="Q12" s="259"/>
    </row>
    <row r="13" spans="1:18" ht="15.75" thickBot="1">
      <c r="B13" s="307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262"/>
    </row>
    <row r="15" spans="1:18">
      <c r="G15" s="524" t="s">
        <v>276</v>
      </c>
      <c r="H15" s="524"/>
      <c r="I15" s="525"/>
      <c r="J15" s="309">
        <f>'Predikcie hodnôt'!C13</f>
        <v>420.45187499999997</v>
      </c>
    </row>
    <row r="16" spans="1:18">
      <c r="G16" s="524" t="s">
        <v>277</v>
      </c>
      <c r="H16" s="524"/>
      <c r="I16" s="525"/>
      <c r="J16" s="310">
        <f>'Predikcie hodnôt'!G13</f>
        <v>502.88046874999992</v>
      </c>
    </row>
    <row r="17" spans="1:18" ht="15.75" thickBot="1"/>
    <row r="18" spans="1:18" ht="15" customHeight="1">
      <c r="A18" s="518" t="s">
        <v>278</v>
      </c>
      <c r="B18" s="519"/>
      <c r="C18" s="519"/>
      <c r="D18" s="519"/>
      <c r="E18" s="519"/>
      <c r="F18" s="519"/>
      <c r="G18" s="519"/>
      <c r="H18" s="519"/>
      <c r="I18" s="519"/>
      <c r="J18" s="519"/>
      <c r="K18" s="519"/>
      <c r="L18" s="519"/>
      <c r="M18" s="519"/>
      <c r="N18" s="519"/>
      <c r="O18" s="519"/>
      <c r="P18" s="519"/>
      <c r="Q18" s="519"/>
      <c r="R18" s="520"/>
    </row>
    <row r="19" spans="1:18" ht="15.75" thickBot="1">
      <c r="A19" s="521"/>
      <c r="B19" s="522"/>
      <c r="C19" s="522"/>
      <c r="D19" s="522"/>
      <c r="E19" s="522"/>
      <c r="F19" s="522"/>
      <c r="G19" s="522"/>
      <c r="H19" s="522"/>
      <c r="I19" s="522"/>
      <c r="J19" s="522"/>
      <c r="K19" s="522"/>
      <c r="L19" s="522"/>
      <c r="M19" s="522"/>
      <c r="N19" s="522"/>
      <c r="O19" s="522"/>
      <c r="P19" s="522"/>
      <c r="Q19" s="522"/>
      <c r="R19" s="523"/>
    </row>
  </sheetData>
  <mergeCells count="4">
    <mergeCell ref="A18:R19"/>
    <mergeCell ref="A1:R1"/>
    <mergeCell ref="G15:I15"/>
    <mergeCell ref="G16:I1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workbookViewId="0">
      <selection activeCell="O42" sqref="O42"/>
    </sheetView>
  </sheetViews>
  <sheetFormatPr defaultRowHeight="15"/>
  <cols>
    <col min="2" max="2" width="10.85546875" customWidth="1"/>
    <col min="3" max="3" width="11" customWidth="1"/>
  </cols>
  <sheetData>
    <row r="1" spans="1:18" ht="20.100000000000001" customHeight="1" thickBot="1">
      <c r="A1" s="377" t="s">
        <v>241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9"/>
    </row>
    <row r="3" spans="1:18">
      <c r="A3" s="529" t="s">
        <v>281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</row>
    <row r="5" spans="1:18">
      <c r="A5" s="530" t="s">
        <v>279</v>
      </c>
      <c r="B5" s="530"/>
      <c r="C5" s="530"/>
    </row>
    <row r="6" spans="1:18">
      <c r="B6" s="143" t="s">
        <v>69</v>
      </c>
      <c r="C6" s="312">
        <v>420.45187499999997</v>
      </c>
      <c r="D6" s="1">
        <v>1</v>
      </c>
    </row>
    <row r="7" spans="1:18">
      <c r="B7" s="143" t="s">
        <v>26</v>
      </c>
      <c r="C7" s="312">
        <v>60.994375000000005</v>
      </c>
      <c r="D7" s="1"/>
    </row>
    <row r="8" spans="1:18">
      <c r="B8" s="143" t="s">
        <v>27</v>
      </c>
      <c r="C8" s="312">
        <v>49.088124999999998</v>
      </c>
      <c r="D8" s="1"/>
    </row>
    <row r="9" spans="1:18">
      <c r="B9" s="143" t="s">
        <v>28</v>
      </c>
      <c r="C9" s="312">
        <v>39.159375000000011</v>
      </c>
      <c r="D9" s="1"/>
    </row>
    <row r="10" spans="1:18">
      <c r="B10" s="143" t="s">
        <v>37</v>
      </c>
      <c r="C10" s="312">
        <v>20.663125000000001</v>
      </c>
      <c r="D10" s="1"/>
    </row>
    <row r="11" spans="1:18">
      <c r="B11" s="143" t="s">
        <v>39</v>
      </c>
      <c r="C11" s="312">
        <v>5.4393750000000018</v>
      </c>
      <c r="D11" s="1"/>
    </row>
    <row r="12" spans="1:18" ht="15.75" thickBot="1">
      <c r="B12" s="311" t="s">
        <v>41</v>
      </c>
      <c r="C12" s="313">
        <v>5.1281250000000043</v>
      </c>
      <c r="D12" s="314"/>
    </row>
    <row r="13" spans="1:18">
      <c r="F13" s="531" t="s">
        <v>284</v>
      </c>
      <c r="G13" s="531"/>
      <c r="H13" s="531"/>
      <c r="I13" s="531"/>
      <c r="J13" s="531"/>
      <c r="K13" s="531"/>
      <c r="L13" s="531"/>
      <c r="M13" s="531"/>
      <c r="N13" s="531"/>
      <c r="O13" s="531"/>
      <c r="P13" s="531"/>
      <c r="Q13" s="531"/>
      <c r="R13" s="531"/>
    </row>
    <row r="14" spans="1:18" ht="15.75" thickBot="1"/>
    <row r="15" spans="1:18" ht="15.75" thickBot="1">
      <c r="B15" s="508" t="s">
        <v>280</v>
      </c>
      <c r="C15" s="509"/>
      <c r="D15" s="509"/>
      <c r="E15" s="509"/>
      <c r="F15" s="509"/>
      <c r="G15" s="509"/>
      <c r="H15" s="510"/>
    </row>
    <row r="16" spans="1:18" ht="15.75" thickBot="1">
      <c r="B16" s="274"/>
      <c r="C16" s="275"/>
      <c r="D16" s="275"/>
      <c r="E16" s="275"/>
      <c r="F16" s="275"/>
      <c r="G16" s="275"/>
      <c r="H16" s="276"/>
    </row>
    <row r="17" spans="2:18" ht="15" customHeight="1">
      <c r="B17" s="274"/>
      <c r="C17" s="275"/>
      <c r="D17" s="275"/>
      <c r="E17" s="275"/>
      <c r="F17" s="275"/>
      <c r="G17" s="275"/>
      <c r="H17" s="276"/>
      <c r="J17" s="518" t="s">
        <v>283</v>
      </c>
      <c r="K17" s="519"/>
      <c r="L17" s="519"/>
      <c r="M17" s="519"/>
      <c r="N17" s="519"/>
      <c r="O17" s="519"/>
      <c r="P17" s="519"/>
      <c r="Q17" s="520"/>
      <c r="R17" s="156"/>
    </row>
    <row r="18" spans="2:18">
      <c r="B18" s="274"/>
      <c r="C18" s="275"/>
      <c r="D18" s="275"/>
      <c r="E18" s="275"/>
      <c r="F18" s="275"/>
      <c r="G18" s="275"/>
      <c r="H18" s="276"/>
      <c r="J18" s="526"/>
      <c r="K18" s="527"/>
      <c r="L18" s="527"/>
      <c r="M18" s="527"/>
      <c r="N18" s="527"/>
      <c r="O18" s="527"/>
      <c r="P18" s="527"/>
      <c r="Q18" s="528"/>
      <c r="R18" s="156"/>
    </row>
    <row r="19" spans="2:18" ht="15.75" thickBot="1">
      <c r="B19" s="274"/>
      <c r="C19" s="275"/>
      <c r="D19" s="275"/>
      <c r="E19" s="275"/>
      <c r="F19" s="275"/>
      <c r="G19" s="275"/>
      <c r="H19" s="276"/>
      <c r="J19" s="521"/>
      <c r="K19" s="522"/>
      <c r="L19" s="522"/>
      <c r="M19" s="522"/>
      <c r="N19" s="522"/>
      <c r="O19" s="522"/>
      <c r="P19" s="522"/>
      <c r="Q19" s="523"/>
    </row>
    <row r="20" spans="2:18">
      <c r="B20" s="274"/>
      <c r="C20" s="275"/>
      <c r="D20" s="275"/>
      <c r="E20" s="275"/>
      <c r="F20" s="275"/>
      <c r="G20" s="275"/>
      <c r="H20" s="276"/>
    </row>
    <row r="21" spans="2:18">
      <c r="B21" s="274"/>
      <c r="C21" s="275"/>
      <c r="D21" s="275"/>
      <c r="E21" s="275"/>
      <c r="F21" s="275"/>
      <c r="G21" s="275"/>
      <c r="H21" s="276"/>
    </row>
    <row r="22" spans="2:18">
      <c r="B22" s="274"/>
      <c r="C22" s="275"/>
      <c r="D22" s="275"/>
      <c r="E22" s="275"/>
      <c r="F22" s="275"/>
      <c r="G22" s="275"/>
      <c r="H22" s="276"/>
    </row>
    <row r="23" spans="2:18">
      <c r="B23" s="274"/>
      <c r="C23" s="275"/>
      <c r="D23" s="275"/>
      <c r="E23" s="275"/>
      <c r="F23" s="275"/>
      <c r="G23" s="275"/>
      <c r="H23" s="276"/>
    </row>
    <row r="24" spans="2:18">
      <c r="B24" s="274"/>
      <c r="C24" s="275"/>
      <c r="D24" s="275"/>
      <c r="E24" s="275"/>
      <c r="F24" s="275"/>
      <c r="G24" s="275"/>
      <c r="H24" s="276"/>
    </row>
    <row r="25" spans="2:18">
      <c r="B25" s="274"/>
      <c r="C25" s="275"/>
      <c r="D25" s="275"/>
      <c r="E25" s="275"/>
      <c r="F25" s="275"/>
      <c r="G25" s="275"/>
      <c r="H25" s="276"/>
    </row>
    <row r="26" spans="2:18">
      <c r="B26" s="274"/>
      <c r="C26" s="275"/>
      <c r="D26" s="275"/>
      <c r="E26" s="275"/>
      <c r="F26" s="275"/>
      <c r="G26" s="275"/>
      <c r="H26" s="276"/>
    </row>
    <row r="27" spans="2:18">
      <c r="B27" s="274"/>
      <c r="C27" s="275"/>
      <c r="D27" s="275"/>
      <c r="E27" s="275"/>
      <c r="F27" s="275"/>
      <c r="G27" s="275"/>
      <c r="H27" s="276"/>
    </row>
    <row r="28" spans="2:18">
      <c r="B28" s="274"/>
      <c r="C28" s="275"/>
      <c r="D28" s="275"/>
      <c r="E28" s="275"/>
      <c r="F28" s="275"/>
      <c r="G28" s="275"/>
      <c r="H28" s="276"/>
    </row>
    <row r="29" spans="2:18">
      <c r="B29" s="274"/>
      <c r="C29" s="275"/>
      <c r="D29" s="275"/>
      <c r="E29" s="275"/>
      <c r="F29" s="275"/>
      <c r="G29" s="275"/>
      <c r="H29" s="276"/>
    </row>
    <row r="30" spans="2:18">
      <c r="B30" s="277"/>
      <c r="C30" s="278"/>
      <c r="D30" s="278"/>
      <c r="E30" s="278"/>
      <c r="F30" s="278"/>
      <c r="G30" s="278"/>
      <c r="H30" s="279"/>
    </row>
  </sheetData>
  <mergeCells count="6">
    <mergeCell ref="J17:Q19"/>
    <mergeCell ref="A1:R1"/>
    <mergeCell ref="A3:R3"/>
    <mergeCell ref="A5:C5"/>
    <mergeCell ref="F13:R13"/>
    <mergeCell ref="B15:H1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5"/>
  <sheetViews>
    <sheetView zoomScale="70" zoomScaleNormal="70" workbookViewId="0">
      <selection activeCell="Q10" sqref="Q10"/>
    </sheetView>
  </sheetViews>
  <sheetFormatPr defaultRowHeight="15"/>
  <sheetData>
    <row r="1" spans="1:7">
      <c r="A1" s="532" t="s">
        <v>296</v>
      </c>
      <c r="B1" s="532"/>
      <c r="C1" s="532"/>
      <c r="D1" s="532"/>
      <c r="E1" s="532"/>
      <c r="F1" s="532"/>
      <c r="G1" s="532"/>
    </row>
    <row r="17" spans="1:8">
      <c r="A17" s="532" t="s">
        <v>297</v>
      </c>
      <c r="B17" s="532"/>
      <c r="C17" s="532"/>
      <c r="D17" s="532"/>
      <c r="E17" s="532"/>
      <c r="F17" s="532"/>
      <c r="G17" s="532"/>
      <c r="H17" s="532"/>
    </row>
    <row r="44" spans="1:4">
      <c r="A44" s="532" t="s">
        <v>298</v>
      </c>
      <c r="B44" s="532"/>
      <c r="C44" s="532"/>
      <c r="D44" s="532"/>
    </row>
    <row r="69" spans="1:5">
      <c r="A69" s="532" t="s">
        <v>299</v>
      </c>
      <c r="B69" s="532"/>
      <c r="C69" s="532"/>
      <c r="D69" s="532"/>
      <c r="E69" s="532"/>
    </row>
    <row r="209" spans="1:10">
      <c r="A209" s="532" t="s">
        <v>300</v>
      </c>
      <c r="B209" s="532"/>
      <c r="C209" s="532"/>
      <c r="D209" s="532"/>
      <c r="E209" s="532"/>
      <c r="F209" s="532"/>
      <c r="G209" s="532"/>
      <c r="H209" s="532"/>
      <c r="I209" s="532"/>
      <c r="J209" s="532"/>
    </row>
    <row r="301" spans="1:10">
      <c r="A301" s="532" t="s">
        <v>301</v>
      </c>
      <c r="B301" s="532"/>
      <c r="C301" s="532"/>
      <c r="D301" s="532"/>
      <c r="E301" s="532"/>
      <c r="F301" s="532"/>
      <c r="G301" s="532"/>
      <c r="H301" s="532"/>
      <c r="I301" s="532"/>
      <c r="J301" s="532"/>
    </row>
    <row r="323" spans="1:9">
      <c r="A323" s="532" t="s">
        <v>302</v>
      </c>
      <c r="B323" s="532"/>
      <c r="C323" s="532"/>
      <c r="D323" s="532"/>
      <c r="E323" s="532"/>
      <c r="F323" s="532"/>
      <c r="G323" s="532"/>
      <c r="H323" s="532"/>
      <c r="I323" s="532"/>
    </row>
    <row r="344" spans="1:9">
      <c r="A344" s="532" t="s">
        <v>303</v>
      </c>
      <c r="B344" s="532"/>
      <c r="C344" s="532"/>
      <c r="D344" s="532"/>
      <c r="E344" s="532"/>
      <c r="F344" s="532"/>
      <c r="G344" s="532"/>
      <c r="H344" s="532"/>
      <c r="I344" s="532"/>
    </row>
    <row r="365" spans="1:9">
      <c r="A365" s="532" t="s">
        <v>304</v>
      </c>
      <c r="B365" s="532"/>
      <c r="C365" s="532"/>
      <c r="D365" s="532"/>
      <c r="E365" s="532"/>
      <c r="F365" s="532"/>
      <c r="G365" s="532"/>
      <c r="H365" s="532"/>
      <c r="I365" s="532"/>
    </row>
  </sheetData>
  <mergeCells count="9">
    <mergeCell ref="A323:I323"/>
    <mergeCell ref="A344:I344"/>
    <mergeCell ref="A365:I365"/>
    <mergeCell ref="A1:G1"/>
    <mergeCell ref="A17:H17"/>
    <mergeCell ref="A44:D44"/>
    <mergeCell ref="A69:E69"/>
    <mergeCell ref="A209:J209"/>
    <mergeCell ref="A301:J30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7"/>
  <sheetViews>
    <sheetView zoomScaleNormal="100" workbookViewId="0">
      <selection activeCell="F27" sqref="F27"/>
    </sheetView>
  </sheetViews>
  <sheetFormatPr defaultRowHeight="15"/>
  <cols>
    <col min="1" max="1" width="4.7109375" style="1" customWidth="1"/>
    <col min="2" max="2" width="17.7109375" style="1" customWidth="1"/>
    <col min="3" max="3" width="14.85546875" style="1" customWidth="1"/>
    <col min="4" max="4" width="17.7109375" style="1" customWidth="1"/>
    <col min="5" max="5" width="21.7109375" style="1" customWidth="1"/>
    <col min="6" max="7" width="11.28515625" style="1" customWidth="1"/>
    <col min="8" max="8" width="11.7109375" style="1" customWidth="1"/>
    <col min="11" max="11" width="4.7109375" style="1" customWidth="1"/>
    <col min="12" max="13" width="9.140625" style="1"/>
    <col min="14" max="14" width="9.140625" style="1" customWidth="1"/>
    <col min="15" max="18" width="9.140625" style="1"/>
  </cols>
  <sheetData>
    <row r="1" spans="1:20" ht="20.100000000000001" customHeight="1" thickBot="1">
      <c r="A1" s="377" t="s">
        <v>17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9"/>
      <c r="P1" s="43"/>
      <c r="Q1" s="43"/>
      <c r="R1" s="43"/>
      <c r="S1" s="34"/>
      <c r="T1" s="34"/>
    </row>
    <row r="2" spans="1:20" ht="15.75" thickBot="1"/>
    <row r="3" spans="1:20" ht="17.100000000000001" customHeight="1" thickBot="1">
      <c r="A3" s="79"/>
      <c r="B3" s="383" t="s">
        <v>15</v>
      </c>
      <c r="C3" s="384"/>
      <c r="D3" s="385"/>
      <c r="E3" s="82" t="s">
        <v>16</v>
      </c>
      <c r="F3" s="34"/>
      <c r="G3" s="34"/>
      <c r="H3" s="34"/>
    </row>
    <row r="4" spans="1:20" ht="15.75" thickBot="1">
      <c r="A4" s="80"/>
      <c r="B4" s="386" t="s">
        <v>18</v>
      </c>
      <c r="C4" s="388" t="s">
        <v>19</v>
      </c>
      <c r="D4" s="390" t="s">
        <v>20</v>
      </c>
      <c r="E4" s="392" t="s">
        <v>91</v>
      </c>
      <c r="F4" s="34"/>
      <c r="G4" s="18"/>
      <c r="H4" s="16" t="s">
        <v>24</v>
      </c>
      <c r="I4" s="17" t="s">
        <v>25</v>
      </c>
      <c r="K4" s="374" t="s">
        <v>30</v>
      </c>
      <c r="L4" s="375"/>
      <c r="M4" s="375"/>
      <c r="N4" s="375"/>
      <c r="O4" s="376"/>
    </row>
    <row r="5" spans="1:20" ht="15.75" thickBot="1">
      <c r="A5" s="81"/>
      <c r="B5" s="387"/>
      <c r="C5" s="389"/>
      <c r="D5" s="391"/>
      <c r="E5" s="393"/>
      <c r="F5" s="69"/>
      <c r="G5" s="13" t="s">
        <v>21</v>
      </c>
      <c r="H5" s="10">
        <f>(B6+B10)/2</f>
        <v>170</v>
      </c>
      <c r="I5" s="7">
        <f>(B10-B6)/2</f>
        <v>10</v>
      </c>
      <c r="K5" s="19"/>
      <c r="L5" s="28" t="s">
        <v>26</v>
      </c>
      <c r="M5" s="29" t="s">
        <v>27</v>
      </c>
      <c r="N5" s="30" t="s">
        <v>28</v>
      </c>
      <c r="O5" s="31" t="s">
        <v>29</v>
      </c>
    </row>
    <row r="6" spans="1:20">
      <c r="A6" s="73" t="s">
        <v>7</v>
      </c>
      <c r="B6" s="167">
        <v>160</v>
      </c>
      <c r="C6" s="168">
        <v>100</v>
      </c>
      <c r="D6" s="169">
        <v>260</v>
      </c>
      <c r="E6" s="170">
        <v>310.27</v>
      </c>
      <c r="F6" s="70"/>
      <c r="G6" s="14" t="s">
        <v>22</v>
      </c>
      <c r="H6" s="11">
        <f>(C6+C8)/2</f>
        <v>110</v>
      </c>
      <c r="I6" s="8">
        <f>(C8-C6)/2</f>
        <v>10</v>
      </c>
      <c r="K6" s="26" t="s">
        <v>7</v>
      </c>
      <c r="L6" s="20">
        <f>(B6-$H$5)/$I$5</f>
        <v>-1</v>
      </c>
      <c r="M6" s="21">
        <f>(C6-$H$6)/$I$6</f>
        <v>-1</v>
      </c>
      <c r="N6" s="22">
        <f t="shared" ref="N6:N21" si="0">(D6-$H$7)/$I$7</f>
        <v>-1</v>
      </c>
      <c r="O6" s="33">
        <f>E6</f>
        <v>310.27</v>
      </c>
    </row>
    <row r="7" spans="1:20" ht="15.75" thickBot="1">
      <c r="A7" s="74" t="s">
        <v>8</v>
      </c>
      <c r="B7" s="171">
        <v>160</v>
      </c>
      <c r="C7" s="172">
        <v>100</v>
      </c>
      <c r="D7" s="173">
        <v>300</v>
      </c>
      <c r="E7" s="174">
        <v>362.05</v>
      </c>
      <c r="F7" s="70"/>
      <c r="G7" s="15" t="s">
        <v>23</v>
      </c>
      <c r="H7" s="12">
        <f>(D6+D7)/2</f>
        <v>280</v>
      </c>
      <c r="I7" s="9">
        <f>(D7-D6)/2</f>
        <v>20</v>
      </c>
      <c r="K7" s="27" t="s">
        <v>8</v>
      </c>
      <c r="L7" s="23">
        <f t="shared" ref="L7:L21" si="1">(B7-$H$5)/$I$5</f>
        <v>-1</v>
      </c>
      <c r="M7" s="24">
        <f t="shared" ref="M7:M21" si="2">(C7-$H$6)/$I$6</f>
        <v>-1</v>
      </c>
      <c r="N7" s="25">
        <f t="shared" si="0"/>
        <v>1</v>
      </c>
      <c r="O7" s="32">
        <f t="shared" ref="O7:O21" si="3">E7</f>
        <v>362.05</v>
      </c>
    </row>
    <row r="8" spans="1:20">
      <c r="A8" s="74" t="s">
        <v>9</v>
      </c>
      <c r="B8" s="171">
        <v>160</v>
      </c>
      <c r="C8" s="172">
        <v>120</v>
      </c>
      <c r="D8" s="173">
        <v>260</v>
      </c>
      <c r="E8" s="174">
        <v>354.08</v>
      </c>
      <c r="F8" s="70"/>
      <c r="G8" s="71"/>
      <c r="H8" s="72"/>
      <c r="K8" s="27" t="s">
        <v>9</v>
      </c>
      <c r="L8" s="23">
        <f t="shared" si="1"/>
        <v>-1</v>
      </c>
      <c r="M8" s="24">
        <f t="shared" si="2"/>
        <v>1</v>
      </c>
      <c r="N8" s="25">
        <f t="shared" si="0"/>
        <v>-1</v>
      </c>
      <c r="O8" s="32">
        <f t="shared" si="3"/>
        <v>354.08</v>
      </c>
    </row>
    <row r="9" spans="1:20" ht="15.75" thickBot="1">
      <c r="A9" s="74" t="s">
        <v>10</v>
      </c>
      <c r="B9" s="171">
        <v>160</v>
      </c>
      <c r="C9" s="172">
        <v>120</v>
      </c>
      <c r="D9" s="173">
        <v>300</v>
      </c>
      <c r="E9" s="174">
        <v>423.94</v>
      </c>
      <c r="F9" s="70"/>
      <c r="G9" s="71"/>
      <c r="H9" s="72"/>
      <c r="K9" s="27" t="s">
        <v>10</v>
      </c>
      <c r="L9" s="23">
        <f t="shared" si="1"/>
        <v>-1</v>
      </c>
      <c r="M9" s="24">
        <f t="shared" si="2"/>
        <v>1</v>
      </c>
      <c r="N9" s="25">
        <f t="shared" si="0"/>
        <v>1</v>
      </c>
      <c r="O9" s="32">
        <f t="shared" si="3"/>
        <v>423.94</v>
      </c>
    </row>
    <row r="10" spans="1:20" ht="15.75" thickBot="1">
      <c r="A10" s="74" t="s">
        <v>11</v>
      </c>
      <c r="B10" s="171">
        <v>180</v>
      </c>
      <c r="C10" s="172">
        <v>100</v>
      </c>
      <c r="D10" s="173">
        <v>260</v>
      </c>
      <c r="E10" s="174">
        <v>374.24</v>
      </c>
      <c r="F10" s="70"/>
      <c r="G10" s="110"/>
      <c r="H10" s="118" t="s">
        <v>92</v>
      </c>
      <c r="K10" s="27" t="s">
        <v>11</v>
      </c>
      <c r="L10" s="23">
        <f t="shared" si="1"/>
        <v>1</v>
      </c>
      <c r="M10" s="24">
        <f t="shared" si="2"/>
        <v>-1</v>
      </c>
      <c r="N10" s="25">
        <f t="shared" si="0"/>
        <v>-1</v>
      </c>
      <c r="O10" s="32">
        <f t="shared" si="3"/>
        <v>374.24</v>
      </c>
    </row>
    <row r="11" spans="1:20">
      <c r="A11" s="74" t="s">
        <v>12</v>
      </c>
      <c r="B11" s="171">
        <v>180</v>
      </c>
      <c r="C11" s="172">
        <v>100</v>
      </c>
      <c r="D11" s="173">
        <v>300</v>
      </c>
      <c r="E11" s="174">
        <v>450.52</v>
      </c>
      <c r="F11" s="70"/>
      <c r="G11" s="111" t="s">
        <v>7</v>
      </c>
      <c r="H11" s="115">
        <f>(E6+E14)/2</f>
        <v>302.065</v>
      </c>
      <c r="K11" s="27" t="s">
        <v>12</v>
      </c>
      <c r="L11" s="23">
        <f t="shared" si="1"/>
        <v>1</v>
      </c>
      <c r="M11" s="24">
        <f t="shared" si="2"/>
        <v>-1</v>
      </c>
      <c r="N11" s="25">
        <f t="shared" si="0"/>
        <v>1</v>
      </c>
      <c r="O11" s="32">
        <f t="shared" si="3"/>
        <v>450.52</v>
      </c>
    </row>
    <row r="12" spans="1:20">
      <c r="A12" s="74" t="s">
        <v>13</v>
      </c>
      <c r="B12" s="171">
        <v>180</v>
      </c>
      <c r="C12" s="172">
        <v>120</v>
      </c>
      <c r="D12" s="173">
        <v>260</v>
      </c>
      <c r="E12" s="174">
        <v>505.85</v>
      </c>
      <c r="F12" s="70"/>
      <c r="G12" s="112" t="s">
        <v>8</v>
      </c>
      <c r="H12" s="116">
        <f t="shared" ref="H12:H18" si="4">(E7+E15)/2</f>
        <v>360</v>
      </c>
      <c r="K12" s="27" t="s">
        <v>13</v>
      </c>
      <c r="L12" s="23">
        <f t="shared" si="1"/>
        <v>1</v>
      </c>
      <c r="M12" s="24">
        <f t="shared" si="2"/>
        <v>1</v>
      </c>
      <c r="N12" s="25">
        <f t="shared" si="0"/>
        <v>-1</v>
      </c>
      <c r="O12" s="32">
        <f t="shared" si="3"/>
        <v>505.85</v>
      </c>
    </row>
    <row r="13" spans="1:20" ht="15.75" thickBot="1">
      <c r="A13" s="75" t="s">
        <v>14</v>
      </c>
      <c r="B13" s="175">
        <v>180</v>
      </c>
      <c r="C13" s="176">
        <v>120</v>
      </c>
      <c r="D13" s="177">
        <v>300</v>
      </c>
      <c r="E13" s="178">
        <v>599.87</v>
      </c>
      <c r="F13" s="70"/>
      <c r="G13" s="112" t="s">
        <v>9</v>
      </c>
      <c r="H13" s="116">
        <f t="shared" si="4"/>
        <v>349.40999999999997</v>
      </c>
      <c r="K13" s="83" t="s">
        <v>14</v>
      </c>
      <c r="L13" s="84">
        <f t="shared" si="1"/>
        <v>1</v>
      </c>
      <c r="M13" s="85">
        <f t="shared" si="2"/>
        <v>1</v>
      </c>
      <c r="N13" s="86">
        <f t="shared" si="0"/>
        <v>1</v>
      </c>
      <c r="O13" s="87">
        <f t="shared" si="3"/>
        <v>599.87</v>
      </c>
    </row>
    <row r="14" spans="1:20">
      <c r="A14" s="76" t="s">
        <v>83</v>
      </c>
      <c r="B14" s="179">
        <v>160</v>
      </c>
      <c r="C14" s="168">
        <v>100</v>
      </c>
      <c r="D14" s="169">
        <v>260</v>
      </c>
      <c r="E14" s="170">
        <v>293.86</v>
      </c>
      <c r="G14" s="113" t="s">
        <v>10</v>
      </c>
      <c r="H14" s="116">
        <f t="shared" si="4"/>
        <v>426.35500000000002</v>
      </c>
      <c r="K14" s="99" t="s">
        <v>83</v>
      </c>
      <c r="L14" s="90">
        <f t="shared" si="1"/>
        <v>-1</v>
      </c>
      <c r="M14" s="21">
        <f t="shared" si="2"/>
        <v>-1</v>
      </c>
      <c r="N14" s="93">
        <f t="shared" si="0"/>
        <v>-1</v>
      </c>
      <c r="O14" s="96">
        <f t="shared" si="3"/>
        <v>293.86</v>
      </c>
    </row>
    <row r="15" spans="1:20">
      <c r="A15" s="77" t="s">
        <v>84</v>
      </c>
      <c r="B15" s="180">
        <v>160</v>
      </c>
      <c r="C15" s="172">
        <v>100</v>
      </c>
      <c r="D15" s="173">
        <v>300</v>
      </c>
      <c r="E15" s="174">
        <v>357.95</v>
      </c>
      <c r="G15" s="113" t="s">
        <v>11</v>
      </c>
      <c r="H15" s="116">
        <f t="shared" si="4"/>
        <v>372.6</v>
      </c>
      <c r="K15" s="27" t="s">
        <v>84</v>
      </c>
      <c r="L15" s="91">
        <f t="shared" si="1"/>
        <v>-1</v>
      </c>
      <c r="M15" s="88">
        <f t="shared" si="2"/>
        <v>-1</v>
      </c>
      <c r="N15" s="94">
        <f t="shared" si="0"/>
        <v>1</v>
      </c>
      <c r="O15" s="97">
        <f t="shared" si="3"/>
        <v>357.95</v>
      </c>
    </row>
    <row r="16" spans="1:20">
      <c r="A16" s="77" t="s">
        <v>85</v>
      </c>
      <c r="B16" s="180">
        <v>160</v>
      </c>
      <c r="C16" s="172">
        <v>120</v>
      </c>
      <c r="D16" s="173">
        <v>260</v>
      </c>
      <c r="E16" s="174">
        <v>344.74</v>
      </c>
      <c r="G16" s="113" t="s">
        <v>12</v>
      </c>
      <c r="H16" s="116">
        <f t="shared" si="4"/>
        <v>450.78999999999996</v>
      </c>
      <c r="K16" s="27" t="s">
        <v>85</v>
      </c>
      <c r="L16" s="91">
        <f t="shared" si="1"/>
        <v>-1</v>
      </c>
      <c r="M16" s="88">
        <f t="shared" si="2"/>
        <v>1</v>
      </c>
      <c r="N16" s="94">
        <f t="shared" si="0"/>
        <v>-1</v>
      </c>
      <c r="O16" s="97">
        <f t="shared" si="3"/>
        <v>344.74</v>
      </c>
    </row>
    <row r="17" spans="1:18">
      <c r="A17" s="77" t="s">
        <v>86</v>
      </c>
      <c r="B17" s="180">
        <v>160</v>
      </c>
      <c r="C17" s="172">
        <v>120</v>
      </c>
      <c r="D17" s="173">
        <v>300</v>
      </c>
      <c r="E17" s="174">
        <v>428.77</v>
      </c>
      <c r="G17" s="113" t="s">
        <v>13</v>
      </c>
      <c r="H17" s="116">
        <f t="shared" si="4"/>
        <v>501.09500000000003</v>
      </c>
      <c r="K17" s="27" t="s">
        <v>86</v>
      </c>
      <c r="L17" s="91">
        <f t="shared" si="1"/>
        <v>-1</v>
      </c>
      <c r="M17" s="88">
        <f t="shared" si="2"/>
        <v>1</v>
      </c>
      <c r="N17" s="94">
        <f t="shared" si="0"/>
        <v>1</v>
      </c>
      <c r="O17" s="97">
        <f t="shared" si="3"/>
        <v>428.77</v>
      </c>
    </row>
    <row r="18" spans="1:18" ht="15.75" thickBot="1">
      <c r="A18" s="77" t="s">
        <v>87</v>
      </c>
      <c r="B18" s="180">
        <v>180</v>
      </c>
      <c r="C18" s="172">
        <v>100</v>
      </c>
      <c r="D18" s="173">
        <v>260</v>
      </c>
      <c r="E18" s="174">
        <v>370.96</v>
      </c>
      <c r="G18" s="114" t="s">
        <v>14</v>
      </c>
      <c r="H18" s="117">
        <f t="shared" si="4"/>
        <v>601.29999999999995</v>
      </c>
      <c r="K18" s="27" t="s">
        <v>87</v>
      </c>
      <c r="L18" s="91">
        <f t="shared" si="1"/>
        <v>1</v>
      </c>
      <c r="M18" s="88">
        <f t="shared" si="2"/>
        <v>-1</v>
      </c>
      <c r="N18" s="94">
        <f t="shared" si="0"/>
        <v>-1</v>
      </c>
      <c r="O18" s="97">
        <f t="shared" si="3"/>
        <v>370.96</v>
      </c>
    </row>
    <row r="19" spans="1:18">
      <c r="A19" s="77" t="s">
        <v>88</v>
      </c>
      <c r="B19" s="180">
        <v>180</v>
      </c>
      <c r="C19" s="172">
        <v>100</v>
      </c>
      <c r="D19" s="173">
        <v>300</v>
      </c>
      <c r="E19" s="174">
        <v>451.06</v>
      </c>
      <c r="K19" s="27" t="s">
        <v>88</v>
      </c>
      <c r="L19" s="91">
        <f t="shared" si="1"/>
        <v>1</v>
      </c>
      <c r="M19" s="88">
        <f t="shared" si="2"/>
        <v>-1</v>
      </c>
      <c r="N19" s="94">
        <f t="shared" si="0"/>
        <v>1</v>
      </c>
      <c r="O19" s="97">
        <f t="shared" si="3"/>
        <v>451.06</v>
      </c>
    </row>
    <row r="20" spans="1:18">
      <c r="A20" s="77" t="s">
        <v>89</v>
      </c>
      <c r="B20" s="180">
        <v>180</v>
      </c>
      <c r="C20" s="172">
        <v>120</v>
      </c>
      <c r="D20" s="173">
        <v>260</v>
      </c>
      <c r="E20" s="174">
        <v>496.34</v>
      </c>
      <c r="K20" s="27" t="s">
        <v>89</v>
      </c>
      <c r="L20" s="91">
        <f t="shared" si="1"/>
        <v>1</v>
      </c>
      <c r="M20" s="88">
        <f t="shared" si="2"/>
        <v>1</v>
      </c>
      <c r="N20" s="94">
        <f t="shared" si="0"/>
        <v>-1</v>
      </c>
      <c r="O20" s="97">
        <f t="shared" si="3"/>
        <v>496.34</v>
      </c>
    </row>
    <row r="21" spans="1:18" ht="15.75" thickBot="1">
      <c r="A21" s="78" t="s">
        <v>90</v>
      </c>
      <c r="B21" s="181">
        <v>180</v>
      </c>
      <c r="C21" s="176">
        <v>120</v>
      </c>
      <c r="D21" s="177">
        <v>300</v>
      </c>
      <c r="E21" s="178">
        <v>602.73</v>
      </c>
      <c r="K21" s="100" t="s">
        <v>90</v>
      </c>
      <c r="L21" s="92">
        <f t="shared" si="1"/>
        <v>1</v>
      </c>
      <c r="M21" s="89">
        <f t="shared" si="2"/>
        <v>1</v>
      </c>
      <c r="N21" s="95">
        <f t="shared" si="0"/>
        <v>1</v>
      </c>
      <c r="O21" s="98">
        <f t="shared" si="3"/>
        <v>602.73</v>
      </c>
    </row>
    <row r="22" spans="1:18">
      <c r="A22" s="394" t="s">
        <v>282</v>
      </c>
      <c r="B22" s="394"/>
      <c r="C22" s="394"/>
      <c r="D22" s="394"/>
      <c r="E22" s="394"/>
      <c r="F22" s="330"/>
    </row>
    <row r="23" spans="1:18" ht="15.75" thickBot="1"/>
    <row r="24" spans="1:18" s="39" customFormat="1" ht="20.100000000000001" customHeight="1" thickBot="1">
      <c r="A24" s="36"/>
      <c r="B24" s="36"/>
      <c r="C24" s="36"/>
      <c r="D24" s="36"/>
      <c r="E24" s="36"/>
      <c r="F24" s="36"/>
      <c r="G24" s="380" t="s">
        <v>31</v>
      </c>
      <c r="H24" s="381"/>
      <c r="I24" s="381"/>
      <c r="J24" s="381"/>
      <c r="K24" s="381"/>
      <c r="L24" s="381"/>
      <c r="M24" s="381"/>
      <c r="N24" s="382"/>
      <c r="O24" s="37"/>
      <c r="P24" s="37"/>
      <c r="Q24" s="38"/>
      <c r="R24" s="38"/>
    </row>
    <row r="25" spans="1:18">
      <c r="G25" s="102"/>
      <c r="H25" s="103"/>
      <c r="I25" s="104"/>
      <c r="J25" s="104"/>
      <c r="K25" s="103"/>
      <c r="L25" s="103"/>
      <c r="M25" s="103"/>
      <c r="N25" s="105"/>
    </row>
    <row r="26" spans="1:18">
      <c r="G26" s="106"/>
      <c r="H26" s="35"/>
      <c r="I26" s="44"/>
      <c r="J26" s="44"/>
      <c r="K26" s="35"/>
      <c r="L26" s="35"/>
      <c r="M26" s="35"/>
      <c r="N26" s="107"/>
    </row>
    <row r="27" spans="1:18">
      <c r="G27" s="106"/>
      <c r="H27" s="35"/>
      <c r="I27" s="44"/>
      <c r="J27" s="44"/>
      <c r="K27" s="35"/>
      <c r="L27" s="35"/>
      <c r="M27" s="35"/>
      <c r="N27" s="107"/>
    </row>
    <row r="28" spans="1:18">
      <c r="G28" s="106"/>
      <c r="H28" s="35"/>
      <c r="I28" s="44"/>
      <c r="J28" s="44"/>
      <c r="K28" s="35"/>
      <c r="L28" s="35"/>
      <c r="M28" s="35"/>
      <c r="N28" s="107"/>
    </row>
    <row r="29" spans="1:18">
      <c r="G29" s="40"/>
      <c r="H29" s="35"/>
      <c r="I29" s="44"/>
      <c r="J29" s="44"/>
      <c r="K29" s="35"/>
      <c r="L29" s="35"/>
      <c r="M29" s="35"/>
      <c r="N29" s="107"/>
    </row>
    <row r="30" spans="1:18">
      <c r="D30" s="69"/>
      <c r="E30" s="69"/>
      <c r="F30" s="69"/>
      <c r="G30" s="101"/>
      <c r="H30" s="35"/>
      <c r="I30" s="44"/>
      <c r="J30" s="44"/>
      <c r="K30" s="35"/>
      <c r="L30" s="35"/>
      <c r="M30" s="35"/>
      <c r="N30" s="107"/>
    </row>
    <row r="31" spans="1:18">
      <c r="G31" s="40"/>
      <c r="H31" s="35"/>
      <c r="I31" s="44"/>
      <c r="J31" s="44"/>
      <c r="K31" s="35"/>
      <c r="L31" s="35"/>
      <c r="M31" s="35"/>
      <c r="N31" s="107"/>
    </row>
    <row r="32" spans="1:18">
      <c r="G32" s="40"/>
      <c r="H32" s="35"/>
      <c r="I32" s="44"/>
      <c r="J32" s="44"/>
      <c r="K32" s="35"/>
      <c r="L32" s="35"/>
      <c r="M32" s="35"/>
      <c r="N32" s="107"/>
    </row>
    <row r="33" spans="4:14">
      <c r="G33" s="40"/>
      <c r="H33" s="35"/>
      <c r="I33" s="44"/>
      <c r="J33" s="44"/>
      <c r="K33" s="35"/>
      <c r="L33" s="35"/>
      <c r="M33" s="35"/>
      <c r="N33" s="107"/>
    </row>
    <row r="34" spans="4:14">
      <c r="G34" s="40"/>
      <c r="H34" s="35"/>
      <c r="I34" s="44"/>
      <c r="J34" s="44"/>
      <c r="K34" s="35"/>
      <c r="L34" s="35"/>
      <c r="M34" s="35"/>
      <c r="N34" s="107"/>
    </row>
    <row r="35" spans="4:14">
      <c r="G35" s="40"/>
      <c r="H35" s="35"/>
      <c r="I35" s="44"/>
      <c r="J35" s="44"/>
      <c r="K35" s="35"/>
      <c r="L35" s="35"/>
      <c r="M35" s="35"/>
      <c r="N35" s="107"/>
    </row>
    <row r="36" spans="4:14">
      <c r="G36" s="40"/>
      <c r="H36" s="35"/>
      <c r="I36" s="44"/>
      <c r="J36" s="44"/>
      <c r="K36" s="35"/>
      <c r="L36" s="35"/>
      <c r="M36" s="35"/>
      <c r="N36" s="107"/>
    </row>
    <row r="37" spans="4:14">
      <c r="G37" s="40"/>
      <c r="H37" s="35"/>
      <c r="I37" s="44"/>
      <c r="J37" s="44"/>
      <c r="K37" s="35"/>
      <c r="L37" s="35"/>
      <c r="M37" s="35"/>
      <c r="N37" s="107"/>
    </row>
    <row r="38" spans="4:14">
      <c r="G38" s="40"/>
      <c r="H38" s="35"/>
      <c r="I38" s="44"/>
      <c r="J38" s="44"/>
      <c r="K38" s="35"/>
      <c r="L38" s="35"/>
      <c r="M38" s="35"/>
      <c r="N38" s="107"/>
    </row>
    <row r="39" spans="4:14">
      <c r="G39" s="40"/>
      <c r="H39" s="35"/>
      <c r="I39" s="44"/>
      <c r="J39" s="44"/>
      <c r="K39" s="35"/>
      <c r="L39" s="35"/>
      <c r="M39" s="35"/>
      <c r="N39" s="107"/>
    </row>
    <row r="40" spans="4:14">
      <c r="G40" s="40"/>
      <c r="H40" s="35"/>
      <c r="I40" s="44"/>
      <c r="J40" s="44"/>
      <c r="K40" s="35"/>
      <c r="L40" s="35"/>
      <c r="M40" s="35"/>
      <c r="N40" s="107"/>
    </row>
    <row r="41" spans="4:14">
      <c r="G41" s="40"/>
      <c r="H41" s="35"/>
      <c r="I41" s="44"/>
      <c r="J41" s="44"/>
      <c r="K41" s="35"/>
      <c r="L41" s="35"/>
      <c r="M41" s="35"/>
      <c r="N41" s="107"/>
    </row>
    <row r="42" spans="4:14" ht="15.75" thickBot="1">
      <c r="G42" s="41"/>
      <c r="H42" s="42"/>
      <c r="I42" s="108"/>
      <c r="J42" s="108"/>
      <c r="K42" s="42"/>
      <c r="L42" s="42"/>
      <c r="M42" s="42"/>
      <c r="N42" s="109"/>
    </row>
    <row r="46" spans="4:14" ht="15.75" thickBot="1"/>
    <row r="47" spans="4:14" ht="15.75" thickBot="1">
      <c r="D47" s="371" t="s">
        <v>157</v>
      </c>
      <c r="E47" s="372"/>
      <c r="F47" s="372"/>
      <c r="G47" s="372"/>
      <c r="H47" s="372"/>
      <c r="I47" s="373"/>
    </row>
    <row r="48" spans="4:14">
      <c r="D48" s="254"/>
      <c r="E48" s="255"/>
      <c r="F48" s="255"/>
      <c r="G48" s="255"/>
      <c r="H48" s="255"/>
      <c r="I48" s="256"/>
    </row>
    <row r="49" spans="4:9">
      <c r="D49" s="257"/>
      <c r="E49" s="258"/>
      <c r="F49" s="258"/>
      <c r="G49" s="258"/>
      <c r="H49" s="258"/>
      <c r="I49" s="259"/>
    </row>
    <row r="50" spans="4:9">
      <c r="D50" s="257"/>
      <c r="E50" s="258"/>
      <c r="F50" s="258"/>
      <c r="G50" s="258"/>
      <c r="H50" s="258"/>
      <c r="I50" s="259"/>
    </row>
    <row r="51" spans="4:9">
      <c r="D51" s="257"/>
      <c r="E51" s="258"/>
      <c r="F51" s="258"/>
      <c r="G51" s="258"/>
      <c r="H51" s="258"/>
      <c r="I51" s="259"/>
    </row>
    <row r="52" spans="4:9">
      <c r="D52" s="257"/>
      <c r="E52" s="258"/>
      <c r="F52" s="258"/>
      <c r="G52" s="258"/>
      <c r="H52" s="258"/>
      <c r="I52" s="259"/>
    </row>
    <row r="53" spans="4:9">
      <c r="D53" s="257"/>
      <c r="E53" s="258"/>
      <c r="F53" s="258"/>
      <c r="G53" s="258"/>
      <c r="H53" s="258"/>
      <c r="I53" s="259"/>
    </row>
    <row r="54" spans="4:9">
      <c r="D54" s="257"/>
      <c r="E54" s="258"/>
      <c r="F54" s="258"/>
      <c r="G54" s="258"/>
      <c r="H54" s="258"/>
      <c r="I54" s="259"/>
    </row>
    <row r="55" spans="4:9">
      <c r="D55" s="257"/>
      <c r="E55" s="258"/>
      <c r="F55" s="258"/>
      <c r="G55" s="258"/>
      <c r="H55" s="258"/>
      <c r="I55" s="259"/>
    </row>
    <row r="56" spans="4:9">
      <c r="D56" s="257"/>
      <c r="E56" s="258"/>
      <c r="F56" s="258"/>
      <c r="G56" s="258"/>
      <c r="H56" s="258"/>
      <c r="I56" s="259"/>
    </row>
    <row r="57" spans="4:9">
      <c r="D57" s="257"/>
      <c r="E57" s="258"/>
      <c r="F57" s="258"/>
      <c r="G57" s="258"/>
      <c r="H57" s="258"/>
      <c r="I57" s="259"/>
    </row>
    <row r="58" spans="4:9">
      <c r="D58" s="257"/>
      <c r="E58" s="258"/>
      <c r="F58" s="258"/>
      <c r="G58" s="258"/>
      <c r="H58" s="258"/>
      <c r="I58" s="259"/>
    </row>
    <row r="59" spans="4:9">
      <c r="D59" s="257"/>
      <c r="E59" s="258"/>
      <c r="F59" s="258"/>
      <c r="G59" s="258"/>
      <c r="H59" s="258"/>
      <c r="I59" s="259"/>
    </row>
    <row r="60" spans="4:9">
      <c r="D60" s="257"/>
      <c r="E60" s="258"/>
      <c r="F60" s="258"/>
      <c r="G60" s="258"/>
      <c r="H60" s="258"/>
      <c r="I60" s="259"/>
    </row>
    <row r="61" spans="4:9">
      <c r="D61" s="257"/>
      <c r="E61" s="258"/>
      <c r="F61" s="258"/>
      <c r="G61" s="258"/>
      <c r="H61" s="258"/>
      <c r="I61" s="259"/>
    </row>
    <row r="62" spans="4:9">
      <c r="D62" s="257"/>
      <c r="E62" s="258"/>
      <c r="F62" s="258"/>
      <c r="G62" s="258"/>
      <c r="H62" s="258"/>
      <c r="I62" s="259"/>
    </row>
    <row r="63" spans="4:9">
      <c r="D63" s="257"/>
      <c r="E63" s="258"/>
      <c r="F63" s="258"/>
      <c r="G63" s="258"/>
      <c r="H63" s="258"/>
      <c r="I63" s="259"/>
    </row>
    <row r="64" spans="4:9">
      <c r="D64" s="257"/>
      <c r="E64" s="258"/>
      <c r="F64" s="258"/>
      <c r="G64" s="258"/>
      <c r="H64" s="258"/>
      <c r="I64" s="259"/>
    </row>
    <row r="65" spans="4:9">
      <c r="D65" s="257"/>
      <c r="E65" s="258"/>
      <c r="F65" s="258"/>
      <c r="G65" s="258"/>
      <c r="H65" s="258"/>
      <c r="I65" s="259"/>
    </row>
    <row r="66" spans="4:9">
      <c r="D66" s="257"/>
      <c r="E66" s="258"/>
      <c r="F66" s="258"/>
      <c r="G66" s="258"/>
      <c r="H66" s="258"/>
      <c r="I66" s="259"/>
    </row>
    <row r="67" spans="4:9" ht="15.75" thickBot="1">
      <c r="D67" s="260"/>
      <c r="E67" s="261"/>
      <c r="F67" s="261"/>
      <c r="G67" s="261"/>
      <c r="H67" s="261"/>
      <c r="I67" s="262"/>
    </row>
  </sheetData>
  <mergeCells count="10">
    <mergeCell ref="D47:I47"/>
    <mergeCell ref="K4:O4"/>
    <mergeCell ref="A1:O1"/>
    <mergeCell ref="G24:N24"/>
    <mergeCell ref="B3:D3"/>
    <mergeCell ref="B4:B5"/>
    <mergeCell ref="C4:C5"/>
    <mergeCell ref="D4:D5"/>
    <mergeCell ref="E4:E5"/>
    <mergeCell ref="A22:E22"/>
  </mergeCells>
  <phoneticPr fontId="1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"/>
  <sheetViews>
    <sheetView zoomScale="81" workbookViewId="0">
      <selection activeCell="G48" sqref="G48"/>
    </sheetView>
  </sheetViews>
  <sheetFormatPr defaultRowHeight="15"/>
  <cols>
    <col min="18" max="18" width="9.140625" customWidth="1"/>
  </cols>
  <sheetData>
    <row r="1" spans="1:18" ht="20.100000000000001" customHeight="1" thickBot="1">
      <c r="A1" s="395" t="s">
        <v>32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9"/>
    </row>
    <row r="2" spans="1:18">
      <c r="A2" s="58"/>
      <c r="B2" s="48"/>
      <c r="C2" s="48"/>
      <c r="D2" s="48"/>
      <c r="E2" s="48"/>
      <c r="F2" s="48"/>
      <c r="G2" s="48"/>
      <c r="H2" s="48"/>
      <c r="I2" s="48"/>
      <c r="J2" s="48"/>
      <c r="K2" s="56"/>
      <c r="L2" s="48"/>
      <c r="M2" s="48"/>
      <c r="N2" s="48"/>
      <c r="O2" s="48"/>
      <c r="P2" s="48"/>
      <c r="Q2" s="48"/>
      <c r="R2" s="59"/>
    </row>
    <row r="3" spans="1:18">
      <c r="A3" s="49"/>
      <c r="B3" s="35"/>
      <c r="C3" s="35" t="s">
        <v>26</v>
      </c>
      <c r="D3" s="35" t="s">
        <v>27</v>
      </c>
      <c r="E3" s="35" t="s">
        <v>28</v>
      </c>
      <c r="F3" s="35" t="s">
        <v>37</v>
      </c>
      <c r="G3" s="35" t="s">
        <v>39</v>
      </c>
      <c r="H3" s="35" t="s">
        <v>41</v>
      </c>
      <c r="I3" s="35" t="s">
        <v>44</v>
      </c>
      <c r="J3" s="35"/>
      <c r="K3" s="35"/>
      <c r="L3" s="35"/>
      <c r="M3" s="44"/>
      <c r="N3" s="44"/>
      <c r="O3" s="44"/>
      <c r="P3" s="44"/>
      <c r="Q3" s="44"/>
      <c r="R3" s="60"/>
    </row>
    <row r="4" spans="1:18">
      <c r="A4" s="49"/>
      <c r="B4" s="35" t="s">
        <v>33</v>
      </c>
      <c r="C4" s="35" t="s">
        <v>34</v>
      </c>
      <c r="D4" s="35" t="s">
        <v>35</v>
      </c>
      <c r="E4" s="35" t="s">
        <v>36</v>
      </c>
      <c r="F4" s="35" t="s">
        <v>38</v>
      </c>
      <c r="G4" s="35" t="s">
        <v>40</v>
      </c>
      <c r="H4" s="35" t="s">
        <v>42</v>
      </c>
      <c r="I4" s="35" t="s">
        <v>43</v>
      </c>
      <c r="J4" s="35"/>
      <c r="K4" s="35" t="s">
        <v>29</v>
      </c>
      <c r="L4" s="35"/>
      <c r="M4" s="44"/>
      <c r="N4" s="44"/>
      <c r="O4" s="44"/>
      <c r="P4" s="44"/>
      <c r="Q4" s="44"/>
      <c r="R4" s="60"/>
    </row>
    <row r="5" spans="1:18">
      <c r="A5" s="61" t="s">
        <v>53</v>
      </c>
      <c r="B5" s="49">
        <v>1</v>
      </c>
      <c r="C5" s="35">
        <v>-1</v>
      </c>
      <c r="D5" s="35">
        <v>-1</v>
      </c>
      <c r="E5" s="35">
        <v>-1</v>
      </c>
      <c r="F5" s="35">
        <f>C5*D5</f>
        <v>1</v>
      </c>
      <c r="G5" s="35">
        <f>C5*E5</f>
        <v>1</v>
      </c>
      <c r="H5" s="35">
        <f>D5*E5</f>
        <v>1</v>
      </c>
      <c r="I5" s="52">
        <f>C5*D5*E5</f>
        <v>-1</v>
      </c>
      <c r="J5" s="55" t="s">
        <v>54</v>
      </c>
      <c r="K5" s="54">
        <v>310.27</v>
      </c>
      <c r="L5" s="46"/>
      <c r="M5" s="44"/>
      <c r="N5" s="44"/>
      <c r="O5" s="44"/>
      <c r="P5" s="44"/>
      <c r="Q5" s="44"/>
      <c r="R5" s="60"/>
    </row>
    <row r="6" spans="1:18">
      <c r="A6" s="62"/>
      <c r="B6" s="49">
        <v>1</v>
      </c>
      <c r="C6" s="35">
        <v>-1</v>
      </c>
      <c r="D6" s="35">
        <v>-1</v>
      </c>
      <c r="E6" s="35">
        <v>1</v>
      </c>
      <c r="F6" s="35">
        <f t="shared" ref="F6:F12" si="0">C6*D6</f>
        <v>1</v>
      </c>
      <c r="G6" s="35">
        <f t="shared" ref="G6:G12" si="1">C6*E6</f>
        <v>-1</v>
      </c>
      <c r="H6" s="35">
        <f t="shared" ref="H6:H12" si="2">D6*E6</f>
        <v>-1</v>
      </c>
      <c r="I6" s="52">
        <f t="shared" ref="I6:I12" si="3">C6*D6*E6</f>
        <v>1</v>
      </c>
      <c r="J6" s="51"/>
      <c r="K6" s="54">
        <v>362.05</v>
      </c>
      <c r="L6" s="46"/>
      <c r="M6" s="44"/>
      <c r="N6" s="44"/>
      <c r="O6" s="44"/>
      <c r="P6" s="44"/>
      <c r="Q6" s="44"/>
      <c r="R6" s="60"/>
    </row>
    <row r="7" spans="1:18">
      <c r="A7" s="62"/>
      <c r="B7" s="49">
        <v>1</v>
      </c>
      <c r="C7" s="35">
        <v>-1</v>
      </c>
      <c r="D7" s="35">
        <v>1</v>
      </c>
      <c r="E7" s="35">
        <v>-1</v>
      </c>
      <c r="F7" s="35">
        <f t="shared" si="0"/>
        <v>-1</v>
      </c>
      <c r="G7" s="35">
        <f t="shared" si="1"/>
        <v>1</v>
      </c>
      <c r="H7" s="35">
        <f t="shared" si="2"/>
        <v>-1</v>
      </c>
      <c r="I7" s="52">
        <f t="shared" si="3"/>
        <v>1</v>
      </c>
      <c r="J7" s="51"/>
      <c r="K7" s="54">
        <v>354.08</v>
      </c>
      <c r="L7" s="46"/>
      <c r="M7" s="44"/>
      <c r="N7" s="44"/>
      <c r="O7" s="44"/>
      <c r="P7" s="44"/>
      <c r="Q7" s="44"/>
      <c r="R7" s="60"/>
    </row>
    <row r="8" spans="1:18">
      <c r="A8" s="62"/>
      <c r="B8" s="49">
        <v>1</v>
      </c>
      <c r="C8" s="35">
        <v>-1</v>
      </c>
      <c r="D8" s="35">
        <v>1</v>
      </c>
      <c r="E8" s="35">
        <v>1</v>
      </c>
      <c r="F8" s="35">
        <f t="shared" si="0"/>
        <v>-1</v>
      </c>
      <c r="G8" s="35">
        <f t="shared" si="1"/>
        <v>-1</v>
      </c>
      <c r="H8" s="35">
        <f t="shared" si="2"/>
        <v>1</v>
      </c>
      <c r="I8" s="52">
        <f t="shared" si="3"/>
        <v>-1</v>
      </c>
      <c r="J8" s="51"/>
      <c r="K8" s="54">
        <v>423.94</v>
      </c>
      <c r="L8" s="46"/>
      <c r="M8" s="44"/>
      <c r="N8" s="44"/>
      <c r="O8" s="44"/>
      <c r="P8" s="44"/>
      <c r="Q8" s="44"/>
      <c r="R8" s="60"/>
    </row>
    <row r="9" spans="1:18">
      <c r="A9" s="62"/>
      <c r="B9" s="49">
        <v>1</v>
      </c>
      <c r="C9" s="35">
        <v>1</v>
      </c>
      <c r="D9" s="35">
        <v>-1</v>
      </c>
      <c r="E9" s="35">
        <v>-1</v>
      </c>
      <c r="F9" s="35">
        <f t="shared" si="0"/>
        <v>-1</v>
      </c>
      <c r="G9" s="35">
        <f t="shared" si="1"/>
        <v>-1</v>
      </c>
      <c r="H9" s="35">
        <f t="shared" si="2"/>
        <v>1</v>
      </c>
      <c r="I9" s="52">
        <f t="shared" si="3"/>
        <v>1</v>
      </c>
      <c r="J9" s="51"/>
      <c r="K9" s="54">
        <v>374.24</v>
      </c>
      <c r="L9" s="46"/>
      <c r="M9" s="44"/>
      <c r="N9" s="44"/>
      <c r="O9" s="44"/>
      <c r="P9" s="44"/>
      <c r="Q9" s="44"/>
      <c r="R9" s="60"/>
    </row>
    <row r="10" spans="1:18">
      <c r="A10" s="62"/>
      <c r="B10" s="49">
        <v>1</v>
      </c>
      <c r="C10" s="35">
        <v>1</v>
      </c>
      <c r="D10" s="35">
        <v>-1</v>
      </c>
      <c r="E10" s="35">
        <v>1</v>
      </c>
      <c r="F10" s="35">
        <f t="shared" si="0"/>
        <v>-1</v>
      </c>
      <c r="G10" s="35">
        <f t="shared" si="1"/>
        <v>1</v>
      </c>
      <c r="H10" s="35">
        <f t="shared" si="2"/>
        <v>-1</v>
      </c>
      <c r="I10" s="52">
        <f t="shared" si="3"/>
        <v>-1</v>
      </c>
      <c r="J10" s="51"/>
      <c r="K10" s="54">
        <v>450.52</v>
      </c>
      <c r="L10" s="46"/>
      <c r="M10" s="44"/>
      <c r="N10" s="44"/>
      <c r="O10" s="44"/>
      <c r="P10" s="44"/>
      <c r="Q10" s="44"/>
      <c r="R10" s="60"/>
    </row>
    <row r="11" spans="1:18">
      <c r="A11" s="62"/>
      <c r="B11" s="49">
        <v>1</v>
      </c>
      <c r="C11" s="35">
        <v>1</v>
      </c>
      <c r="D11" s="35">
        <v>1</v>
      </c>
      <c r="E11" s="35">
        <v>-1</v>
      </c>
      <c r="F11" s="35">
        <f t="shared" si="0"/>
        <v>1</v>
      </c>
      <c r="G11" s="35">
        <f t="shared" si="1"/>
        <v>-1</v>
      </c>
      <c r="H11" s="35">
        <f t="shared" si="2"/>
        <v>-1</v>
      </c>
      <c r="I11" s="52">
        <f t="shared" si="3"/>
        <v>-1</v>
      </c>
      <c r="J11" s="51"/>
      <c r="K11" s="54">
        <v>505.85</v>
      </c>
      <c r="L11" s="46"/>
      <c r="M11" s="44"/>
      <c r="N11" s="44"/>
      <c r="O11" s="44"/>
      <c r="P11" s="44"/>
      <c r="Q11" s="44"/>
      <c r="R11" s="60"/>
    </row>
    <row r="12" spans="1:18">
      <c r="A12" s="62"/>
      <c r="B12" s="49">
        <v>1</v>
      </c>
      <c r="C12" s="35">
        <v>1</v>
      </c>
      <c r="D12" s="35">
        <v>1</v>
      </c>
      <c r="E12" s="35">
        <v>1</v>
      </c>
      <c r="F12" s="35">
        <f t="shared" si="0"/>
        <v>1</v>
      </c>
      <c r="G12" s="35">
        <f t="shared" si="1"/>
        <v>1</v>
      </c>
      <c r="H12" s="35">
        <f t="shared" si="2"/>
        <v>1</v>
      </c>
      <c r="I12" s="52">
        <f t="shared" si="3"/>
        <v>1</v>
      </c>
      <c r="J12" s="51"/>
      <c r="K12" s="54">
        <v>599.87</v>
      </c>
      <c r="L12" s="46"/>
      <c r="M12" s="44"/>
      <c r="N12" s="44"/>
      <c r="O12" s="44"/>
      <c r="P12" s="44"/>
      <c r="Q12" s="44"/>
      <c r="R12" s="60"/>
    </row>
    <row r="13" spans="1:18">
      <c r="A13" s="62"/>
      <c r="B13" s="49">
        <v>1</v>
      </c>
      <c r="C13" s="35">
        <v>-1</v>
      </c>
      <c r="D13" s="35">
        <v>-1</v>
      </c>
      <c r="E13" s="35">
        <v>-1</v>
      </c>
      <c r="F13" s="35">
        <f>C13*D13</f>
        <v>1</v>
      </c>
      <c r="G13" s="35">
        <f>C13*E13</f>
        <v>1</v>
      </c>
      <c r="H13" s="35">
        <f>D13*E13</f>
        <v>1</v>
      </c>
      <c r="I13" s="52">
        <f>C13*D13*E13</f>
        <v>-1</v>
      </c>
      <c r="J13" s="51"/>
      <c r="K13" s="54">
        <v>293.86</v>
      </c>
      <c r="L13" s="46"/>
      <c r="M13" s="44"/>
      <c r="N13" s="44"/>
      <c r="O13" s="44"/>
      <c r="P13" s="44"/>
      <c r="Q13" s="44"/>
      <c r="R13" s="60"/>
    </row>
    <row r="14" spans="1:18">
      <c r="A14" s="62"/>
      <c r="B14" s="49">
        <v>1</v>
      </c>
      <c r="C14" s="35">
        <v>-1</v>
      </c>
      <c r="D14" s="35">
        <v>-1</v>
      </c>
      <c r="E14" s="35">
        <v>1</v>
      </c>
      <c r="F14" s="35">
        <f t="shared" ref="F14:F20" si="4">C14*D14</f>
        <v>1</v>
      </c>
      <c r="G14" s="35">
        <f t="shared" ref="G14:G20" si="5">C14*E14</f>
        <v>-1</v>
      </c>
      <c r="H14" s="35">
        <f t="shared" ref="H14:H20" si="6">D14*E14</f>
        <v>-1</v>
      </c>
      <c r="I14" s="52">
        <f t="shared" ref="I14:I20" si="7">C14*D14*E14</f>
        <v>1</v>
      </c>
      <c r="J14" s="51"/>
      <c r="K14" s="54">
        <v>357.95</v>
      </c>
      <c r="L14" s="46"/>
      <c r="M14" s="44"/>
      <c r="N14" s="44"/>
      <c r="O14" s="44"/>
      <c r="P14" s="44"/>
      <c r="Q14" s="44"/>
      <c r="R14" s="60"/>
    </row>
    <row r="15" spans="1:18">
      <c r="A15" s="62"/>
      <c r="B15" s="49">
        <v>1</v>
      </c>
      <c r="C15" s="35">
        <v>-1</v>
      </c>
      <c r="D15" s="35">
        <v>1</v>
      </c>
      <c r="E15" s="35">
        <v>-1</v>
      </c>
      <c r="F15" s="35">
        <f t="shared" si="4"/>
        <v>-1</v>
      </c>
      <c r="G15" s="35">
        <f t="shared" si="5"/>
        <v>1</v>
      </c>
      <c r="H15" s="35">
        <f t="shared" si="6"/>
        <v>-1</v>
      </c>
      <c r="I15" s="52">
        <f t="shared" si="7"/>
        <v>1</v>
      </c>
      <c r="J15" s="51"/>
      <c r="K15" s="54">
        <v>344.74</v>
      </c>
      <c r="L15" s="46"/>
      <c r="M15" s="44"/>
      <c r="N15" s="44"/>
      <c r="O15" s="44"/>
      <c r="P15" s="44"/>
      <c r="Q15" s="44"/>
      <c r="R15" s="60"/>
    </row>
    <row r="16" spans="1:18">
      <c r="A16" s="62"/>
      <c r="B16" s="49">
        <v>1</v>
      </c>
      <c r="C16" s="35">
        <v>-1</v>
      </c>
      <c r="D16" s="35">
        <v>1</v>
      </c>
      <c r="E16" s="35">
        <v>1</v>
      </c>
      <c r="F16" s="35">
        <f t="shared" si="4"/>
        <v>-1</v>
      </c>
      <c r="G16" s="35">
        <f t="shared" si="5"/>
        <v>-1</v>
      </c>
      <c r="H16" s="35">
        <f t="shared" si="6"/>
        <v>1</v>
      </c>
      <c r="I16" s="52">
        <f t="shared" si="7"/>
        <v>-1</v>
      </c>
      <c r="J16" s="51"/>
      <c r="K16" s="54">
        <v>428.77</v>
      </c>
      <c r="L16" s="46"/>
      <c r="M16" s="44"/>
      <c r="N16" s="44"/>
      <c r="O16" s="44"/>
      <c r="P16" s="44"/>
      <c r="Q16" s="44"/>
      <c r="R16" s="60"/>
    </row>
    <row r="17" spans="1:18">
      <c r="A17" s="62"/>
      <c r="B17" s="49">
        <v>1</v>
      </c>
      <c r="C17" s="35">
        <v>1</v>
      </c>
      <c r="D17" s="35">
        <v>-1</v>
      </c>
      <c r="E17" s="35">
        <v>-1</v>
      </c>
      <c r="F17" s="35">
        <f t="shared" si="4"/>
        <v>-1</v>
      </c>
      <c r="G17" s="35">
        <f t="shared" si="5"/>
        <v>-1</v>
      </c>
      <c r="H17" s="35">
        <f t="shared" si="6"/>
        <v>1</v>
      </c>
      <c r="I17" s="52">
        <f t="shared" si="7"/>
        <v>1</v>
      </c>
      <c r="J17" s="51"/>
      <c r="K17" s="54">
        <v>370.96</v>
      </c>
      <c r="L17" s="46"/>
      <c r="M17" s="44"/>
      <c r="N17" s="44"/>
      <c r="O17" s="44"/>
      <c r="P17" s="44"/>
      <c r="Q17" s="44"/>
      <c r="R17" s="60"/>
    </row>
    <row r="18" spans="1:18">
      <c r="A18" s="62"/>
      <c r="B18" s="49">
        <v>1</v>
      </c>
      <c r="C18" s="35">
        <v>1</v>
      </c>
      <c r="D18" s="35">
        <v>-1</v>
      </c>
      <c r="E18" s="35">
        <v>1</v>
      </c>
      <c r="F18" s="35">
        <f t="shared" si="4"/>
        <v>-1</v>
      </c>
      <c r="G18" s="35">
        <f t="shared" si="5"/>
        <v>1</v>
      </c>
      <c r="H18" s="35">
        <f t="shared" si="6"/>
        <v>-1</v>
      </c>
      <c r="I18" s="52">
        <f t="shared" si="7"/>
        <v>-1</v>
      </c>
      <c r="J18" s="51"/>
      <c r="K18" s="54">
        <v>451.06</v>
      </c>
      <c r="L18" s="46"/>
      <c r="M18" s="44"/>
      <c r="N18" s="44"/>
      <c r="O18" s="44"/>
      <c r="P18" s="44"/>
      <c r="Q18" s="44"/>
      <c r="R18" s="60"/>
    </row>
    <row r="19" spans="1:18">
      <c r="A19" s="62"/>
      <c r="B19" s="49">
        <v>1</v>
      </c>
      <c r="C19" s="35">
        <v>1</v>
      </c>
      <c r="D19" s="35">
        <v>1</v>
      </c>
      <c r="E19" s="35">
        <v>-1</v>
      </c>
      <c r="F19" s="35">
        <f t="shared" si="4"/>
        <v>1</v>
      </c>
      <c r="G19" s="35">
        <f t="shared" si="5"/>
        <v>-1</v>
      </c>
      <c r="H19" s="35">
        <f t="shared" si="6"/>
        <v>-1</v>
      </c>
      <c r="I19" s="52">
        <f t="shared" si="7"/>
        <v>-1</v>
      </c>
      <c r="J19" s="51"/>
      <c r="K19" s="54">
        <v>496.34</v>
      </c>
      <c r="L19" s="46"/>
      <c r="M19" s="44"/>
      <c r="N19" s="44"/>
      <c r="O19" s="44"/>
      <c r="P19" s="44"/>
      <c r="Q19" s="44"/>
      <c r="R19" s="60"/>
    </row>
    <row r="20" spans="1:18">
      <c r="A20" s="62"/>
      <c r="B20" s="49">
        <v>1</v>
      </c>
      <c r="C20" s="35">
        <v>1</v>
      </c>
      <c r="D20" s="35">
        <v>1</v>
      </c>
      <c r="E20" s="35">
        <v>1</v>
      </c>
      <c r="F20" s="35">
        <f t="shared" si="4"/>
        <v>1</v>
      </c>
      <c r="G20" s="35">
        <f t="shared" si="5"/>
        <v>1</v>
      </c>
      <c r="H20" s="35">
        <f t="shared" si="6"/>
        <v>1</v>
      </c>
      <c r="I20" s="52">
        <f t="shared" si="7"/>
        <v>1</v>
      </c>
      <c r="J20" s="51"/>
      <c r="K20" s="54">
        <v>602.73</v>
      </c>
      <c r="L20" s="46"/>
      <c r="M20" s="44"/>
      <c r="N20" s="44"/>
      <c r="O20" s="44"/>
      <c r="P20" s="44"/>
      <c r="Q20" s="44"/>
      <c r="R20" s="60"/>
    </row>
    <row r="21" spans="1:18">
      <c r="A21" s="63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60"/>
    </row>
    <row r="22" spans="1:18">
      <c r="A22" s="61" t="s">
        <v>93</v>
      </c>
      <c r="B22" s="49">
        <f t="array" ref="B22:Q29">TRANSPOSE(B5:I20)</f>
        <v>1</v>
      </c>
      <c r="C22" s="35">
        <v>1</v>
      </c>
      <c r="D22" s="35">
        <v>1</v>
      </c>
      <c r="E22" s="35">
        <v>1</v>
      </c>
      <c r="F22" s="35">
        <v>1</v>
      </c>
      <c r="G22" s="35">
        <v>1</v>
      </c>
      <c r="H22" s="35">
        <v>1</v>
      </c>
      <c r="I22" s="35">
        <v>1</v>
      </c>
      <c r="J22" s="35">
        <v>1</v>
      </c>
      <c r="K22" s="35">
        <v>1</v>
      </c>
      <c r="L22" s="35">
        <v>1</v>
      </c>
      <c r="M22" s="35">
        <v>1</v>
      </c>
      <c r="N22" s="35">
        <v>1</v>
      </c>
      <c r="O22" s="35">
        <v>1</v>
      </c>
      <c r="P22" s="35">
        <v>1</v>
      </c>
      <c r="Q22" s="52">
        <v>1</v>
      </c>
      <c r="R22" s="125"/>
    </row>
    <row r="23" spans="1:18">
      <c r="A23" s="62"/>
      <c r="B23" s="49">
        <v>-1</v>
      </c>
      <c r="C23" s="35">
        <v>-1</v>
      </c>
      <c r="D23" s="35">
        <v>-1</v>
      </c>
      <c r="E23" s="35">
        <v>-1</v>
      </c>
      <c r="F23" s="35">
        <v>1</v>
      </c>
      <c r="G23" s="35">
        <v>1</v>
      </c>
      <c r="H23" s="35">
        <v>1</v>
      </c>
      <c r="I23" s="35">
        <v>1</v>
      </c>
      <c r="J23" s="35">
        <v>-1</v>
      </c>
      <c r="K23" s="35">
        <v>-1</v>
      </c>
      <c r="L23" s="35">
        <v>-1</v>
      </c>
      <c r="M23" s="35">
        <v>-1</v>
      </c>
      <c r="N23" s="35">
        <v>1</v>
      </c>
      <c r="O23" s="35">
        <v>1</v>
      </c>
      <c r="P23" s="35">
        <v>1</v>
      </c>
      <c r="Q23" s="52">
        <v>1</v>
      </c>
      <c r="R23" s="125"/>
    </row>
    <row r="24" spans="1:18">
      <c r="A24" s="62"/>
      <c r="B24" s="49">
        <v>-1</v>
      </c>
      <c r="C24" s="35">
        <v>-1</v>
      </c>
      <c r="D24" s="35">
        <v>1</v>
      </c>
      <c r="E24" s="35">
        <v>1</v>
      </c>
      <c r="F24" s="35">
        <v>-1</v>
      </c>
      <c r="G24" s="35">
        <v>-1</v>
      </c>
      <c r="H24" s="35">
        <v>1</v>
      </c>
      <c r="I24" s="35">
        <v>1</v>
      </c>
      <c r="J24" s="35">
        <v>-1</v>
      </c>
      <c r="K24" s="35">
        <v>-1</v>
      </c>
      <c r="L24" s="35">
        <v>1</v>
      </c>
      <c r="M24" s="35">
        <v>1</v>
      </c>
      <c r="N24" s="35">
        <v>-1</v>
      </c>
      <c r="O24" s="35">
        <v>-1</v>
      </c>
      <c r="P24" s="35">
        <v>1</v>
      </c>
      <c r="Q24" s="52">
        <v>1</v>
      </c>
      <c r="R24" s="125"/>
    </row>
    <row r="25" spans="1:18">
      <c r="A25" s="62"/>
      <c r="B25" s="49">
        <v>-1</v>
      </c>
      <c r="C25" s="35">
        <v>1</v>
      </c>
      <c r="D25" s="35">
        <v>-1</v>
      </c>
      <c r="E25" s="35">
        <v>1</v>
      </c>
      <c r="F25" s="35">
        <v>-1</v>
      </c>
      <c r="G25" s="35">
        <v>1</v>
      </c>
      <c r="H25" s="35">
        <v>-1</v>
      </c>
      <c r="I25" s="35">
        <v>1</v>
      </c>
      <c r="J25" s="35">
        <v>-1</v>
      </c>
      <c r="K25" s="35">
        <v>1</v>
      </c>
      <c r="L25" s="35">
        <v>-1</v>
      </c>
      <c r="M25" s="35">
        <v>1</v>
      </c>
      <c r="N25" s="35">
        <v>-1</v>
      </c>
      <c r="O25" s="35">
        <v>1</v>
      </c>
      <c r="P25" s="35">
        <v>-1</v>
      </c>
      <c r="Q25" s="52">
        <v>1</v>
      </c>
      <c r="R25" s="125"/>
    </row>
    <row r="26" spans="1:18">
      <c r="A26" s="62"/>
      <c r="B26" s="49">
        <v>1</v>
      </c>
      <c r="C26" s="35">
        <v>1</v>
      </c>
      <c r="D26" s="35">
        <v>-1</v>
      </c>
      <c r="E26" s="35">
        <v>-1</v>
      </c>
      <c r="F26" s="35">
        <v>-1</v>
      </c>
      <c r="G26" s="35">
        <v>-1</v>
      </c>
      <c r="H26" s="35">
        <v>1</v>
      </c>
      <c r="I26" s="35">
        <v>1</v>
      </c>
      <c r="J26" s="35">
        <v>1</v>
      </c>
      <c r="K26" s="35">
        <v>1</v>
      </c>
      <c r="L26" s="35">
        <v>-1</v>
      </c>
      <c r="M26" s="35">
        <v>-1</v>
      </c>
      <c r="N26" s="35">
        <v>-1</v>
      </c>
      <c r="O26" s="35">
        <v>-1</v>
      </c>
      <c r="P26" s="35">
        <v>1</v>
      </c>
      <c r="Q26" s="52">
        <v>1</v>
      </c>
      <c r="R26" s="125"/>
    </row>
    <row r="27" spans="1:18">
      <c r="A27" s="62"/>
      <c r="B27" s="49">
        <v>1</v>
      </c>
      <c r="C27" s="35">
        <v>-1</v>
      </c>
      <c r="D27" s="35">
        <v>1</v>
      </c>
      <c r="E27" s="35">
        <v>-1</v>
      </c>
      <c r="F27" s="35">
        <v>-1</v>
      </c>
      <c r="G27" s="35">
        <v>1</v>
      </c>
      <c r="H27" s="35">
        <v>-1</v>
      </c>
      <c r="I27" s="35">
        <v>1</v>
      </c>
      <c r="J27" s="35">
        <v>1</v>
      </c>
      <c r="K27" s="35">
        <v>-1</v>
      </c>
      <c r="L27" s="35">
        <v>1</v>
      </c>
      <c r="M27" s="35">
        <v>-1</v>
      </c>
      <c r="N27" s="35">
        <v>-1</v>
      </c>
      <c r="O27" s="35">
        <v>1</v>
      </c>
      <c r="P27" s="35">
        <v>-1</v>
      </c>
      <c r="Q27" s="52">
        <v>1</v>
      </c>
      <c r="R27" s="125"/>
    </row>
    <row r="28" spans="1:18">
      <c r="A28" s="62"/>
      <c r="B28" s="49">
        <v>1</v>
      </c>
      <c r="C28" s="35">
        <v>-1</v>
      </c>
      <c r="D28" s="35">
        <v>-1</v>
      </c>
      <c r="E28" s="35">
        <v>1</v>
      </c>
      <c r="F28" s="35">
        <v>1</v>
      </c>
      <c r="G28" s="35">
        <v>-1</v>
      </c>
      <c r="H28" s="35">
        <v>-1</v>
      </c>
      <c r="I28" s="35">
        <v>1</v>
      </c>
      <c r="J28" s="35">
        <v>1</v>
      </c>
      <c r="K28" s="35">
        <v>-1</v>
      </c>
      <c r="L28" s="35">
        <v>-1</v>
      </c>
      <c r="M28" s="35">
        <v>1</v>
      </c>
      <c r="N28" s="35">
        <v>1</v>
      </c>
      <c r="O28" s="35">
        <v>-1</v>
      </c>
      <c r="P28" s="35">
        <v>-1</v>
      </c>
      <c r="Q28" s="52">
        <v>1</v>
      </c>
      <c r="R28" s="125"/>
    </row>
    <row r="29" spans="1:18">
      <c r="A29" s="62"/>
      <c r="B29" s="49">
        <v>-1</v>
      </c>
      <c r="C29" s="35">
        <v>1</v>
      </c>
      <c r="D29" s="35">
        <v>1</v>
      </c>
      <c r="E29" s="35">
        <v>-1</v>
      </c>
      <c r="F29" s="35">
        <v>1</v>
      </c>
      <c r="G29" s="35">
        <v>-1</v>
      </c>
      <c r="H29" s="35">
        <v>-1</v>
      </c>
      <c r="I29" s="35">
        <v>1</v>
      </c>
      <c r="J29" s="35">
        <v>-1</v>
      </c>
      <c r="K29" s="35">
        <v>1</v>
      </c>
      <c r="L29" s="35">
        <v>1</v>
      </c>
      <c r="M29" s="35">
        <v>-1</v>
      </c>
      <c r="N29" s="35">
        <v>1</v>
      </c>
      <c r="O29" s="35">
        <v>-1</v>
      </c>
      <c r="P29" s="35">
        <v>-1</v>
      </c>
      <c r="Q29" s="52">
        <v>1</v>
      </c>
      <c r="R29" s="125"/>
    </row>
    <row r="30" spans="1:18" ht="15.75" thickBot="1">
      <c r="A30" s="49"/>
      <c r="B30" s="35"/>
      <c r="C30" s="35"/>
      <c r="D30" s="35"/>
      <c r="E30" s="35"/>
      <c r="F30" s="35"/>
      <c r="G30" s="47"/>
      <c r="H30" s="47"/>
      <c r="I30" s="35"/>
      <c r="J30" s="35"/>
      <c r="K30" s="35"/>
      <c r="L30" s="44"/>
      <c r="M30" s="44"/>
      <c r="N30" s="44"/>
      <c r="O30" s="44"/>
      <c r="P30" s="44"/>
      <c r="Q30" s="44"/>
      <c r="R30" s="60"/>
    </row>
    <row r="31" spans="1:18">
      <c r="A31" s="61" t="s">
        <v>94</v>
      </c>
      <c r="B31" s="50">
        <f t="array" ref="B31:B38">MMULT(B22:Q29,K5:K20)</f>
        <v>6727.23</v>
      </c>
      <c r="C31" s="46"/>
      <c r="D31" s="53" t="s">
        <v>95</v>
      </c>
      <c r="E31" s="50">
        <f>B31/16</f>
        <v>420.45187499999997</v>
      </c>
      <c r="F31" s="51"/>
      <c r="G31" s="122" t="s">
        <v>45</v>
      </c>
      <c r="H31" s="119">
        <f>E31</f>
        <v>420.45187499999997</v>
      </c>
      <c r="I31" s="46"/>
      <c r="J31" s="35"/>
      <c r="K31" s="35"/>
      <c r="L31" s="44"/>
      <c r="M31" s="44"/>
      <c r="N31" s="44"/>
      <c r="O31" s="44"/>
      <c r="P31" s="44"/>
      <c r="Q31" s="44"/>
      <c r="R31" s="60"/>
    </row>
    <row r="32" spans="1:18">
      <c r="A32" s="62"/>
      <c r="B32" s="50">
        <v>975.9100000000002</v>
      </c>
      <c r="C32" s="46"/>
      <c r="D32" s="45"/>
      <c r="E32" s="50">
        <f t="shared" ref="E32:E38" si="8">B32/16</f>
        <v>60.994375000000012</v>
      </c>
      <c r="F32" s="51"/>
      <c r="G32" s="123" t="s">
        <v>46</v>
      </c>
      <c r="H32" s="120">
        <f t="shared" ref="H32:H38" si="9">E32</f>
        <v>60.994375000000012</v>
      </c>
      <c r="I32" s="46"/>
      <c r="J32" s="44"/>
      <c r="K32" s="44"/>
      <c r="L32" s="44"/>
      <c r="M32" s="44"/>
      <c r="N32" s="44"/>
      <c r="O32" s="44"/>
      <c r="P32" s="44"/>
      <c r="Q32" s="44"/>
      <c r="R32" s="126"/>
    </row>
    <row r="33" spans="1:18">
      <c r="A33" s="62"/>
      <c r="B33" s="50">
        <v>785.41000000000008</v>
      </c>
      <c r="C33" s="46"/>
      <c r="D33" s="45"/>
      <c r="E33" s="50">
        <f t="shared" si="8"/>
        <v>49.088125000000005</v>
      </c>
      <c r="F33" s="51"/>
      <c r="G33" s="123" t="s">
        <v>47</v>
      </c>
      <c r="H33" s="120">
        <f t="shared" si="9"/>
        <v>49.088125000000005</v>
      </c>
      <c r="I33" s="51"/>
      <c r="J33" s="35"/>
      <c r="K33" s="35"/>
      <c r="L33" s="44"/>
      <c r="M33" s="44"/>
      <c r="N33" s="44"/>
      <c r="O33" s="44"/>
      <c r="P33" s="44"/>
      <c r="Q33" s="44"/>
      <c r="R33" s="60"/>
    </row>
    <row r="34" spans="1:18">
      <c r="A34" s="62"/>
      <c r="B34" s="50">
        <v>626.54999999999995</v>
      </c>
      <c r="C34" s="46"/>
      <c r="D34" s="45"/>
      <c r="E34" s="50">
        <f t="shared" si="8"/>
        <v>39.159374999999997</v>
      </c>
      <c r="F34" s="51"/>
      <c r="G34" s="123" t="s">
        <v>48</v>
      </c>
      <c r="H34" s="120">
        <f t="shared" si="9"/>
        <v>39.159374999999997</v>
      </c>
      <c r="I34" s="51"/>
      <c r="J34" s="44"/>
      <c r="K34" s="44"/>
      <c r="L34" s="44"/>
      <c r="M34" s="44"/>
      <c r="N34" s="44"/>
      <c r="O34" s="44"/>
      <c r="P34" s="44"/>
      <c r="Q34" s="44"/>
      <c r="R34" s="60"/>
    </row>
    <row r="35" spans="1:18">
      <c r="A35" s="62"/>
      <c r="B35" s="50">
        <v>330.60999999999996</v>
      </c>
      <c r="C35" s="46"/>
      <c r="D35" s="45"/>
      <c r="E35" s="50">
        <f t="shared" si="8"/>
        <v>20.663124999999997</v>
      </c>
      <c r="F35" s="51"/>
      <c r="G35" s="123" t="s">
        <v>49</v>
      </c>
      <c r="H35" s="120">
        <f t="shared" si="9"/>
        <v>20.663124999999997</v>
      </c>
      <c r="I35" s="51"/>
      <c r="J35" s="35"/>
      <c r="K35" s="35"/>
      <c r="L35" s="44"/>
      <c r="M35" s="44"/>
      <c r="N35" s="44"/>
      <c r="O35" s="44"/>
      <c r="P35" s="44"/>
      <c r="Q35" s="44"/>
      <c r="R35" s="60"/>
    </row>
    <row r="36" spans="1:18">
      <c r="A36" s="62"/>
      <c r="B36" s="50">
        <v>87.030000000000086</v>
      </c>
      <c r="C36" s="46"/>
      <c r="D36" s="45"/>
      <c r="E36" s="50">
        <f t="shared" si="8"/>
        <v>5.4393750000000054</v>
      </c>
      <c r="F36" s="51"/>
      <c r="G36" s="123" t="s">
        <v>50</v>
      </c>
      <c r="H36" s="120">
        <f t="shared" si="9"/>
        <v>5.4393750000000054</v>
      </c>
      <c r="I36" s="51"/>
      <c r="J36" s="44"/>
      <c r="K36" s="44"/>
      <c r="L36" s="44"/>
      <c r="M36" s="44"/>
      <c r="N36" s="44"/>
      <c r="O36" s="44"/>
      <c r="P36" s="44"/>
      <c r="Q36" s="44"/>
      <c r="R36" s="60"/>
    </row>
    <row r="37" spans="1:18">
      <c r="A37" s="62"/>
      <c r="B37" s="50">
        <v>82.050000000000068</v>
      </c>
      <c r="C37" s="46"/>
      <c r="D37" s="45"/>
      <c r="E37" s="50">
        <f t="shared" si="8"/>
        <v>5.1281250000000043</v>
      </c>
      <c r="F37" s="51"/>
      <c r="G37" s="123" t="s">
        <v>51</v>
      </c>
      <c r="H37" s="120">
        <f t="shared" si="9"/>
        <v>5.1281250000000043</v>
      </c>
      <c r="I37" s="51"/>
      <c r="J37" s="35"/>
      <c r="K37" s="35"/>
      <c r="L37" s="44"/>
      <c r="M37" s="44"/>
      <c r="N37" s="44"/>
      <c r="O37" s="44"/>
      <c r="P37" s="44"/>
      <c r="Q37" s="44"/>
      <c r="R37" s="60"/>
    </row>
    <row r="38" spans="1:18" ht="15.75" thickBot="1">
      <c r="A38" s="62"/>
      <c r="B38" s="50">
        <v>6.0099999999999909</v>
      </c>
      <c r="C38" s="46"/>
      <c r="D38" s="45"/>
      <c r="E38" s="50">
        <f t="shared" si="8"/>
        <v>0.37562499999999943</v>
      </c>
      <c r="F38" s="51"/>
      <c r="G38" s="124" t="s">
        <v>52</v>
      </c>
      <c r="H38" s="121">
        <f t="shared" si="9"/>
        <v>0.37562499999999943</v>
      </c>
      <c r="I38" s="46"/>
      <c r="J38" s="396" t="s">
        <v>56</v>
      </c>
      <c r="K38" s="397"/>
      <c r="L38" s="397"/>
      <c r="M38" s="397"/>
      <c r="N38" s="397"/>
      <c r="O38" s="397"/>
      <c r="P38" s="397"/>
      <c r="Q38" s="398"/>
      <c r="R38" s="59"/>
    </row>
    <row r="39" spans="1:18">
      <c r="A39" s="49"/>
      <c r="B39" s="35"/>
      <c r="C39" s="35"/>
      <c r="D39" s="35"/>
      <c r="E39" s="35"/>
      <c r="F39" s="35"/>
      <c r="G39" s="56"/>
      <c r="H39" s="56"/>
      <c r="I39" s="35"/>
      <c r="J39" s="35"/>
      <c r="K39" s="35"/>
      <c r="L39" s="44"/>
      <c r="M39" s="44"/>
      <c r="N39" s="44"/>
      <c r="O39" s="44"/>
      <c r="P39" s="44"/>
      <c r="Q39" s="44"/>
      <c r="R39" s="60"/>
    </row>
    <row r="40" spans="1:18">
      <c r="A40" s="63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60"/>
    </row>
    <row r="41" spans="1:18">
      <c r="A41" s="127"/>
      <c r="B41" s="57"/>
      <c r="C41" s="57"/>
      <c r="D41" s="57"/>
      <c r="E41" s="57"/>
      <c r="F41" s="57"/>
      <c r="G41" s="399" t="s">
        <v>55</v>
      </c>
      <c r="H41" s="400"/>
      <c r="I41" s="400"/>
      <c r="J41" s="400"/>
      <c r="K41" s="400"/>
      <c r="L41" s="400"/>
      <c r="M41" s="401"/>
      <c r="N41" s="57"/>
      <c r="O41" s="57"/>
      <c r="P41" s="57"/>
      <c r="Q41" s="57"/>
      <c r="R41" s="126"/>
    </row>
    <row r="42" spans="1:18">
      <c r="A42" s="63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60"/>
    </row>
    <row r="43" spans="1:18" ht="20.100000000000001" customHeight="1">
      <c r="A43" s="63"/>
      <c r="B43" s="44"/>
      <c r="C43" s="44"/>
      <c r="D43" s="44"/>
      <c r="E43" s="44"/>
      <c r="F43" s="44"/>
      <c r="G43" s="402" t="s">
        <v>96</v>
      </c>
      <c r="H43" s="403"/>
      <c r="I43" s="403"/>
      <c r="J43" s="403"/>
      <c r="K43" s="403"/>
      <c r="L43" s="403"/>
      <c r="M43" s="403"/>
      <c r="N43" s="403"/>
      <c r="O43" s="403"/>
      <c r="P43" s="404"/>
      <c r="Q43" s="44"/>
      <c r="R43" s="60"/>
    </row>
    <row r="44" spans="1:18">
      <c r="A44" s="63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60"/>
    </row>
    <row r="45" spans="1:18">
      <c r="A45" s="64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6"/>
    </row>
  </sheetData>
  <mergeCells count="4">
    <mergeCell ref="A1:R1"/>
    <mergeCell ref="J38:Q38"/>
    <mergeCell ref="G41:M41"/>
    <mergeCell ref="G43:P4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5"/>
  <sheetViews>
    <sheetView topLeftCell="B13" zoomScale="80" zoomScaleNormal="80" workbookViewId="0">
      <selection activeCell="D62" sqref="D62"/>
    </sheetView>
  </sheetViews>
  <sheetFormatPr defaultRowHeight="15"/>
  <cols>
    <col min="1" max="1" width="9.140625" customWidth="1"/>
    <col min="2" max="2" width="18" bestFit="1" customWidth="1"/>
    <col min="3" max="3" width="12" bestFit="1" customWidth="1"/>
    <col min="4" max="4" width="14.5703125" bestFit="1" customWidth="1"/>
    <col min="5" max="5" width="12" bestFit="1" customWidth="1"/>
    <col min="6" max="6" width="13" bestFit="1" customWidth="1"/>
    <col min="7" max="7" width="13.42578125" bestFit="1" customWidth="1"/>
    <col min="8" max="8" width="12" bestFit="1" customWidth="1"/>
    <col min="9" max="9" width="13.7109375" bestFit="1" customWidth="1"/>
    <col min="10" max="10" width="12.5703125" bestFit="1" customWidth="1"/>
    <col min="11" max="11" width="13.7109375" bestFit="1" customWidth="1"/>
    <col min="12" max="12" width="12" bestFit="1" customWidth="1"/>
    <col min="13" max="13" width="25.7109375" bestFit="1" customWidth="1"/>
    <col min="14" max="14" width="12" bestFit="1" customWidth="1"/>
    <col min="15" max="15" width="25.7109375" bestFit="1" customWidth="1"/>
    <col min="16" max="16" width="9.85546875" bestFit="1" customWidth="1"/>
    <col min="17" max="17" width="22.140625" bestFit="1" customWidth="1"/>
  </cols>
  <sheetData>
    <row r="1" spans="1:31" ht="20.100000000000001" customHeight="1" thickBot="1">
      <c r="A1" s="395" t="s">
        <v>57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9"/>
    </row>
    <row r="2" spans="1:31" ht="15.75" thickBot="1"/>
    <row r="3" spans="1:31" ht="15.75" thickBot="1">
      <c r="B3" s="130" t="s">
        <v>26</v>
      </c>
      <c r="C3" s="131" t="s">
        <v>27</v>
      </c>
      <c r="D3" s="131" t="s">
        <v>28</v>
      </c>
      <c r="E3" s="131" t="s">
        <v>37</v>
      </c>
      <c r="F3" s="131" t="s">
        <v>39</v>
      </c>
      <c r="G3" s="131" t="s">
        <v>41</v>
      </c>
      <c r="H3" s="131" t="s">
        <v>44</v>
      </c>
      <c r="I3" s="132" t="s">
        <v>29</v>
      </c>
    </row>
    <row r="4" spans="1:31">
      <c r="B4" s="133">
        <v>-1</v>
      </c>
      <c r="C4" s="129">
        <v>-1</v>
      </c>
      <c r="D4" s="129">
        <v>-1</v>
      </c>
      <c r="E4" s="129">
        <v>1</v>
      </c>
      <c r="F4" s="129">
        <v>1</v>
      </c>
      <c r="G4" s="129">
        <v>1</v>
      </c>
      <c r="H4" s="129">
        <v>-1</v>
      </c>
      <c r="I4" s="134">
        <v>310.27</v>
      </c>
      <c r="Z4" s="147"/>
      <c r="AA4" s="147"/>
    </row>
    <row r="5" spans="1:31">
      <c r="B5" s="135">
        <v>-1</v>
      </c>
      <c r="C5" s="128">
        <v>-1</v>
      </c>
      <c r="D5" s="128">
        <v>1</v>
      </c>
      <c r="E5" s="128">
        <v>1</v>
      </c>
      <c r="F5" s="128">
        <v>-1</v>
      </c>
      <c r="G5" s="128">
        <v>-1</v>
      </c>
      <c r="H5" s="128">
        <v>1</v>
      </c>
      <c r="I5" s="136">
        <v>362.05</v>
      </c>
    </row>
    <row r="6" spans="1:31">
      <c r="B6" s="135">
        <v>-1</v>
      </c>
      <c r="C6" s="128">
        <v>1</v>
      </c>
      <c r="D6" s="128">
        <v>-1</v>
      </c>
      <c r="E6" s="128">
        <v>-1</v>
      </c>
      <c r="F6" s="128">
        <v>1</v>
      </c>
      <c r="G6" s="128">
        <v>-1</v>
      </c>
      <c r="H6" s="128">
        <v>1</v>
      </c>
      <c r="I6" s="136">
        <v>354.08</v>
      </c>
    </row>
    <row r="7" spans="1:31">
      <c r="B7" s="135">
        <v>-1</v>
      </c>
      <c r="C7" s="128">
        <v>1</v>
      </c>
      <c r="D7" s="128">
        <v>1</v>
      </c>
      <c r="E7" s="128">
        <v>-1</v>
      </c>
      <c r="F7" s="128">
        <v>-1</v>
      </c>
      <c r="G7" s="128">
        <v>1</v>
      </c>
      <c r="H7" s="128">
        <v>-1</v>
      </c>
      <c r="I7" s="136">
        <v>423.94</v>
      </c>
    </row>
    <row r="8" spans="1:31">
      <c r="B8" s="135">
        <v>1</v>
      </c>
      <c r="C8" s="128">
        <v>-1</v>
      </c>
      <c r="D8" s="128">
        <v>-1</v>
      </c>
      <c r="E8" s="128">
        <v>-1</v>
      </c>
      <c r="F8" s="128">
        <v>-1</v>
      </c>
      <c r="G8" s="128">
        <v>1</v>
      </c>
      <c r="H8" s="128">
        <v>1</v>
      </c>
      <c r="I8" s="136">
        <v>374.24</v>
      </c>
    </row>
    <row r="9" spans="1:31">
      <c r="B9" s="135">
        <v>1</v>
      </c>
      <c r="C9" s="128">
        <v>-1</v>
      </c>
      <c r="D9" s="128">
        <v>1</v>
      </c>
      <c r="E9" s="128">
        <v>-1</v>
      </c>
      <c r="F9" s="128">
        <v>1</v>
      </c>
      <c r="G9" s="128">
        <v>-1</v>
      </c>
      <c r="H9" s="128">
        <v>-1</v>
      </c>
      <c r="I9" s="136">
        <v>450.52</v>
      </c>
    </row>
    <row r="10" spans="1:31">
      <c r="B10" s="135">
        <v>1</v>
      </c>
      <c r="C10" s="128">
        <v>1</v>
      </c>
      <c r="D10" s="128">
        <v>-1</v>
      </c>
      <c r="E10" s="128">
        <v>1</v>
      </c>
      <c r="F10" s="128">
        <v>-1</v>
      </c>
      <c r="G10" s="128">
        <v>-1</v>
      </c>
      <c r="H10" s="128">
        <v>-1</v>
      </c>
      <c r="I10" s="136">
        <v>505.85</v>
      </c>
    </row>
    <row r="11" spans="1:31">
      <c r="B11" s="135">
        <v>1</v>
      </c>
      <c r="C11" s="128">
        <v>1</v>
      </c>
      <c r="D11" s="128">
        <v>1</v>
      </c>
      <c r="E11" s="128">
        <v>1</v>
      </c>
      <c r="F11" s="128">
        <v>1</v>
      </c>
      <c r="G11" s="128">
        <v>1</v>
      </c>
      <c r="H11" s="128">
        <v>1</v>
      </c>
      <c r="I11" s="136">
        <v>599.87</v>
      </c>
    </row>
    <row r="12" spans="1:31">
      <c r="B12" s="135">
        <v>-1</v>
      </c>
      <c r="C12" s="128">
        <v>-1</v>
      </c>
      <c r="D12" s="128">
        <v>-1</v>
      </c>
      <c r="E12" s="128">
        <v>1</v>
      </c>
      <c r="F12" s="128">
        <v>1</v>
      </c>
      <c r="G12" s="128">
        <v>1</v>
      </c>
      <c r="H12" s="128">
        <v>-1</v>
      </c>
      <c r="I12" s="136">
        <v>293.86</v>
      </c>
      <c r="Z12" s="144"/>
      <c r="AA12" s="144"/>
      <c r="AB12" s="144"/>
      <c r="AC12" s="144"/>
      <c r="AD12" s="144"/>
      <c r="AE12" s="144"/>
    </row>
    <row r="13" spans="1:31">
      <c r="B13" s="135">
        <v>-1</v>
      </c>
      <c r="C13" s="128">
        <v>-1</v>
      </c>
      <c r="D13" s="128">
        <v>1</v>
      </c>
      <c r="E13" s="128">
        <v>1</v>
      </c>
      <c r="F13" s="128">
        <v>-1</v>
      </c>
      <c r="G13" s="128">
        <v>-1</v>
      </c>
      <c r="H13" s="128">
        <v>1</v>
      </c>
      <c r="I13" s="136">
        <v>357.95</v>
      </c>
    </row>
    <row r="14" spans="1:31">
      <c r="B14" s="135">
        <v>-1</v>
      </c>
      <c r="C14" s="128">
        <v>1</v>
      </c>
      <c r="D14" s="128">
        <v>-1</v>
      </c>
      <c r="E14" s="128">
        <v>-1</v>
      </c>
      <c r="F14" s="128">
        <v>1</v>
      </c>
      <c r="G14" s="128">
        <v>-1</v>
      </c>
      <c r="H14" s="128">
        <v>1</v>
      </c>
      <c r="I14" s="136">
        <v>344.74</v>
      </c>
    </row>
    <row r="15" spans="1:31">
      <c r="B15" s="135">
        <v>-1</v>
      </c>
      <c r="C15" s="128">
        <v>1</v>
      </c>
      <c r="D15" s="128">
        <v>1</v>
      </c>
      <c r="E15" s="128">
        <v>-1</v>
      </c>
      <c r="F15" s="128">
        <v>-1</v>
      </c>
      <c r="G15" s="128">
        <v>1</v>
      </c>
      <c r="H15" s="128">
        <v>-1</v>
      </c>
      <c r="I15" s="136">
        <v>428.77</v>
      </c>
    </row>
    <row r="16" spans="1:31">
      <c r="B16" s="135">
        <v>1</v>
      </c>
      <c r="C16" s="128">
        <v>-1</v>
      </c>
      <c r="D16" s="128">
        <v>-1</v>
      </c>
      <c r="E16" s="128">
        <v>-1</v>
      </c>
      <c r="F16" s="128">
        <v>-1</v>
      </c>
      <c r="G16" s="128">
        <v>1</v>
      </c>
      <c r="H16" s="128">
        <v>1</v>
      </c>
      <c r="I16" s="136">
        <v>370.96</v>
      </c>
    </row>
    <row r="17" spans="2:34">
      <c r="B17" s="135">
        <v>1</v>
      </c>
      <c r="C17" s="128">
        <v>-1</v>
      </c>
      <c r="D17" s="128">
        <v>1</v>
      </c>
      <c r="E17" s="128">
        <v>-1</v>
      </c>
      <c r="F17" s="128">
        <v>1</v>
      </c>
      <c r="G17" s="128">
        <v>-1</v>
      </c>
      <c r="H17" s="128">
        <v>-1</v>
      </c>
      <c r="I17" s="136">
        <v>451.06</v>
      </c>
      <c r="Z17" s="144"/>
      <c r="AA17" s="144"/>
      <c r="AB17" s="144"/>
      <c r="AC17" s="144"/>
      <c r="AD17" s="144"/>
      <c r="AE17" s="144"/>
      <c r="AF17" s="144"/>
      <c r="AG17" s="144"/>
      <c r="AH17" s="144"/>
    </row>
    <row r="18" spans="2:34">
      <c r="B18" s="135">
        <v>1</v>
      </c>
      <c r="C18" s="128">
        <v>1</v>
      </c>
      <c r="D18" s="128">
        <v>-1</v>
      </c>
      <c r="E18" s="128">
        <v>1</v>
      </c>
      <c r="F18" s="128">
        <v>-1</v>
      </c>
      <c r="G18" s="128">
        <v>-1</v>
      </c>
      <c r="H18" s="128">
        <v>-1</v>
      </c>
      <c r="I18" s="136">
        <v>496.34</v>
      </c>
    </row>
    <row r="19" spans="2:34" ht="15.75" thickBot="1">
      <c r="B19" s="137">
        <v>1</v>
      </c>
      <c r="C19" s="138">
        <v>1</v>
      </c>
      <c r="D19" s="138">
        <v>1</v>
      </c>
      <c r="E19" s="138">
        <v>1</v>
      </c>
      <c r="F19" s="138">
        <v>1</v>
      </c>
      <c r="G19" s="138">
        <v>1</v>
      </c>
      <c r="H19" s="138">
        <v>1</v>
      </c>
      <c r="I19" s="139">
        <v>602.73</v>
      </c>
    </row>
    <row r="21" spans="2:34">
      <c r="B21" t="s">
        <v>58</v>
      </c>
    </row>
    <row r="22" spans="2:34" ht="15.75" thickBot="1"/>
    <row r="23" spans="2:34">
      <c r="B23" s="142" t="s">
        <v>59</v>
      </c>
      <c r="C23" s="142"/>
    </row>
    <row r="24" spans="2:34">
      <c r="B24" t="s">
        <v>60</v>
      </c>
      <c r="C24">
        <v>0.9990302549193103</v>
      </c>
    </row>
    <row r="25" spans="2:34">
      <c r="B25" t="s">
        <v>61</v>
      </c>
      <c r="C25">
        <v>0.99806145024414217</v>
      </c>
    </row>
    <row r="26" spans="2:34">
      <c r="B26" t="s">
        <v>62</v>
      </c>
      <c r="C26">
        <v>0.99636521920776655</v>
      </c>
    </row>
    <row r="27" spans="2:34">
      <c r="B27" t="s">
        <v>63</v>
      </c>
      <c r="C27">
        <v>5.625457203641302</v>
      </c>
    </row>
    <row r="28" spans="2:34" ht="15.75" thickBot="1">
      <c r="B28" s="140" t="s">
        <v>64</v>
      </c>
      <c r="C28" s="140">
        <v>16</v>
      </c>
    </row>
    <row r="30" spans="2:34" ht="15.75" thickBot="1">
      <c r="B30" t="s">
        <v>65</v>
      </c>
    </row>
    <row r="31" spans="2:34">
      <c r="B31" s="141"/>
      <c r="C31" s="141" t="s">
        <v>70</v>
      </c>
      <c r="D31" s="141" t="s">
        <v>71</v>
      </c>
      <c r="E31" s="141" t="s">
        <v>72</v>
      </c>
      <c r="F31" s="141" t="s">
        <v>73</v>
      </c>
      <c r="G31" s="141" t="s">
        <v>74</v>
      </c>
      <c r="Z31" s="144"/>
      <c r="AA31" s="144"/>
      <c r="AB31" s="144"/>
      <c r="AC31" s="144"/>
    </row>
    <row r="32" spans="2:34">
      <c r="B32" t="s">
        <v>66</v>
      </c>
      <c r="C32">
        <v>7</v>
      </c>
      <c r="D32">
        <v>130342.47589375</v>
      </c>
      <c r="E32">
        <v>18620.353699107141</v>
      </c>
      <c r="F32">
        <v>588.39947438809656</v>
      </c>
      <c r="G32">
        <v>3.3004118956383222E-10</v>
      </c>
    </row>
    <row r="33" spans="1:34">
      <c r="B33" t="s">
        <v>67</v>
      </c>
      <c r="C33">
        <v>8</v>
      </c>
      <c r="D33">
        <v>253.16614999999851</v>
      </c>
      <c r="E33">
        <v>31.645768749999814</v>
      </c>
    </row>
    <row r="34" spans="1:34" ht="15.75" thickBot="1">
      <c r="B34" s="140" t="s">
        <v>68</v>
      </c>
      <c r="C34" s="140">
        <v>15</v>
      </c>
      <c r="D34" s="140">
        <v>130595.64204375001</v>
      </c>
      <c r="E34" s="140"/>
      <c r="F34" s="140"/>
      <c r="G34" s="140"/>
    </row>
    <row r="35" spans="1:34" ht="15.75" thickBot="1"/>
    <row r="36" spans="1:34">
      <c r="B36" s="141"/>
      <c r="C36" s="141" t="s">
        <v>75</v>
      </c>
      <c r="D36" s="141" t="s">
        <v>63</v>
      </c>
      <c r="E36" s="141" t="s">
        <v>76</v>
      </c>
      <c r="F36" s="141" t="s">
        <v>77</v>
      </c>
      <c r="G36" s="141" t="s">
        <v>78</v>
      </c>
      <c r="H36" s="141" t="s">
        <v>79</v>
      </c>
      <c r="I36" s="141" t="s">
        <v>80</v>
      </c>
      <c r="J36" s="141" t="s">
        <v>81</v>
      </c>
    </row>
    <row r="37" spans="1:34">
      <c r="B37" t="s">
        <v>69</v>
      </c>
      <c r="C37">
        <v>420.45187499999997</v>
      </c>
      <c r="D37">
        <v>1.4063643009103255</v>
      </c>
      <c r="E37">
        <v>298.96370003692903</v>
      </c>
      <c r="F37">
        <v>1.7544072408973446E-17</v>
      </c>
      <c r="G37">
        <v>417.20879310649724</v>
      </c>
      <c r="H37">
        <v>423.69495689350271</v>
      </c>
      <c r="I37">
        <v>417.20879310649724</v>
      </c>
      <c r="J37">
        <v>423.69495689350271</v>
      </c>
    </row>
    <row r="38" spans="1:34">
      <c r="B38" t="s">
        <v>26</v>
      </c>
      <c r="C38">
        <v>60.994374999999998</v>
      </c>
      <c r="D38">
        <v>1.4063643009103255</v>
      </c>
      <c r="E38">
        <v>43.370252615569775</v>
      </c>
      <c r="F38">
        <v>8.8114364770373253E-11</v>
      </c>
      <c r="G38">
        <v>57.751293106497272</v>
      </c>
      <c r="H38">
        <v>64.237456893502724</v>
      </c>
      <c r="I38">
        <v>57.751293106497272</v>
      </c>
      <c r="J38">
        <v>64.237456893502724</v>
      </c>
    </row>
    <row r="39" spans="1:34">
      <c r="B39" t="s">
        <v>27</v>
      </c>
      <c r="C39">
        <v>49.088124999999998</v>
      </c>
      <c r="D39">
        <v>1.4063643009103255</v>
      </c>
      <c r="E39">
        <v>34.904274069119751</v>
      </c>
      <c r="F39">
        <v>4.9654168169589806E-10</v>
      </c>
      <c r="G39">
        <v>45.845043106497272</v>
      </c>
      <c r="H39">
        <v>52.331206893502724</v>
      </c>
      <c r="I39">
        <v>45.845043106497272</v>
      </c>
      <c r="J39">
        <v>52.331206893502724</v>
      </c>
    </row>
    <row r="40" spans="1:34">
      <c r="B40" t="s">
        <v>28</v>
      </c>
      <c r="C40">
        <v>39.159375000000011</v>
      </c>
      <c r="D40">
        <v>1.4063643009103255</v>
      </c>
      <c r="E40">
        <v>27.844403455528941</v>
      </c>
      <c r="F40">
        <v>2.9871944522568313E-9</v>
      </c>
      <c r="G40">
        <v>35.916293106497285</v>
      </c>
      <c r="H40">
        <v>42.402456893502738</v>
      </c>
      <c r="I40">
        <v>35.916293106497285</v>
      </c>
      <c r="J40">
        <v>42.402456893502738</v>
      </c>
    </row>
    <row r="41" spans="1:34">
      <c r="B41" t="s">
        <v>37</v>
      </c>
      <c r="C41">
        <v>20.663125000000001</v>
      </c>
      <c r="D41">
        <v>1.4063643009103255</v>
      </c>
      <c r="E41">
        <v>14.692583555075288</v>
      </c>
      <c r="F41">
        <v>4.5240029389999951E-7</v>
      </c>
      <c r="G41">
        <v>17.420043106497271</v>
      </c>
      <c r="H41">
        <v>23.906206893502731</v>
      </c>
      <c r="I41">
        <v>17.420043106497271</v>
      </c>
      <c r="J41">
        <v>23.906206893502731</v>
      </c>
    </row>
    <row r="42" spans="1:34">
      <c r="B42" t="s">
        <v>39</v>
      </c>
      <c r="C42">
        <v>5.4393750000000018</v>
      </c>
      <c r="D42">
        <v>1.4063643009103255</v>
      </c>
      <c r="E42">
        <v>3.8676856320081141</v>
      </c>
      <c r="F42">
        <v>4.756894343803139E-3</v>
      </c>
      <c r="G42">
        <v>2.1962931064972735</v>
      </c>
      <c r="H42">
        <v>8.6824568935027298</v>
      </c>
      <c r="I42">
        <v>2.1962931064972735</v>
      </c>
      <c r="J42">
        <v>8.6824568935027298</v>
      </c>
    </row>
    <row r="43" spans="1:34">
      <c r="B43" t="s">
        <v>41</v>
      </c>
      <c r="C43">
        <v>5.1281250000000043</v>
      </c>
      <c r="D43">
        <v>1.4063643009103255</v>
      </c>
      <c r="E43">
        <v>3.6463702873292649</v>
      </c>
      <c r="F43">
        <v>6.5285335170570608E-3</v>
      </c>
      <c r="G43">
        <v>1.8850431064972759</v>
      </c>
      <c r="H43">
        <v>8.3712068935027322</v>
      </c>
      <c r="I43">
        <v>1.8850431064972759</v>
      </c>
      <c r="J43">
        <v>8.3712068935027322</v>
      </c>
    </row>
    <row r="44" spans="1:34" ht="15.75" thickBot="1">
      <c r="B44" s="140" t="s">
        <v>44</v>
      </c>
      <c r="C44" s="140">
        <v>0.37562500000000326</v>
      </c>
      <c r="D44" s="140">
        <v>1.4063643009103255</v>
      </c>
      <c r="E44" s="140">
        <v>0.26708940191162772</v>
      </c>
      <c r="F44" s="293">
        <v>0.79615643952860615</v>
      </c>
      <c r="G44" s="140">
        <v>-2.8674568935027249</v>
      </c>
      <c r="H44" s="140">
        <v>3.6187068935027318</v>
      </c>
      <c r="I44" s="140">
        <v>-2.8674568935027249</v>
      </c>
      <c r="J44" s="140">
        <v>3.6187068935027318</v>
      </c>
    </row>
    <row r="45" spans="1:34" ht="15.75" thickBot="1"/>
    <row r="46" spans="1:34" s="38" customFormat="1" ht="20.100000000000001" customHeight="1" thickBot="1">
      <c r="A46" s="411" t="s">
        <v>137</v>
      </c>
      <c r="B46" s="412"/>
      <c r="C46" s="412"/>
      <c r="D46" s="412"/>
      <c r="E46" s="412"/>
      <c r="F46" s="412"/>
      <c r="G46" s="412"/>
      <c r="H46" s="412"/>
      <c r="I46" s="412"/>
      <c r="J46" s="412"/>
      <c r="K46" s="412"/>
      <c r="L46" s="412"/>
      <c r="M46" s="412"/>
      <c r="N46" s="412"/>
      <c r="O46" s="412"/>
      <c r="P46" s="412"/>
      <c r="Q46" s="412"/>
      <c r="R46" s="413"/>
      <c r="S46"/>
      <c r="T46"/>
      <c r="Z46"/>
      <c r="AA46"/>
      <c r="AB46"/>
      <c r="AC46"/>
      <c r="AD46"/>
      <c r="AE46"/>
      <c r="AF46"/>
      <c r="AG46"/>
      <c r="AH46"/>
    </row>
    <row r="48" spans="1:34" ht="15.75" thickBot="1"/>
    <row r="49" spans="1:19" s="39" customFormat="1" ht="20.100000000000001" customHeight="1" thickBot="1">
      <c r="A49" s="405" t="s">
        <v>97</v>
      </c>
      <c r="B49" s="406"/>
      <c r="C49" s="406"/>
      <c r="D49" s="406"/>
      <c r="E49" s="406"/>
      <c r="F49" s="406"/>
      <c r="G49" s="406"/>
      <c r="H49" s="406"/>
      <c r="I49" s="406"/>
      <c r="J49" s="406"/>
      <c r="K49" s="406"/>
      <c r="L49" s="406"/>
      <c r="M49" s="406"/>
      <c r="N49" s="406"/>
      <c r="O49" s="406"/>
      <c r="P49" s="406"/>
      <c r="Q49" s="406"/>
      <c r="R49" s="407"/>
      <c r="S49" s="43"/>
    </row>
    <row r="51" spans="1:19" ht="15" customHeight="1">
      <c r="B51" s="148" t="s">
        <v>130</v>
      </c>
      <c r="C51" s="148">
        <f>C37</f>
        <v>420.45187499999997</v>
      </c>
      <c r="D51" s="148" t="s">
        <v>99</v>
      </c>
      <c r="E51" s="148">
        <f>C38</f>
        <v>60.994374999999998</v>
      </c>
      <c r="F51" s="148" t="s">
        <v>288</v>
      </c>
      <c r="G51" s="148" t="s">
        <v>99</v>
      </c>
      <c r="H51" s="148">
        <f>C39</f>
        <v>49.088124999999998</v>
      </c>
      <c r="I51" s="148" t="s">
        <v>132</v>
      </c>
      <c r="J51" s="148">
        <f>C40</f>
        <v>39.159375000000011</v>
      </c>
      <c r="K51" s="148" t="s">
        <v>133</v>
      </c>
      <c r="L51" s="148">
        <f>C41</f>
        <v>20.663125000000001</v>
      </c>
      <c r="M51" s="148" t="s">
        <v>134</v>
      </c>
      <c r="N51" s="148">
        <f>C42</f>
        <v>5.4393750000000018</v>
      </c>
      <c r="O51" s="148" t="s">
        <v>293</v>
      </c>
      <c r="P51" s="148">
        <f>C43</f>
        <v>5.1281250000000043</v>
      </c>
      <c r="Q51" s="148" t="s">
        <v>135</v>
      </c>
      <c r="R51" s="1"/>
    </row>
    <row r="52" spans="1:19" ht="15.75" thickBot="1">
      <c r="B52" s="1"/>
      <c r="C52" s="1"/>
      <c r="D52" s="1"/>
      <c r="E52" s="1"/>
      <c r="F52" s="1"/>
      <c r="G52" s="1"/>
      <c r="H52" s="1"/>
    </row>
    <row r="53" spans="1:19" ht="24.95" customHeight="1" thickBot="1">
      <c r="B53" s="1"/>
      <c r="C53" s="408" t="s">
        <v>136</v>
      </c>
      <c r="D53" s="409"/>
      <c r="E53" s="409"/>
      <c r="F53" s="409"/>
      <c r="G53" s="409"/>
      <c r="H53" s="409"/>
      <c r="I53" s="409"/>
      <c r="J53" s="409"/>
      <c r="K53" s="410"/>
    </row>
    <row r="54" spans="1:19">
      <c r="B54" s="1"/>
      <c r="C54" s="1"/>
      <c r="D54" s="1"/>
      <c r="E54" s="1"/>
    </row>
    <row r="55" spans="1:19" ht="15.75" thickBot="1">
      <c r="B55" s="1"/>
      <c r="C55" s="1"/>
      <c r="D55" s="1"/>
      <c r="E55" s="1"/>
      <c r="F55" s="1"/>
      <c r="G55" s="1"/>
      <c r="H55" s="1"/>
    </row>
    <row r="56" spans="1:19" ht="20.100000000000001" customHeight="1" thickBot="1">
      <c r="A56" s="405" t="s">
        <v>98</v>
      </c>
      <c r="B56" s="406"/>
      <c r="C56" s="406"/>
      <c r="D56" s="406"/>
      <c r="E56" s="406"/>
      <c r="F56" s="406"/>
      <c r="G56" s="406"/>
      <c r="H56" s="406"/>
      <c r="I56" s="406"/>
      <c r="J56" s="406"/>
      <c r="K56" s="406"/>
      <c r="L56" s="406"/>
      <c r="M56" s="406"/>
      <c r="N56" s="406"/>
      <c r="O56" s="406"/>
      <c r="P56" s="406"/>
      <c r="Q56" s="406"/>
      <c r="R56" s="407"/>
    </row>
    <row r="57" spans="1:19">
      <c r="B57" s="1"/>
      <c r="C57" s="1"/>
      <c r="D57" s="1"/>
      <c r="E57" s="1"/>
      <c r="F57" s="1"/>
      <c r="G57" s="1"/>
      <c r="H57" s="1"/>
    </row>
    <row r="58" spans="1:19">
      <c r="B58" s="1"/>
      <c r="C58" s="1"/>
      <c r="D58" s="1"/>
      <c r="E58" s="1"/>
      <c r="F58" s="1"/>
      <c r="G58" s="1"/>
      <c r="H58" s="1"/>
    </row>
    <row r="59" spans="1:19" s="143" customFormat="1">
      <c r="B59" s="144"/>
      <c r="C59" s="144"/>
      <c r="D59" s="144"/>
      <c r="E59" s="144"/>
      <c r="F59" s="144"/>
      <c r="G59" s="144"/>
      <c r="H59" s="144"/>
      <c r="J59" s="144"/>
    </row>
    <row r="60" spans="1:19">
      <c r="B60" s="1"/>
      <c r="C60" s="1"/>
      <c r="D60" s="1"/>
      <c r="E60" s="1"/>
      <c r="F60" s="1"/>
      <c r="G60" s="1"/>
      <c r="H60" s="1"/>
    </row>
    <row r="61" spans="1:19">
      <c r="B61" s="1"/>
      <c r="C61" s="1"/>
      <c r="D61" s="1"/>
      <c r="E61" s="1"/>
      <c r="F61" s="1"/>
      <c r="G61" s="1"/>
      <c r="H61" s="1"/>
    </row>
    <row r="62" spans="1:19" s="143" customFormat="1" ht="20.100000000000001" customHeight="1">
      <c r="B62" s="331" t="s">
        <v>287</v>
      </c>
      <c r="C62" s="332">
        <v>420.45187499999997</v>
      </c>
      <c r="D62" s="333" t="s">
        <v>99</v>
      </c>
      <c r="E62" s="333">
        <v>6.0994374999999996</v>
      </c>
      <c r="F62" s="333" t="s">
        <v>289</v>
      </c>
      <c r="G62" s="333" t="s">
        <v>99</v>
      </c>
      <c r="H62" s="333">
        <v>4.9088124999999998</v>
      </c>
      <c r="I62" s="333" t="s">
        <v>290</v>
      </c>
      <c r="J62" s="333">
        <v>1.958</v>
      </c>
      <c r="K62" s="333" t="s">
        <v>291</v>
      </c>
      <c r="L62" s="333">
        <v>0.20663124999999999</v>
      </c>
      <c r="M62" s="333" t="s">
        <v>292</v>
      </c>
      <c r="N62" s="333">
        <v>2.7199999999999998E-2</v>
      </c>
      <c r="O62" s="333" t="s">
        <v>294</v>
      </c>
      <c r="P62" s="38">
        <v>2.5649999999999999E-2</v>
      </c>
      <c r="Q62" s="38" t="s">
        <v>295</v>
      </c>
      <c r="R62" s="281"/>
    </row>
    <row r="63" spans="1:19">
      <c r="B63" s="1"/>
      <c r="C63" s="1"/>
      <c r="D63" s="1"/>
      <c r="E63" s="1"/>
      <c r="F63" s="145"/>
      <c r="G63" s="1"/>
      <c r="H63" s="1"/>
    </row>
    <row r="64" spans="1:19">
      <c r="B64" s="1"/>
      <c r="C64" s="1"/>
      <c r="D64" s="145"/>
      <c r="E64" s="1"/>
      <c r="F64" s="1"/>
      <c r="G64" s="1"/>
      <c r="H64" s="1"/>
    </row>
    <row r="65" spans="2:8">
      <c r="B65" s="1"/>
      <c r="C65" s="1"/>
      <c r="D65" s="1"/>
      <c r="E65" s="1"/>
      <c r="F65" s="1"/>
      <c r="G65" s="1"/>
      <c r="H65" s="1"/>
    </row>
  </sheetData>
  <mergeCells count="5">
    <mergeCell ref="A56:R56"/>
    <mergeCell ref="A1:R1"/>
    <mergeCell ref="A49:R49"/>
    <mergeCell ref="C53:K53"/>
    <mergeCell ref="A46:R4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6"/>
  <sheetViews>
    <sheetView topLeftCell="A28" zoomScale="90" zoomScaleNormal="90" workbookViewId="0">
      <selection activeCell="E50" sqref="E50"/>
    </sheetView>
  </sheetViews>
  <sheetFormatPr defaultRowHeight="15"/>
  <cols>
    <col min="1" max="2" width="18" bestFit="1" customWidth="1"/>
    <col min="3" max="3" width="11" bestFit="1" customWidth="1"/>
    <col min="11" max="11" width="18" bestFit="1" customWidth="1"/>
  </cols>
  <sheetData>
    <row r="1" spans="1:19" ht="20.100000000000001" customHeight="1" thickBot="1">
      <c r="A1" s="377" t="s">
        <v>138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9"/>
    </row>
    <row r="2" spans="1:19" ht="15.75" thickBot="1"/>
    <row r="3" spans="1:19" ht="15.75" customHeight="1" thickBot="1">
      <c r="B3" s="149" t="s">
        <v>139</v>
      </c>
      <c r="C3" s="150">
        <f>L17</f>
        <v>0.99804416401456619</v>
      </c>
      <c r="E3" s="417" t="s">
        <v>148</v>
      </c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9"/>
    </row>
    <row r="4" spans="1:19">
      <c r="E4" s="423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5"/>
    </row>
    <row r="5" spans="1:19" ht="15.75" thickBot="1">
      <c r="E5" s="420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2"/>
    </row>
    <row r="7" spans="1:19" ht="15.75" thickBot="1"/>
    <row r="8" spans="1:19" ht="20.100000000000001" customHeight="1" thickBot="1">
      <c r="A8" s="377" t="s">
        <v>140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8"/>
      <c r="S8" s="379"/>
    </row>
    <row r="11" spans="1:19">
      <c r="A11" s="432" t="s">
        <v>141</v>
      </c>
      <c r="B11" s="432"/>
      <c r="C11" s="432"/>
      <c r="D11" s="432"/>
      <c r="E11" s="432"/>
      <c r="F11" s="432"/>
      <c r="G11" s="432"/>
      <c r="H11" s="432"/>
      <c r="I11" s="432"/>
      <c r="J11" s="151"/>
      <c r="K11" s="432" t="s">
        <v>142</v>
      </c>
      <c r="L11" s="432"/>
      <c r="M11" s="432"/>
      <c r="N11" s="432"/>
      <c r="O11" s="432"/>
      <c r="P11" s="432"/>
      <c r="Q11" s="432"/>
      <c r="R11" s="432"/>
      <c r="S11" s="432"/>
    </row>
    <row r="13" spans="1:19">
      <c r="A13" t="s">
        <v>58</v>
      </c>
      <c r="K13" t="s">
        <v>58</v>
      </c>
    </row>
    <row r="14" spans="1:19" ht="15.75" thickBot="1"/>
    <row r="15" spans="1:19">
      <c r="A15" s="142" t="s">
        <v>59</v>
      </c>
      <c r="B15" s="142"/>
      <c r="K15" s="142" t="s">
        <v>59</v>
      </c>
      <c r="L15" s="142"/>
    </row>
    <row r="16" spans="1:19">
      <c r="A16" t="s">
        <v>60</v>
      </c>
      <c r="B16">
        <v>0.9990302549193103</v>
      </c>
      <c r="K16" t="s">
        <v>60</v>
      </c>
      <c r="L16">
        <v>0.9990216033773075</v>
      </c>
    </row>
    <row r="17" spans="1:19">
      <c r="A17" t="s">
        <v>61</v>
      </c>
      <c r="B17">
        <v>0.99806145024414217</v>
      </c>
      <c r="K17" t="s">
        <v>61</v>
      </c>
      <c r="L17">
        <v>0.99804416401456619</v>
      </c>
    </row>
    <row r="18" spans="1:19">
      <c r="A18" s="152" t="s">
        <v>62</v>
      </c>
      <c r="B18" s="152">
        <v>0.99636521920776655</v>
      </c>
      <c r="K18" s="152" t="s">
        <v>62</v>
      </c>
      <c r="L18" s="152">
        <v>0.9967402733576104</v>
      </c>
    </row>
    <row r="19" spans="1:19">
      <c r="A19" t="s">
        <v>63</v>
      </c>
      <c r="B19">
        <v>5.625457203641302</v>
      </c>
      <c r="K19" t="s">
        <v>63</v>
      </c>
      <c r="L19">
        <v>5.3273263697655935</v>
      </c>
    </row>
    <row r="20" spans="1:19" ht="15.75" thickBot="1">
      <c r="A20" s="140" t="s">
        <v>64</v>
      </c>
      <c r="B20" s="140">
        <v>16</v>
      </c>
      <c r="K20" s="140" t="s">
        <v>64</v>
      </c>
      <c r="L20" s="140">
        <v>16</v>
      </c>
    </row>
    <row r="22" spans="1:19" ht="15.75" thickBot="1">
      <c r="A22" t="s">
        <v>65</v>
      </c>
      <c r="K22" t="s">
        <v>65</v>
      </c>
    </row>
    <row r="23" spans="1:19">
      <c r="A23" s="141"/>
      <c r="B23" s="141" t="s">
        <v>70</v>
      </c>
      <c r="C23" s="141" t="s">
        <v>71</v>
      </c>
      <c r="D23" s="141" t="s">
        <v>72</v>
      </c>
      <c r="E23" s="141" t="s">
        <v>73</v>
      </c>
      <c r="F23" s="141" t="s">
        <v>74</v>
      </c>
      <c r="K23" s="141"/>
      <c r="L23" s="141" t="s">
        <v>70</v>
      </c>
      <c r="M23" s="141" t="s">
        <v>71</v>
      </c>
      <c r="N23" s="141" t="s">
        <v>72</v>
      </c>
      <c r="O23" s="141" t="s">
        <v>73</v>
      </c>
      <c r="P23" s="141" t="s">
        <v>74</v>
      </c>
    </row>
    <row r="24" spans="1:19">
      <c r="A24" t="s">
        <v>66</v>
      </c>
      <c r="B24">
        <v>7</v>
      </c>
      <c r="C24">
        <v>130342.47589375</v>
      </c>
      <c r="D24">
        <v>18620.353699107141</v>
      </c>
      <c r="E24">
        <v>588.39947438809656</v>
      </c>
      <c r="F24">
        <v>3.3004118956383222E-10</v>
      </c>
      <c r="K24" t="s">
        <v>66</v>
      </c>
      <c r="L24">
        <v>6</v>
      </c>
      <c r="M24">
        <v>130340.2183875</v>
      </c>
      <c r="N24">
        <v>21723.369731250001</v>
      </c>
      <c r="O24">
        <v>765.43547473884757</v>
      </c>
      <c r="P24">
        <v>1.1530575391240765E-11</v>
      </c>
    </row>
    <row r="25" spans="1:19">
      <c r="A25" t="s">
        <v>67</v>
      </c>
      <c r="B25">
        <v>8</v>
      </c>
      <c r="C25">
        <v>253.16614999999851</v>
      </c>
      <c r="D25">
        <v>31.645768749999814</v>
      </c>
      <c r="K25" t="s">
        <v>67</v>
      </c>
      <c r="L25">
        <v>9</v>
      </c>
      <c r="M25">
        <v>255.42365624999874</v>
      </c>
      <c r="N25">
        <v>28.380406249999862</v>
      </c>
    </row>
    <row r="26" spans="1:19" ht="15.75" thickBot="1">
      <c r="A26" s="140" t="s">
        <v>68</v>
      </c>
      <c r="B26" s="140">
        <v>15</v>
      </c>
      <c r="C26" s="140">
        <v>130595.64204375001</v>
      </c>
      <c r="D26" s="140"/>
      <c r="E26" s="140"/>
      <c r="F26" s="140"/>
      <c r="K26" s="140" t="s">
        <v>68</v>
      </c>
      <c r="L26" s="140">
        <v>15</v>
      </c>
      <c r="M26" s="140">
        <v>130595.64204375001</v>
      </c>
      <c r="N26" s="140"/>
      <c r="O26" s="140"/>
      <c r="P26" s="140"/>
    </row>
    <row r="27" spans="1:19" ht="15.75" thickBot="1"/>
    <row r="28" spans="1:19">
      <c r="A28" s="141"/>
      <c r="B28" s="141" t="s">
        <v>75</v>
      </c>
      <c r="C28" s="141" t="s">
        <v>63</v>
      </c>
      <c r="D28" s="141" t="s">
        <v>76</v>
      </c>
      <c r="E28" s="141" t="s">
        <v>77</v>
      </c>
      <c r="F28" s="141" t="s">
        <v>78</v>
      </c>
      <c r="G28" s="141" t="s">
        <v>79</v>
      </c>
      <c r="H28" s="141" t="s">
        <v>80</v>
      </c>
      <c r="I28" s="141" t="s">
        <v>81</v>
      </c>
      <c r="K28" s="141"/>
      <c r="L28" s="141" t="s">
        <v>75</v>
      </c>
      <c r="M28" s="141" t="s">
        <v>63</v>
      </c>
      <c r="N28" s="141" t="s">
        <v>76</v>
      </c>
      <c r="O28" s="141" t="s">
        <v>77</v>
      </c>
      <c r="P28" s="141" t="s">
        <v>78</v>
      </c>
      <c r="Q28" s="141" t="s">
        <v>79</v>
      </c>
      <c r="R28" s="141" t="s">
        <v>80</v>
      </c>
      <c r="S28" s="141" t="s">
        <v>81</v>
      </c>
    </row>
    <row r="29" spans="1:19">
      <c r="A29" t="s">
        <v>69</v>
      </c>
      <c r="B29">
        <v>420.45187499999997</v>
      </c>
      <c r="C29">
        <v>1.4063643009103255</v>
      </c>
      <c r="D29">
        <v>298.96370003692903</v>
      </c>
      <c r="E29">
        <v>1.7544072408973446E-17</v>
      </c>
      <c r="F29">
        <v>417.20879310649724</v>
      </c>
      <c r="G29">
        <v>423.69495689350271</v>
      </c>
      <c r="H29">
        <v>417.20879310649724</v>
      </c>
      <c r="I29">
        <v>423.69495689350271</v>
      </c>
      <c r="K29" t="s">
        <v>69</v>
      </c>
      <c r="L29">
        <v>420.45187499999997</v>
      </c>
      <c r="M29">
        <v>1.3318315924413984</v>
      </c>
      <c r="N29">
        <v>315.69447472654105</v>
      </c>
      <c r="O29">
        <v>1.6342088943642465E-19</v>
      </c>
      <c r="P29">
        <v>417.43906262351771</v>
      </c>
      <c r="Q29">
        <v>423.46468737648223</v>
      </c>
      <c r="R29">
        <v>417.43906262351771</v>
      </c>
      <c r="S29">
        <v>423.46468737648223</v>
      </c>
    </row>
    <row r="30" spans="1:19">
      <c r="A30" t="s">
        <v>26</v>
      </c>
      <c r="B30">
        <v>60.994374999999998</v>
      </c>
      <c r="C30">
        <v>1.4063643009103255</v>
      </c>
      <c r="D30">
        <v>43.370252615569775</v>
      </c>
      <c r="E30">
        <v>8.8114364770373253E-11</v>
      </c>
      <c r="F30">
        <v>57.751293106497272</v>
      </c>
      <c r="G30">
        <v>64.237456893502724</v>
      </c>
      <c r="H30">
        <v>57.751293106497272</v>
      </c>
      <c r="I30">
        <v>64.237456893502724</v>
      </c>
      <c r="K30" t="s">
        <v>26</v>
      </c>
      <c r="L30">
        <v>60.994375000000005</v>
      </c>
      <c r="M30">
        <v>1.3318315924413984</v>
      </c>
      <c r="N30">
        <v>45.79736307965964</v>
      </c>
      <c r="O30">
        <v>5.6454551159605037E-12</v>
      </c>
      <c r="P30">
        <v>57.981562623517753</v>
      </c>
      <c r="Q30">
        <v>64.00718737648225</v>
      </c>
      <c r="R30">
        <v>57.981562623517753</v>
      </c>
      <c r="S30">
        <v>64.00718737648225</v>
      </c>
    </row>
    <row r="31" spans="1:19">
      <c r="A31" t="s">
        <v>27</v>
      </c>
      <c r="B31">
        <v>49.088124999999998</v>
      </c>
      <c r="C31">
        <v>1.4063643009103255</v>
      </c>
      <c r="D31">
        <v>34.904274069119751</v>
      </c>
      <c r="E31">
        <v>4.9654168169589806E-10</v>
      </c>
      <c r="F31">
        <v>45.845043106497272</v>
      </c>
      <c r="G31">
        <v>52.331206893502724</v>
      </c>
      <c r="H31">
        <v>45.845043106497272</v>
      </c>
      <c r="I31">
        <v>52.331206893502724</v>
      </c>
      <c r="K31" t="s">
        <v>27</v>
      </c>
      <c r="L31">
        <v>49.088124999999998</v>
      </c>
      <c r="M31">
        <v>1.3318315924413984</v>
      </c>
      <c r="N31">
        <v>36.857606681349175</v>
      </c>
      <c r="O31">
        <v>3.9481577325167511E-11</v>
      </c>
      <c r="P31">
        <v>46.075312623517746</v>
      </c>
      <c r="Q31">
        <v>52.10093737648225</v>
      </c>
      <c r="R31">
        <v>46.075312623517746</v>
      </c>
      <c r="S31">
        <v>52.10093737648225</v>
      </c>
    </row>
    <row r="32" spans="1:19">
      <c r="A32" t="s">
        <v>28</v>
      </c>
      <c r="B32">
        <v>39.159375000000011</v>
      </c>
      <c r="C32">
        <v>1.4063643009103255</v>
      </c>
      <c r="D32">
        <v>27.844403455528941</v>
      </c>
      <c r="E32">
        <v>2.9871944522568313E-9</v>
      </c>
      <c r="F32">
        <v>35.916293106497285</v>
      </c>
      <c r="G32">
        <v>42.402456893502738</v>
      </c>
      <c r="H32">
        <v>35.916293106497285</v>
      </c>
      <c r="I32">
        <v>42.402456893502738</v>
      </c>
      <c r="K32" t="s">
        <v>28</v>
      </c>
      <c r="L32">
        <v>39.159375000000011</v>
      </c>
      <c r="M32">
        <v>1.3318315924413984</v>
      </c>
      <c r="N32">
        <v>29.40264761869512</v>
      </c>
      <c r="O32">
        <v>2.9716067050057525E-10</v>
      </c>
      <c r="P32">
        <v>36.14656262351776</v>
      </c>
      <c r="Q32">
        <v>42.172187376482263</v>
      </c>
      <c r="R32">
        <v>36.14656262351776</v>
      </c>
      <c r="S32">
        <v>42.172187376482263</v>
      </c>
    </row>
    <row r="33" spans="1:19">
      <c r="A33" t="s">
        <v>37</v>
      </c>
      <c r="B33">
        <v>20.663125000000001</v>
      </c>
      <c r="C33">
        <v>1.4063643009103255</v>
      </c>
      <c r="D33">
        <v>14.692583555075288</v>
      </c>
      <c r="E33">
        <v>4.5240029389999951E-7</v>
      </c>
      <c r="F33">
        <v>17.420043106497271</v>
      </c>
      <c r="G33">
        <v>23.906206893502731</v>
      </c>
      <c r="H33">
        <v>17.420043106497271</v>
      </c>
      <c r="I33">
        <v>23.906206893502731</v>
      </c>
      <c r="K33" t="s">
        <v>37</v>
      </c>
      <c r="L33">
        <v>20.663125000000001</v>
      </c>
      <c r="M33">
        <v>1.3318315924413984</v>
      </c>
      <c r="N33">
        <v>15.514818177666253</v>
      </c>
      <c r="O33">
        <v>8.4123479335251811E-8</v>
      </c>
      <c r="P33">
        <v>17.650312623517753</v>
      </c>
      <c r="Q33">
        <v>23.675937376482249</v>
      </c>
      <c r="R33">
        <v>17.650312623517753</v>
      </c>
      <c r="S33">
        <v>23.675937376482249</v>
      </c>
    </row>
    <row r="34" spans="1:19">
      <c r="A34" t="s">
        <v>39</v>
      </c>
      <c r="B34">
        <v>5.4393750000000018</v>
      </c>
      <c r="C34">
        <v>1.4063643009103255</v>
      </c>
      <c r="D34">
        <v>3.8676856320081141</v>
      </c>
      <c r="E34">
        <v>4.756894343803139E-3</v>
      </c>
      <c r="F34">
        <v>2.1962931064972735</v>
      </c>
      <c r="G34">
        <v>8.6824568935027298</v>
      </c>
      <c r="H34">
        <v>2.1962931064972735</v>
      </c>
      <c r="I34">
        <v>8.6824568935027298</v>
      </c>
      <c r="K34" t="s">
        <v>39</v>
      </c>
      <c r="L34">
        <v>5.4393750000000018</v>
      </c>
      <c r="M34">
        <v>1.3318315924413984</v>
      </c>
      <c r="N34">
        <v>4.0841312301572685</v>
      </c>
      <c r="O34">
        <v>2.7410050609490348E-3</v>
      </c>
      <c r="P34">
        <v>2.4265626235177522</v>
      </c>
      <c r="Q34">
        <v>8.4521873764822519</v>
      </c>
      <c r="R34">
        <v>2.4265626235177522</v>
      </c>
      <c r="S34">
        <v>8.4521873764822519</v>
      </c>
    </row>
    <row r="35" spans="1:19" ht="15.75" thickBot="1">
      <c r="A35" t="s">
        <v>41</v>
      </c>
      <c r="B35">
        <v>5.1281250000000043</v>
      </c>
      <c r="C35">
        <v>1.4063643009103255</v>
      </c>
      <c r="D35">
        <v>3.6463702873292649</v>
      </c>
      <c r="E35">
        <v>6.5285335170570608E-3</v>
      </c>
      <c r="F35">
        <v>1.8850431064972759</v>
      </c>
      <c r="G35">
        <v>8.3712068935027322</v>
      </c>
      <c r="H35">
        <v>1.8850431064972759</v>
      </c>
      <c r="I35">
        <v>8.3712068935027322</v>
      </c>
      <c r="K35" s="140" t="s">
        <v>41</v>
      </c>
      <c r="L35" s="140">
        <v>5.1281250000000043</v>
      </c>
      <c r="M35" s="140">
        <v>1.3318315924413984</v>
      </c>
      <c r="N35" s="140">
        <v>3.8504305117132485</v>
      </c>
      <c r="O35" s="140">
        <v>3.903744651167797E-3</v>
      </c>
      <c r="P35" s="140">
        <v>2.1153126235177546</v>
      </c>
      <c r="Q35" s="140">
        <v>8.1409373764822544</v>
      </c>
      <c r="R35" s="140">
        <v>2.1153126235177546</v>
      </c>
      <c r="S35" s="140">
        <v>8.1409373764822544</v>
      </c>
    </row>
    <row r="36" spans="1:19" ht="15.75" thickBot="1">
      <c r="A36" s="140" t="s">
        <v>44</v>
      </c>
      <c r="B36" s="140">
        <v>0.37562500000000326</v>
      </c>
      <c r="C36" s="140">
        <v>1.4063643009103255</v>
      </c>
      <c r="D36" s="140">
        <v>0.26708940191162772</v>
      </c>
      <c r="E36" s="140">
        <v>0.79615643952860615</v>
      </c>
      <c r="F36" s="140">
        <v>-2.8674568935027249</v>
      </c>
      <c r="G36" s="140">
        <v>3.6187068935027318</v>
      </c>
      <c r="H36" s="140">
        <v>-2.8674568935027249</v>
      </c>
      <c r="I36" s="140">
        <v>3.6187068935027318</v>
      </c>
    </row>
    <row r="39" spans="1:19" ht="15.75" thickBot="1">
      <c r="B39" s="433" t="s">
        <v>143</v>
      </c>
      <c r="C39" s="433"/>
      <c r="D39" s="433"/>
      <c r="E39" s="433"/>
      <c r="F39" s="433"/>
    </row>
    <row r="40" spans="1:19" ht="15.75" thickBot="1">
      <c r="G40" s="154" t="s">
        <v>145</v>
      </c>
      <c r="H40" s="155">
        <f>B18</f>
        <v>0.99636521920776655</v>
      </c>
    </row>
    <row r="41" spans="1:19" ht="15.75" thickBot="1">
      <c r="B41" s="433" t="s">
        <v>144</v>
      </c>
      <c r="C41" s="433"/>
      <c r="D41" s="433"/>
      <c r="E41" s="433"/>
      <c r="F41" s="433"/>
      <c r="J41" s="153"/>
    </row>
    <row r="42" spans="1:19" ht="15.75" thickBot="1">
      <c r="G42" s="154" t="s">
        <v>145</v>
      </c>
      <c r="H42" s="155">
        <f>L18</f>
        <v>0.9967402733576104</v>
      </c>
    </row>
    <row r="43" spans="1:19" ht="15.75" thickBot="1"/>
    <row r="44" spans="1:19" ht="15" customHeight="1">
      <c r="B44" s="417" t="s">
        <v>146</v>
      </c>
      <c r="C44" s="418"/>
      <c r="D44" s="418"/>
      <c r="E44" s="418"/>
      <c r="F44" s="418"/>
      <c r="G44" s="418"/>
      <c r="H44" s="418"/>
      <c r="I44" s="418"/>
      <c r="J44" s="418"/>
      <c r="K44" s="418"/>
      <c r="L44" s="418"/>
      <c r="M44" s="418"/>
      <c r="N44" s="418"/>
      <c r="O44" s="419"/>
      <c r="P44" s="156"/>
      <c r="Q44" s="156"/>
    </row>
    <row r="45" spans="1:19" ht="15.75" thickBot="1">
      <c r="B45" s="420"/>
      <c r="C45" s="421"/>
      <c r="D45" s="421"/>
      <c r="E45" s="421"/>
      <c r="F45" s="421"/>
      <c r="G45" s="421"/>
      <c r="H45" s="421"/>
      <c r="I45" s="421"/>
      <c r="J45" s="421"/>
      <c r="K45" s="421"/>
      <c r="L45" s="421"/>
      <c r="M45" s="421"/>
      <c r="N45" s="421"/>
      <c r="O45" s="422"/>
      <c r="P45" s="156"/>
      <c r="Q45" s="156"/>
    </row>
    <row r="47" spans="1:19" ht="15.75" thickBot="1"/>
    <row r="48" spans="1:19" s="157" customFormat="1" ht="20.100000000000001" customHeight="1" thickBot="1">
      <c r="A48" s="377" t="s">
        <v>147</v>
      </c>
      <c r="B48" s="378"/>
      <c r="C48" s="378"/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  <c r="O48" s="378"/>
      <c r="P48" s="378"/>
      <c r="Q48" s="378"/>
      <c r="R48" s="378"/>
      <c r="S48" s="379"/>
    </row>
    <row r="50" spans="1:17" ht="15.75" thickBot="1">
      <c r="A50" t="s">
        <v>58</v>
      </c>
    </row>
    <row r="51" spans="1:17" ht="15.75" thickBot="1">
      <c r="B51" s="142" t="s">
        <v>59</v>
      </c>
      <c r="C51" s="142"/>
    </row>
    <row r="52" spans="1:17">
      <c r="B52" t="s">
        <v>60</v>
      </c>
      <c r="C52">
        <v>0.9990216033773075</v>
      </c>
      <c r="F52" s="426" t="s">
        <v>152</v>
      </c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8"/>
    </row>
    <row r="53" spans="1:17">
      <c r="B53" t="s">
        <v>61</v>
      </c>
      <c r="C53">
        <v>0.99804416401456619</v>
      </c>
      <c r="F53" s="429"/>
      <c r="G53" s="430"/>
      <c r="H53" s="430"/>
      <c r="I53" s="430"/>
      <c r="J53" s="430"/>
      <c r="K53" s="430"/>
      <c r="L53" s="430"/>
      <c r="M53" s="430"/>
      <c r="N53" s="430"/>
      <c r="O53" s="430"/>
      <c r="P53" s="430"/>
      <c r="Q53" s="431"/>
    </row>
    <row r="54" spans="1:17">
      <c r="B54" t="s">
        <v>62</v>
      </c>
      <c r="C54">
        <v>0.9967402733576104</v>
      </c>
      <c r="F54" s="158"/>
      <c r="G54" s="414" t="s">
        <v>149</v>
      </c>
      <c r="H54" s="414"/>
      <c r="I54" s="414"/>
      <c r="J54" s="414"/>
      <c r="K54" s="414"/>
      <c r="L54" s="414"/>
      <c r="M54" s="414"/>
      <c r="N54" s="414"/>
      <c r="O54" s="414"/>
      <c r="P54" s="414"/>
      <c r="Q54" s="159"/>
    </row>
    <row r="55" spans="1:17">
      <c r="B55" t="s">
        <v>63</v>
      </c>
      <c r="C55">
        <v>5.3273263697655935</v>
      </c>
      <c r="F55" s="158"/>
      <c r="G55" s="414" t="s">
        <v>150</v>
      </c>
      <c r="H55" s="414"/>
      <c r="I55" s="414"/>
      <c r="J55" s="414"/>
      <c r="K55" s="414"/>
      <c r="L55" s="414"/>
      <c r="M55" s="414"/>
      <c r="N55" s="414"/>
      <c r="O55" s="414"/>
      <c r="P55" s="414"/>
      <c r="Q55" s="159"/>
    </row>
    <row r="56" spans="1:17" ht="15.75" thickBot="1">
      <c r="B56" s="140" t="s">
        <v>64</v>
      </c>
      <c r="C56" s="140">
        <v>16</v>
      </c>
      <c r="F56" s="160"/>
      <c r="G56" s="415" t="s">
        <v>151</v>
      </c>
      <c r="H56" s="416"/>
      <c r="I56" s="416"/>
      <c r="J56" s="416"/>
      <c r="K56" s="416"/>
      <c r="L56" s="416"/>
      <c r="M56" s="416"/>
      <c r="N56" s="416"/>
      <c r="O56" s="416"/>
      <c r="P56" s="416"/>
      <c r="Q56" s="161"/>
    </row>
  </sheetData>
  <mergeCells count="13">
    <mergeCell ref="A1:S1"/>
    <mergeCell ref="K11:S11"/>
    <mergeCell ref="A11:I11"/>
    <mergeCell ref="B39:F39"/>
    <mergeCell ref="B41:F41"/>
    <mergeCell ref="G54:P54"/>
    <mergeCell ref="G55:P55"/>
    <mergeCell ref="G56:P56"/>
    <mergeCell ref="B44:O45"/>
    <mergeCell ref="E3:R5"/>
    <mergeCell ref="A8:S8"/>
    <mergeCell ref="A48:S48"/>
    <mergeCell ref="F52:Q5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2"/>
  <sheetViews>
    <sheetView zoomScale="80" zoomScaleNormal="80" workbookViewId="0">
      <selection activeCell="K4" sqref="K4:N4"/>
    </sheetView>
  </sheetViews>
  <sheetFormatPr defaultRowHeight="15"/>
  <cols>
    <col min="2" max="2" width="18" bestFit="1" customWidth="1"/>
    <col min="3" max="3" width="12" bestFit="1" customWidth="1"/>
    <col min="4" max="4" width="14.5703125" bestFit="1" customWidth="1"/>
    <col min="5" max="5" width="18.5703125" bestFit="1" customWidth="1"/>
    <col min="6" max="6" width="12" bestFit="1" customWidth="1"/>
    <col min="7" max="7" width="13.42578125" bestFit="1" customWidth="1"/>
    <col min="8" max="8" width="17.7109375" bestFit="1" customWidth="1"/>
    <col min="9" max="9" width="13.140625" bestFit="1" customWidth="1"/>
    <col min="10" max="10" width="18.7109375" bestFit="1" customWidth="1"/>
    <col min="11" max="11" width="11.7109375" customWidth="1"/>
    <col min="12" max="13" width="18.7109375" bestFit="1" customWidth="1"/>
    <col min="15" max="15" width="13.28515625" bestFit="1" customWidth="1"/>
  </cols>
  <sheetData>
    <row r="1" spans="1:19" ht="20.100000000000001" customHeight="1" thickBot="1">
      <c r="A1" s="377" t="s">
        <v>122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9"/>
      <c r="S1" s="162"/>
    </row>
    <row r="2" spans="1:19" ht="15" customHeight="1" thickBot="1"/>
    <row r="3" spans="1:19" ht="15" customHeight="1" thickBot="1">
      <c r="B3" s="130" t="s">
        <v>26</v>
      </c>
      <c r="C3" s="131" t="s">
        <v>27</v>
      </c>
      <c r="D3" s="131" t="s">
        <v>28</v>
      </c>
      <c r="E3" s="131" t="s">
        <v>37</v>
      </c>
      <c r="F3" s="131" t="s">
        <v>39</v>
      </c>
      <c r="G3" s="131" t="s">
        <v>41</v>
      </c>
      <c r="H3" s="163" t="s">
        <v>44</v>
      </c>
      <c r="I3" s="132" t="s">
        <v>29</v>
      </c>
    </row>
    <row r="4" spans="1:19" ht="15" customHeight="1">
      <c r="B4" s="133">
        <v>-1</v>
      </c>
      <c r="C4" s="129">
        <v>-1</v>
      </c>
      <c r="D4" s="129">
        <v>-1</v>
      </c>
      <c r="E4" s="129">
        <v>1</v>
      </c>
      <c r="F4" s="129">
        <v>1</v>
      </c>
      <c r="G4" s="129">
        <v>1</v>
      </c>
      <c r="H4" s="164">
        <v>-1</v>
      </c>
      <c r="I4" s="134">
        <v>310.27</v>
      </c>
      <c r="K4" s="457" t="s">
        <v>155</v>
      </c>
      <c r="L4" s="457"/>
      <c r="M4" s="457"/>
      <c r="N4" s="457"/>
    </row>
    <row r="5" spans="1:19" ht="15" customHeight="1">
      <c r="B5" s="135">
        <v>-1</v>
      </c>
      <c r="C5" s="128">
        <v>-1</v>
      </c>
      <c r="D5" s="128">
        <v>1</v>
      </c>
      <c r="E5" s="128">
        <v>1</v>
      </c>
      <c r="F5" s="128">
        <v>-1</v>
      </c>
      <c r="G5" s="128">
        <v>-1</v>
      </c>
      <c r="H5" s="165">
        <v>1</v>
      </c>
      <c r="I5" s="136">
        <v>362.05</v>
      </c>
      <c r="K5" s="280"/>
      <c r="L5" s="280"/>
      <c r="M5" s="280"/>
      <c r="N5" s="280"/>
    </row>
    <row r="6" spans="1:19" ht="15" customHeight="1">
      <c r="B6" s="135">
        <v>-1</v>
      </c>
      <c r="C6" s="128">
        <v>1</v>
      </c>
      <c r="D6" s="128">
        <v>-1</v>
      </c>
      <c r="E6" s="128">
        <v>-1</v>
      </c>
      <c r="F6" s="128">
        <v>1</v>
      </c>
      <c r="G6" s="128">
        <v>-1</v>
      </c>
      <c r="H6" s="165">
        <v>1</v>
      </c>
      <c r="I6" s="136">
        <v>354.08</v>
      </c>
    </row>
    <row r="7" spans="1:19" ht="15" customHeight="1">
      <c r="B7" s="135">
        <v>-1</v>
      </c>
      <c r="C7" s="128">
        <v>1</v>
      </c>
      <c r="D7" s="128">
        <v>1</v>
      </c>
      <c r="E7" s="128">
        <v>-1</v>
      </c>
      <c r="F7" s="128">
        <v>-1</v>
      </c>
      <c r="G7" s="128">
        <v>1</v>
      </c>
      <c r="H7" s="165">
        <v>-1</v>
      </c>
      <c r="I7" s="136">
        <v>423.94</v>
      </c>
    </row>
    <row r="8" spans="1:19" ht="15" customHeight="1">
      <c r="B8" s="135">
        <v>1</v>
      </c>
      <c r="C8" s="128">
        <v>-1</v>
      </c>
      <c r="D8" s="128">
        <v>-1</v>
      </c>
      <c r="E8" s="128">
        <v>-1</v>
      </c>
      <c r="F8" s="128">
        <v>-1</v>
      </c>
      <c r="G8" s="128">
        <v>1</v>
      </c>
      <c r="H8" s="165">
        <v>1</v>
      </c>
      <c r="I8" s="136">
        <v>374.24</v>
      </c>
    </row>
    <row r="9" spans="1:19" ht="15" customHeight="1">
      <c r="B9" s="135">
        <v>1</v>
      </c>
      <c r="C9" s="128">
        <v>-1</v>
      </c>
      <c r="D9" s="128">
        <v>1</v>
      </c>
      <c r="E9" s="128">
        <v>-1</v>
      </c>
      <c r="F9" s="128">
        <v>1</v>
      </c>
      <c r="G9" s="128">
        <v>-1</v>
      </c>
      <c r="H9" s="165">
        <v>-1</v>
      </c>
      <c r="I9" s="136">
        <v>450.52</v>
      </c>
    </row>
    <row r="10" spans="1:19" ht="15" customHeight="1">
      <c r="B10" s="135">
        <v>1</v>
      </c>
      <c r="C10" s="128">
        <v>1</v>
      </c>
      <c r="D10" s="128">
        <v>-1</v>
      </c>
      <c r="E10" s="128">
        <v>1</v>
      </c>
      <c r="F10" s="128">
        <v>-1</v>
      </c>
      <c r="G10" s="128">
        <v>-1</v>
      </c>
      <c r="H10" s="165">
        <v>-1</v>
      </c>
      <c r="I10" s="136">
        <v>505.85</v>
      </c>
    </row>
    <row r="11" spans="1:19" ht="15" customHeight="1">
      <c r="B11" s="135">
        <v>1</v>
      </c>
      <c r="C11" s="128">
        <v>1</v>
      </c>
      <c r="D11" s="128">
        <v>1</v>
      </c>
      <c r="E11" s="128">
        <v>1</v>
      </c>
      <c r="F11" s="128">
        <v>1</v>
      </c>
      <c r="G11" s="128">
        <v>1</v>
      </c>
      <c r="H11" s="165">
        <v>1</v>
      </c>
      <c r="I11" s="136">
        <v>599.87</v>
      </c>
    </row>
    <row r="12" spans="1:19" ht="15" customHeight="1">
      <c r="B12" s="135">
        <v>-1</v>
      </c>
      <c r="C12" s="128">
        <v>-1</v>
      </c>
      <c r="D12" s="128">
        <v>-1</v>
      </c>
      <c r="E12" s="128">
        <v>1</v>
      </c>
      <c r="F12" s="128">
        <v>1</v>
      </c>
      <c r="G12" s="128">
        <v>1</v>
      </c>
      <c r="H12" s="165">
        <v>-1</v>
      </c>
      <c r="I12" s="136">
        <v>293.86</v>
      </c>
    </row>
    <row r="13" spans="1:19" ht="15" customHeight="1">
      <c r="B13" s="135">
        <v>-1</v>
      </c>
      <c r="C13" s="128">
        <v>-1</v>
      </c>
      <c r="D13" s="128">
        <v>1</v>
      </c>
      <c r="E13" s="128">
        <v>1</v>
      </c>
      <c r="F13" s="128">
        <v>-1</v>
      </c>
      <c r="G13" s="128">
        <v>-1</v>
      </c>
      <c r="H13" s="165">
        <v>1</v>
      </c>
      <c r="I13" s="136">
        <v>357.95</v>
      </c>
    </row>
    <row r="14" spans="1:19" ht="15" customHeight="1">
      <c r="B14" s="135">
        <v>-1</v>
      </c>
      <c r="C14" s="128">
        <v>1</v>
      </c>
      <c r="D14" s="128">
        <v>-1</v>
      </c>
      <c r="E14" s="128">
        <v>-1</v>
      </c>
      <c r="F14" s="128">
        <v>1</v>
      </c>
      <c r="G14" s="128">
        <v>-1</v>
      </c>
      <c r="H14" s="165">
        <v>1</v>
      </c>
      <c r="I14" s="136">
        <v>344.74</v>
      </c>
    </row>
    <row r="15" spans="1:19" ht="15" customHeight="1">
      <c r="B15" s="135">
        <v>-1</v>
      </c>
      <c r="C15" s="128">
        <v>1</v>
      </c>
      <c r="D15" s="128">
        <v>1</v>
      </c>
      <c r="E15" s="128">
        <v>-1</v>
      </c>
      <c r="F15" s="128">
        <v>-1</v>
      </c>
      <c r="G15" s="128">
        <v>1</v>
      </c>
      <c r="H15" s="165">
        <v>-1</v>
      </c>
      <c r="I15" s="136">
        <v>428.77</v>
      </c>
    </row>
    <row r="16" spans="1:19" ht="15" customHeight="1">
      <c r="B16" s="135">
        <v>1</v>
      </c>
      <c r="C16" s="128">
        <v>-1</v>
      </c>
      <c r="D16" s="128">
        <v>-1</v>
      </c>
      <c r="E16" s="128">
        <v>-1</v>
      </c>
      <c r="F16" s="128">
        <v>-1</v>
      </c>
      <c r="G16" s="128">
        <v>1</v>
      </c>
      <c r="H16" s="165">
        <v>1</v>
      </c>
      <c r="I16" s="136">
        <v>370.96</v>
      </c>
    </row>
    <row r="17" spans="2:16" ht="15" customHeight="1">
      <c r="B17" s="135">
        <v>1</v>
      </c>
      <c r="C17" s="128">
        <v>-1</v>
      </c>
      <c r="D17" s="128">
        <v>1</v>
      </c>
      <c r="E17" s="128">
        <v>-1</v>
      </c>
      <c r="F17" s="128">
        <v>1</v>
      </c>
      <c r="G17" s="128">
        <v>-1</v>
      </c>
      <c r="H17" s="165">
        <v>-1</v>
      </c>
      <c r="I17" s="136">
        <v>451.06</v>
      </c>
    </row>
    <row r="18" spans="2:16" ht="15" customHeight="1">
      <c r="B18" s="135">
        <v>1</v>
      </c>
      <c r="C18" s="128">
        <v>1</v>
      </c>
      <c r="D18" s="128">
        <v>-1</v>
      </c>
      <c r="E18" s="128">
        <v>1</v>
      </c>
      <c r="F18" s="128">
        <v>-1</v>
      </c>
      <c r="G18" s="128">
        <v>-1</v>
      </c>
      <c r="H18" s="165">
        <v>-1</v>
      </c>
      <c r="I18" s="136">
        <v>496.34</v>
      </c>
    </row>
    <row r="19" spans="2:16" ht="15" customHeight="1" thickBot="1">
      <c r="B19" s="137">
        <v>1</v>
      </c>
      <c r="C19" s="138">
        <v>1</v>
      </c>
      <c r="D19" s="138">
        <v>1</v>
      </c>
      <c r="E19" s="138">
        <v>1</v>
      </c>
      <c r="F19" s="138">
        <v>1</v>
      </c>
      <c r="G19" s="138">
        <v>1</v>
      </c>
      <c r="H19" s="166">
        <v>1</v>
      </c>
      <c r="I19" s="139">
        <v>602.73</v>
      </c>
    </row>
    <row r="20" spans="2:16" ht="15" customHeight="1"/>
    <row r="21" spans="2:16">
      <c r="B21" t="s">
        <v>58</v>
      </c>
    </row>
    <row r="22" spans="2:16" ht="15.75" thickBot="1"/>
    <row r="23" spans="2:16">
      <c r="B23" s="142" t="s">
        <v>59</v>
      </c>
      <c r="C23" s="142"/>
    </row>
    <row r="24" spans="2:16">
      <c r="B24" t="s">
        <v>60</v>
      </c>
      <c r="C24">
        <v>0.9990216033773075</v>
      </c>
      <c r="H24" s="439" t="s">
        <v>129</v>
      </c>
      <c r="I24" s="439"/>
      <c r="J24" s="439"/>
      <c r="K24" s="439"/>
      <c r="L24" s="439"/>
      <c r="M24" s="439"/>
      <c r="N24" s="439"/>
      <c r="O24" s="439"/>
    </row>
    <row r="25" spans="2:16">
      <c r="B25" t="s">
        <v>61</v>
      </c>
      <c r="C25">
        <v>0.99804416401456619</v>
      </c>
      <c r="H25" s="146" t="s">
        <v>100</v>
      </c>
      <c r="K25" s="440" t="s">
        <v>126</v>
      </c>
      <c r="L25" s="440"/>
      <c r="M25" s="440"/>
      <c r="N25" s="440"/>
      <c r="O25" s="232" t="s">
        <v>104</v>
      </c>
      <c r="P25" s="232"/>
    </row>
    <row r="26" spans="2:16">
      <c r="B26" t="s">
        <v>62</v>
      </c>
      <c r="C26">
        <v>0.9967402733576104</v>
      </c>
      <c r="H26" t="s">
        <v>123</v>
      </c>
      <c r="I26">
        <f>_xlfn.F.INV.RT(0.03,C32,C33)</f>
        <v>4.0576016930110281</v>
      </c>
      <c r="K26" s="440" t="s">
        <v>127</v>
      </c>
      <c r="L26" s="440"/>
      <c r="M26" s="440"/>
      <c r="N26" s="440"/>
      <c r="O26" s="292" t="s">
        <v>128</v>
      </c>
      <c r="P26" s="232"/>
    </row>
    <row r="27" spans="2:16" ht="15.75" thickBot="1">
      <c r="B27" t="s">
        <v>63</v>
      </c>
      <c r="C27">
        <v>5.3273263697655935</v>
      </c>
      <c r="H27" t="s">
        <v>124</v>
      </c>
      <c r="I27">
        <f>F32</f>
        <v>765.43547473884757</v>
      </c>
      <c r="J27" t="s">
        <v>106</v>
      </c>
    </row>
    <row r="28" spans="2:16" ht="15.75" thickBot="1">
      <c r="B28" s="140" t="s">
        <v>64</v>
      </c>
      <c r="C28" s="140">
        <v>16</v>
      </c>
      <c r="H28" t="s">
        <v>125</v>
      </c>
      <c r="I28">
        <f>G32</f>
        <v>1.1530575391240765E-11</v>
      </c>
      <c r="J28" t="s">
        <v>107</v>
      </c>
      <c r="K28" s="452" t="s">
        <v>153</v>
      </c>
      <c r="L28" s="453"/>
      <c r="M28" s="453"/>
      <c r="N28" s="453"/>
      <c r="O28" s="454"/>
    </row>
    <row r="30" spans="2:16" ht="15.75" thickBot="1">
      <c r="B30" t="s">
        <v>65</v>
      </c>
    </row>
    <row r="31" spans="2:16">
      <c r="B31" s="141"/>
      <c r="C31" s="141" t="s">
        <v>70</v>
      </c>
      <c r="D31" s="141" t="s">
        <v>71</v>
      </c>
      <c r="E31" s="141" t="s">
        <v>72</v>
      </c>
      <c r="F31" s="141" t="s">
        <v>73</v>
      </c>
      <c r="G31" s="141" t="s">
        <v>74</v>
      </c>
    </row>
    <row r="32" spans="2:16">
      <c r="B32" t="s">
        <v>66</v>
      </c>
      <c r="C32">
        <v>6</v>
      </c>
      <c r="D32">
        <v>130340.2183875</v>
      </c>
      <c r="E32">
        <v>21723.369731250001</v>
      </c>
      <c r="F32">
        <v>765.43547473884757</v>
      </c>
      <c r="G32">
        <v>1.1530575391240765E-11</v>
      </c>
    </row>
    <row r="33" spans="1:19">
      <c r="B33" t="s">
        <v>67</v>
      </c>
      <c r="C33">
        <v>9</v>
      </c>
      <c r="D33">
        <v>255.42365624999874</v>
      </c>
      <c r="E33">
        <v>28.380406249999862</v>
      </c>
    </row>
    <row r="34" spans="1:19" ht="15.75" thickBot="1">
      <c r="B34" s="140" t="s">
        <v>68</v>
      </c>
      <c r="C34" s="140">
        <v>15</v>
      </c>
      <c r="D34" s="140">
        <v>130595.64204375001</v>
      </c>
      <c r="E34" s="140"/>
      <c r="F34" s="140"/>
      <c r="G34" s="140"/>
    </row>
    <row r="35" spans="1:19" ht="15.75" thickBot="1"/>
    <row r="36" spans="1:19">
      <c r="B36" s="141"/>
      <c r="C36" s="141" t="s">
        <v>75</v>
      </c>
      <c r="D36" s="141" t="s">
        <v>63</v>
      </c>
      <c r="E36" s="141" t="s">
        <v>76</v>
      </c>
      <c r="F36" s="141" t="s">
        <v>77</v>
      </c>
      <c r="G36" s="141" t="s">
        <v>78</v>
      </c>
      <c r="H36" s="141" t="s">
        <v>79</v>
      </c>
      <c r="I36" s="141" t="s">
        <v>80</v>
      </c>
      <c r="J36" s="141" t="s">
        <v>81</v>
      </c>
    </row>
    <row r="37" spans="1:19">
      <c r="B37" t="s">
        <v>69</v>
      </c>
      <c r="C37">
        <v>420.45187499999997</v>
      </c>
      <c r="D37">
        <v>1.3318315924413984</v>
      </c>
      <c r="E37">
        <v>315.69447472654105</v>
      </c>
      <c r="F37">
        <v>1.6342088943642465E-19</v>
      </c>
      <c r="G37">
        <v>417.43906262351771</v>
      </c>
      <c r="H37">
        <v>423.46468737648223</v>
      </c>
      <c r="I37">
        <v>417.43906262351771</v>
      </c>
      <c r="J37">
        <v>423.46468737648223</v>
      </c>
    </row>
    <row r="38" spans="1:19">
      <c r="B38" t="s">
        <v>26</v>
      </c>
      <c r="C38">
        <v>60.994375000000005</v>
      </c>
      <c r="D38">
        <v>1.3318315924413984</v>
      </c>
      <c r="E38">
        <v>45.79736307965964</v>
      </c>
      <c r="F38">
        <v>5.6454551159605037E-12</v>
      </c>
      <c r="G38">
        <v>57.981562623517753</v>
      </c>
      <c r="H38">
        <v>64.00718737648225</v>
      </c>
      <c r="I38">
        <v>57.981562623517753</v>
      </c>
      <c r="J38">
        <v>64.00718737648225</v>
      </c>
    </row>
    <row r="39" spans="1:19">
      <c r="B39" t="s">
        <v>27</v>
      </c>
      <c r="C39">
        <v>49.088124999999998</v>
      </c>
      <c r="D39">
        <v>1.3318315924413984</v>
      </c>
      <c r="E39">
        <v>36.857606681349175</v>
      </c>
      <c r="F39">
        <v>3.9481577325167511E-11</v>
      </c>
      <c r="G39">
        <v>46.075312623517746</v>
      </c>
      <c r="H39">
        <v>52.10093737648225</v>
      </c>
      <c r="I39">
        <v>46.075312623517746</v>
      </c>
      <c r="J39">
        <v>52.10093737648225</v>
      </c>
    </row>
    <row r="40" spans="1:19">
      <c r="B40" t="s">
        <v>28</v>
      </c>
      <c r="C40">
        <v>39.159375000000011</v>
      </c>
      <c r="D40">
        <v>1.3318315924413984</v>
      </c>
      <c r="E40">
        <v>29.40264761869512</v>
      </c>
      <c r="F40">
        <v>2.9716067050057525E-10</v>
      </c>
      <c r="G40">
        <v>36.14656262351776</v>
      </c>
      <c r="H40">
        <v>42.172187376482263</v>
      </c>
      <c r="I40">
        <v>36.14656262351776</v>
      </c>
      <c r="J40">
        <v>42.172187376482263</v>
      </c>
    </row>
    <row r="41" spans="1:19">
      <c r="B41" t="s">
        <v>37</v>
      </c>
      <c r="C41">
        <v>20.663125000000001</v>
      </c>
      <c r="D41">
        <v>1.3318315924413984</v>
      </c>
      <c r="E41">
        <v>15.514818177666253</v>
      </c>
      <c r="F41">
        <v>8.4123479335251811E-8</v>
      </c>
      <c r="G41">
        <v>17.650312623517753</v>
      </c>
      <c r="H41">
        <v>23.675937376482249</v>
      </c>
      <c r="I41">
        <v>17.650312623517753</v>
      </c>
      <c r="J41">
        <v>23.675937376482249</v>
      </c>
    </row>
    <row r="42" spans="1:19">
      <c r="B42" t="s">
        <v>39</v>
      </c>
      <c r="C42">
        <v>5.4393750000000018</v>
      </c>
      <c r="D42">
        <v>1.3318315924413984</v>
      </c>
      <c r="E42">
        <v>4.0841312301572685</v>
      </c>
      <c r="F42">
        <v>2.7410050609490348E-3</v>
      </c>
      <c r="G42">
        <v>2.4265626235177522</v>
      </c>
      <c r="H42">
        <v>8.4521873764822519</v>
      </c>
      <c r="I42">
        <v>2.4265626235177522</v>
      </c>
      <c r="J42">
        <v>8.4521873764822519</v>
      </c>
    </row>
    <row r="43" spans="1:19" ht="15.75" thickBot="1">
      <c r="B43" s="140" t="s">
        <v>41</v>
      </c>
      <c r="C43" s="140">
        <v>5.1281250000000043</v>
      </c>
      <c r="D43" s="140">
        <v>1.3318315924413984</v>
      </c>
      <c r="E43" s="140">
        <v>3.8504305117132485</v>
      </c>
      <c r="F43" s="140">
        <v>3.903744651167797E-3</v>
      </c>
      <c r="G43" s="140">
        <v>2.1153126235177546</v>
      </c>
      <c r="H43" s="140">
        <v>8.1409373764822544</v>
      </c>
      <c r="I43" s="140">
        <v>2.1153126235177546</v>
      </c>
      <c r="J43" s="140">
        <v>8.1409373764822544</v>
      </c>
    </row>
    <row r="46" spans="1:19" ht="15.75" thickBot="1"/>
    <row r="47" spans="1:19" s="39" customFormat="1" ht="20.100000000000001" customHeight="1" thickBot="1">
      <c r="A47" s="377" t="s">
        <v>154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  <c r="O47" s="378"/>
      <c r="P47" s="378"/>
      <c r="Q47" s="378"/>
      <c r="R47" s="379"/>
      <c r="S47" s="43"/>
    </row>
    <row r="48" spans="1:19" ht="15.75" thickBot="1"/>
    <row r="49" spans="2:18" ht="15.75" thickBot="1">
      <c r="B49" s="130" t="s">
        <v>26</v>
      </c>
      <c r="C49" s="131" t="s">
        <v>27</v>
      </c>
      <c r="D49" s="131" t="s">
        <v>28</v>
      </c>
      <c r="E49" s="131" t="s">
        <v>37</v>
      </c>
      <c r="F49" s="131" t="s">
        <v>39</v>
      </c>
      <c r="G49" s="131" t="s">
        <v>41</v>
      </c>
      <c r="H49" s="132" t="s">
        <v>29</v>
      </c>
      <c r="I49" s="185" t="s">
        <v>159</v>
      </c>
      <c r="J49" s="196" t="s">
        <v>158</v>
      </c>
      <c r="K49" s="197" t="s">
        <v>160</v>
      </c>
      <c r="M49" s="438" t="s">
        <v>161</v>
      </c>
      <c r="N49" s="438"/>
      <c r="O49" s="438"/>
      <c r="P49" s="438"/>
      <c r="Q49" s="221" t="s">
        <v>174</v>
      </c>
    </row>
    <row r="50" spans="2:18">
      <c r="B50" s="133">
        <v>-1</v>
      </c>
      <c r="C50" s="129">
        <v>-1</v>
      </c>
      <c r="D50" s="129">
        <v>-1</v>
      </c>
      <c r="E50" s="129">
        <v>1</v>
      </c>
      <c r="F50" s="129">
        <v>1</v>
      </c>
      <c r="G50" s="129">
        <v>1</v>
      </c>
      <c r="H50" s="182">
        <v>310.27</v>
      </c>
      <c r="I50" s="186">
        <v>302.065</v>
      </c>
      <c r="J50" s="193">
        <f>H50-I50</f>
        <v>8.2049999999999841</v>
      </c>
      <c r="K50" s="190">
        <f>J50^2</f>
        <v>67.322024999999741</v>
      </c>
      <c r="N50" s="153" t="s">
        <v>163</v>
      </c>
      <c r="O50" s="1">
        <v>16</v>
      </c>
    </row>
    <row r="51" spans="2:18">
      <c r="B51" s="135">
        <v>-1</v>
      </c>
      <c r="C51" s="128">
        <v>-1</v>
      </c>
      <c r="D51" s="128">
        <v>1</v>
      </c>
      <c r="E51" s="128">
        <v>1</v>
      </c>
      <c r="F51" s="128">
        <v>-1</v>
      </c>
      <c r="G51" s="128">
        <v>-1</v>
      </c>
      <c r="H51" s="183">
        <v>362.05</v>
      </c>
      <c r="I51" s="187">
        <v>360</v>
      </c>
      <c r="J51" s="194">
        <f t="shared" ref="J51:J65" si="0">H51-I51</f>
        <v>2.0500000000000114</v>
      </c>
      <c r="K51" s="191">
        <f t="shared" ref="K51:K65" si="1">J51^2</f>
        <v>4.2025000000000468</v>
      </c>
      <c r="N51" s="199" t="s">
        <v>164</v>
      </c>
      <c r="O51" s="200">
        <v>8</v>
      </c>
    </row>
    <row r="52" spans="2:18">
      <c r="B52" s="135">
        <v>-1</v>
      </c>
      <c r="C52" s="128">
        <v>1</v>
      </c>
      <c r="D52" s="128">
        <v>-1</v>
      </c>
      <c r="E52" s="128">
        <v>-1</v>
      </c>
      <c r="F52" s="128">
        <v>1</v>
      </c>
      <c r="G52" s="128">
        <v>-1</v>
      </c>
      <c r="H52" s="183">
        <v>354.08</v>
      </c>
      <c r="I52" s="187">
        <v>349.40999999999997</v>
      </c>
      <c r="J52" s="194">
        <f t="shared" si="0"/>
        <v>4.6700000000000159</v>
      </c>
      <c r="K52" s="191">
        <f t="shared" si="1"/>
        <v>21.808900000000147</v>
      </c>
      <c r="N52" s="201" t="s">
        <v>180</v>
      </c>
      <c r="O52" s="69">
        <f>O50-O51</f>
        <v>8</v>
      </c>
    </row>
    <row r="53" spans="2:18">
      <c r="B53" s="135">
        <v>-1</v>
      </c>
      <c r="C53" s="128">
        <v>1</v>
      </c>
      <c r="D53" s="128">
        <v>1</v>
      </c>
      <c r="E53" s="128">
        <v>-1</v>
      </c>
      <c r="F53" s="128">
        <v>-1</v>
      </c>
      <c r="G53" s="128">
        <v>1</v>
      </c>
      <c r="H53" s="183">
        <v>423.94</v>
      </c>
      <c r="I53" s="187">
        <v>426.35500000000002</v>
      </c>
      <c r="J53" s="194">
        <f t="shared" si="0"/>
        <v>-2.4150000000000205</v>
      </c>
      <c r="K53" s="191">
        <f t="shared" si="1"/>
        <v>5.8322250000000988</v>
      </c>
    </row>
    <row r="54" spans="2:18">
      <c r="B54" s="135">
        <v>1</v>
      </c>
      <c r="C54" s="128">
        <v>-1</v>
      </c>
      <c r="D54" s="128">
        <v>-1</v>
      </c>
      <c r="E54" s="128">
        <v>-1</v>
      </c>
      <c r="F54" s="128">
        <v>-1</v>
      </c>
      <c r="G54" s="128">
        <v>1</v>
      </c>
      <c r="H54" s="183">
        <v>374.24</v>
      </c>
      <c r="I54" s="187">
        <v>372.6</v>
      </c>
      <c r="J54" s="194">
        <f t="shared" si="0"/>
        <v>1.6399999999999864</v>
      </c>
      <c r="K54" s="191">
        <f t="shared" si="1"/>
        <v>2.6895999999999551</v>
      </c>
      <c r="M54" s="438" t="s">
        <v>167</v>
      </c>
      <c r="N54" s="438"/>
      <c r="O54" s="438"/>
      <c r="P54" s="438"/>
    </row>
    <row r="55" spans="2:18">
      <c r="B55" s="135">
        <v>1</v>
      </c>
      <c r="C55" s="128">
        <v>-1</v>
      </c>
      <c r="D55" s="128">
        <v>1</v>
      </c>
      <c r="E55" s="128">
        <v>-1</v>
      </c>
      <c r="F55" s="128">
        <v>1</v>
      </c>
      <c r="G55" s="128">
        <v>-1</v>
      </c>
      <c r="H55" s="183">
        <v>450.52</v>
      </c>
      <c r="I55" s="187">
        <v>450.78999999999996</v>
      </c>
      <c r="J55" s="194">
        <f t="shared" si="0"/>
        <v>-0.26999999999998181</v>
      </c>
      <c r="K55" s="191">
        <f t="shared" si="1"/>
        <v>7.2899999999990181E-2</v>
      </c>
      <c r="N55" s="201" t="s">
        <v>165</v>
      </c>
      <c r="O55" s="69">
        <f>D33</f>
        <v>255.42365624999874</v>
      </c>
    </row>
    <row r="56" spans="2:18">
      <c r="B56" s="135">
        <v>1</v>
      </c>
      <c r="C56" s="128">
        <v>1</v>
      </c>
      <c r="D56" s="128">
        <v>-1</v>
      </c>
      <c r="E56" s="128">
        <v>1</v>
      </c>
      <c r="F56" s="128">
        <v>-1</v>
      </c>
      <c r="G56" s="128">
        <v>-1</v>
      </c>
      <c r="H56" s="183">
        <v>505.85</v>
      </c>
      <c r="I56" s="187">
        <v>501.09500000000003</v>
      </c>
      <c r="J56" s="194">
        <f t="shared" si="0"/>
        <v>4.7549999999999955</v>
      </c>
      <c r="K56" s="191">
        <f t="shared" si="1"/>
        <v>22.610024999999958</v>
      </c>
    </row>
    <row r="57" spans="2:18" ht="15.75" thickBot="1">
      <c r="B57" s="135">
        <v>1</v>
      </c>
      <c r="C57" s="128">
        <v>1</v>
      </c>
      <c r="D57" s="128">
        <v>1</v>
      </c>
      <c r="E57" s="128">
        <v>1</v>
      </c>
      <c r="F57" s="128">
        <v>1</v>
      </c>
      <c r="G57" s="128">
        <v>1</v>
      </c>
      <c r="H57" s="183">
        <v>599.87</v>
      </c>
      <c r="I57" s="188">
        <v>601.29999999999995</v>
      </c>
      <c r="J57" s="195">
        <f t="shared" si="0"/>
        <v>-1.42999999999995</v>
      </c>
      <c r="K57" s="192">
        <f t="shared" si="1"/>
        <v>2.0448999999998567</v>
      </c>
      <c r="M57" s="438" t="s">
        <v>166</v>
      </c>
      <c r="N57" s="438"/>
      <c r="O57" s="438"/>
      <c r="P57" s="438"/>
    </row>
    <row r="58" spans="2:18">
      <c r="B58" s="135">
        <v>-1</v>
      </c>
      <c r="C58" s="128">
        <v>-1</v>
      </c>
      <c r="D58" s="128">
        <v>-1</v>
      </c>
      <c r="E58" s="128">
        <v>1</v>
      </c>
      <c r="F58" s="128">
        <v>1</v>
      </c>
      <c r="G58" s="128">
        <v>1</v>
      </c>
      <c r="H58" s="183">
        <v>293.86</v>
      </c>
      <c r="I58" s="189">
        <v>302.065</v>
      </c>
      <c r="J58" s="193">
        <f t="shared" si="0"/>
        <v>-8.2049999999999841</v>
      </c>
      <c r="K58" s="198">
        <f t="shared" si="1"/>
        <v>67.322024999999741</v>
      </c>
      <c r="L58" s="146"/>
      <c r="N58" s="201" t="s">
        <v>181</v>
      </c>
      <c r="O58" s="202">
        <f>O55-K67</f>
        <v>2.2575062499988405</v>
      </c>
    </row>
    <row r="59" spans="2:18">
      <c r="B59" s="135">
        <v>-1</v>
      </c>
      <c r="C59" s="128">
        <v>-1</v>
      </c>
      <c r="D59" s="128">
        <v>1</v>
      </c>
      <c r="E59" s="128">
        <v>1</v>
      </c>
      <c r="F59" s="128">
        <v>-1</v>
      </c>
      <c r="G59" s="128">
        <v>-1</v>
      </c>
      <c r="H59" s="183">
        <v>357.95</v>
      </c>
      <c r="I59" s="187">
        <v>360</v>
      </c>
      <c r="J59" s="194">
        <f t="shared" si="0"/>
        <v>-2.0500000000000114</v>
      </c>
      <c r="K59" s="191">
        <f t="shared" si="1"/>
        <v>4.2025000000000468</v>
      </c>
    </row>
    <row r="60" spans="2:18">
      <c r="B60" s="135">
        <v>-1</v>
      </c>
      <c r="C60" s="128">
        <v>1</v>
      </c>
      <c r="D60" s="128">
        <v>-1</v>
      </c>
      <c r="E60" s="128">
        <v>-1</v>
      </c>
      <c r="F60" s="128">
        <v>1</v>
      </c>
      <c r="G60" s="128">
        <v>-1</v>
      </c>
      <c r="H60" s="183">
        <v>344.74</v>
      </c>
      <c r="I60" s="187">
        <v>349.40999999999997</v>
      </c>
      <c r="J60" s="194">
        <f t="shared" si="0"/>
        <v>-4.6699999999999591</v>
      </c>
      <c r="K60" s="191">
        <f t="shared" si="1"/>
        <v>21.808899999999618</v>
      </c>
      <c r="M60" s="438" t="s">
        <v>168</v>
      </c>
      <c r="N60" s="438"/>
      <c r="O60" s="438"/>
      <c r="P60" s="438"/>
    </row>
    <row r="61" spans="2:18">
      <c r="B61" s="135">
        <v>-1</v>
      </c>
      <c r="C61" s="128">
        <v>1</v>
      </c>
      <c r="D61" s="128">
        <v>1</v>
      </c>
      <c r="E61" s="128">
        <v>-1</v>
      </c>
      <c r="F61" s="128">
        <v>-1</v>
      </c>
      <c r="G61" s="128">
        <v>1</v>
      </c>
      <c r="H61" s="183">
        <v>428.77</v>
      </c>
      <c r="I61" s="187">
        <v>426.35500000000002</v>
      </c>
      <c r="J61" s="194">
        <f t="shared" si="0"/>
        <v>2.4149999999999636</v>
      </c>
      <c r="K61" s="191">
        <f t="shared" si="1"/>
        <v>5.8322249999998244</v>
      </c>
      <c r="N61" s="153" t="s">
        <v>164</v>
      </c>
      <c r="O61" s="1">
        <v>8</v>
      </c>
    </row>
    <row r="62" spans="2:18">
      <c r="B62" s="135">
        <v>1</v>
      </c>
      <c r="C62" s="128">
        <v>-1</v>
      </c>
      <c r="D62" s="128">
        <v>-1</v>
      </c>
      <c r="E62" s="128">
        <v>-1</v>
      </c>
      <c r="F62" s="128">
        <v>-1</v>
      </c>
      <c r="G62" s="128">
        <v>1</v>
      </c>
      <c r="H62" s="183">
        <v>370.96</v>
      </c>
      <c r="I62" s="187">
        <v>372.6</v>
      </c>
      <c r="J62" s="194">
        <f t="shared" si="0"/>
        <v>-1.6400000000000432</v>
      </c>
      <c r="K62" s="191">
        <f t="shared" si="1"/>
        <v>2.6896000000001417</v>
      </c>
      <c r="N62" s="199" t="s">
        <v>169</v>
      </c>
      <c r="O62" s="200">
        <v>7</v>
      </c>
      <c r="P62" s="451" t="s">
        <v>170</v>
      </c>
      <c r="Q62" s="451"/>
      <c r="R62" s="451"/>
    </row>
    <row r="63" spans="2:18">
      <c r="B63" s="135">
        <v>1</v>
      </c>
      <c r="C63" s="128">
        <v>-1</v>
      </c>
      <c r="D63" s="128">
        <v>1</v>
      </c>
      <c r="E63" s="128">
        <v>-1</v>
      </c>
      <c r="F63" s="128">
        <v>1</v>
      </c>
      <c r="G63" s="128">
        <v>-1</v>
      </c>
      <c r="H63" s="183">
        <v>451.06</v>
      </c>
      <c r="I63" s="187">
        <v>450.78999999999996</v>
      </c>
      <c r="J63" s="194">
        <f t="shared" si="0"/>
        <v>0.27000000000003865</v>
      </c>
      <c r="K63" s="191">
        <f t="shared" si="1"/>
        <v>7.2900000000020879E-2</v>
      </c>
      <c r="N63" s="201" t="s">
        <v>179</v>
      </c>
      <c r="O63" s="69">
        <f>O61-O62</f>
        <v>1</v>
      </c>
    </row>
    <row r="64" spans="2:18">
      <c r="B64" s="135">
        <v>1</v>
      </c>
      <c r="C64" s="128">
        <v>1</v>
      </c>
      <c r="D64" s="128">
        <v>-1</v>
      </c>
      <c r="E64" s="128">
        <v>1</v>
      </c>
      <c r="F64" s="128">
        <v>-1</v>
      </c>
      <c r="G64" s="128">
        <v>-1</v>
      </c>
      <c r="H64" s="183">
        <v>496.34</v>
      </c>
      <c r="I64" s="187">
        <v>501.09500000000003</v>
      </c>
      <c r="J64" s="194">
        <f t="shared" si="0"/>
        <v>-4.7550000000000523</v>
      </c>
      <c r="K64" s="191">
        <f t="shared" si="1"/>
        <v>22.610025000000498</v>
      </c>
    </row>
    <row r="65" spans="2:15" ht="15.75" thickBot="1">
      <c r="B65" s="137">
        <v>1</v>
      </c>
      <c r="C65" s="138">
        <v>1</v>
      </c>
      <c r="D65" s="138">
        <v>1</v>
      </c>
      <c r="E65" s="138">
        <v>1</v>
      </c>
      <c r="F65" s="138">
        <v>1</v>
      </c>
      <c r="G65" s="138">
        <v>1</v>
      </c>
      <c r="H65" s="184">
        <v>602.73</v>
      </c>
      <c r="I65" s="188">
        <v>601.29999999999995</v>
      </c>
      <c r="J65" s="195">
        <f t="shared" si="0"/>
        <v>1.4300000000000637</v>
      </c>
      <c r="K65" s="192">
        <f t="shared" si="1"/>
        <v>2.0449000000001822</v>
      </c>
    </row>
    <row r="66" spans="2:15">
      <c r="J66" s="203" t="s">
        <v>162</v>
      </c>
      <c r="K66" s="204">
        <f>SUM(K50:K65)</f>
        <v>253.1661499999999</v>
      </c>
    </row>
    <row r="67" spans="2:15">
      <c r="B67" s="69"/>
      <c r="C67" s="69"/>
      <c r="D67" s="69"/>
      <c r="J67" s="201" t="s">
        <v>172</v>
      </c>
      <c r="K67" s="202">
        <f>K66</f>
        <v>253.1661499999999</v>
      </c>
    </row>
    <row r="68" spans="2:15" ht="15.75" thickBot="1">
      <c r="B68" t="s">
        <v>65</v>
      </c>
      <c r="H68" s="209"/>
    </row>
    <row r="69" spans="2:15">
      <c r="B69" s="141"/>
      <c r="C69" s="141" t="s">
        <v>70</v>
      </c>
      <c r="D69" s="141" t="s">
        <v>71</v>
      </c>
      <c r="E69" s="141" t="s">
        <v>72</v>
      </c>
      <c r="F69" s="141" t="s">
        <v>73</v>
      </c>
      <c r="G69" s="141" t="s">
        <v>74</v>
      </c>
      <c r="H69" s="210" t="s">
        <v>177</v>
      </c>
      <c r="M69" s="205" t="s">
        <v>171</v>
      </c>
      <c r="N69" s="206">
        <f>(O58/O63)/(K67/O52)</f>
        <v>7.1336748613472736E-2</v>
      </c>
    </row>
    <row r="70" spans="2:15">
      <c r="B70" t="s">
        <v>66</v>
      </c>
      <c r="C70">
        <v>6</v>
      </c>
      <c r="D70">
        <v>130340.2183875</v>
      </c>
      <c r="E70">
        <v>21723.369731250001</v>
      </c>
      <c r="F70">
        <v>765.43547473884757</v>
      </c>
      <c r="G70">
        <v>1.1530575391240765E-11</v>
      </c>
      <c r="H70" s="211">
        <f>_xlfn.F.INV(0.95,C70,C71)</f>
        <v>3.3737536470392131</v>
      </c>
    </row>
    <row r="71" spans="2:15">
      <c r="B71" t="s">
        <v>67</v>
      </c>
      <c r="C71">
        <v>9</v>
      </c>
      <c r="D71">
        <v>255.42365624999874</v>
      </c>
      <c r="E71">
        <v>28.380406249999862</v>
      </c>
      <c r="H71" s="211"/>
      <c r="M71" s="434" t="s">
        <v>173</v>
      </c>
      <c r="N71" s="434"/>
      <c r="O71" s="434"/>
    </row>
    <row r="72" spans="2:15">
      <c r="B72" s="207" t="s">
        <v>175</v>
      </c>
      <c r="C72" s="207">
        <f>C71-C73</f>
        <v>1</v>
      </c>
      <c r="D72" s="208">
        <f>D71-D73</f>
        <v>2.2575062499988405</v>
      </c>
      <c r="E72" s="207">
        <f>D72/C72</f>
        <v>2.2575062499988405</v>
      </c>
      <c r="F72" s="207">
        <f>E72/E73</f>
        <v>7.1336748613472736E-2</v>
      </c>
      <c r="G72" s="207">
        <f>_xlfn.F.INV(0.95,C72,C73)</f>
        <v>5.3176550715787139</v>
      </c>
      <c r="H72" s="211">
        <f>1-_xlfn.F.DIST(F72,C72,C73,1)</f>
        <v>0.79615643952865944</v>
      </c>
      <c r="N72" s="213" t="s">
        <v>169</v>
      </c>
      <c r="O72" s="214">
        <f>_xlfn.F.DIST.RT(N69,O63,O52)</f>
        <v>0.79615643952865944</v>
      </c>
    </row>
    <row r="73" spans="2:15">
      <c r="B73" s="207" t="s">
        <v>176</v>
      </c>
      <c r="C73" s="207">
        <f>O52</f>
        <v>8</v>
      </c>
      <c r="D73" s="208">
        <f>K67</f>
        <v>253.1661499999999</v>
      </c>
      <c r="E73" s="207">
        <f>D73/C73</f>
        <v>31.645768749999988</v>
      </c>
      <c r="F73" s="207"/>
      <c r="G73" s="207"/>
      <c r="H73" s="211"/>
    </row>
    <row r="74" spans="2:15" ht="15.75" thickBot="1">
      <c r="B74" s="140" t="s">
        <v>68</v>
      </c>
      <c r="C74" s="140">
        <v>15</v>
      </c>
      <c r="D74" s="140">
        <v>130595.64204375001</v>
      </c>
      <c r="E74" s="140"/>
      <c r="F74" s="140"/>
      <c r="G74" s="140"/>
      <c r="H74" s="212"/>
    </row>
    <row r="76" spans="2:15" ht="15.75" thickBot="1"/>
    <row r="77" spans="2:15" ht="15.75" thickBot="1">
      <c r="D77" s="444" t="s">
        <v>178</v>
      </c>
      <c r="E77" s="445"/>
      <c r="F77" s="445"/>
      <c r="G77" s="446"/>
    </row>
    <row r="78" spans="2:15">
      <c r="D78" s="215" t="s">
        <v>174</v>
      </c>
      <c r="G78" s="216"/>
    </row>
    <row r="79" spans="2:15">
      <c r="B79" s="144"/>
      <c r="C79" s="144"/>
      <c r="D79" s="441" t="s">
        <v>182</v>
      </c>
      <c r="E79" s="442"/>
      <c r="F79" s="442"/>
      <c r="G79" s="443"/>
    </row>
    <row r="80" spans="2:15">
      <c r="D80" s="217" t="s">
        <v>183</v>
      </c>
      <c r="E80">
        <f>F72</f>
        <v>7.1336748613472736E-2</v>
      </c>
      <c r="F80" s="447" t="s">
        <v>184</v>
      </c>
      <c r="G80" s="448"/>
      <c r="H80" s="449" t="s">
        <v>186</v>
      </c>
      <c r="I80" s="450"/>
    </row>
    <row r="81" spans="1:18">
      <c r="D81" s="217" t="s">
        <v>171</v>
      </c>
      <c r="E81">
        <f>G72</f>
        <v>5.3176550715787139</v>
      </c>
      <c r="G81" s="216"/>
    </row>
    <row r="82" spans="1:18" ht="15.75" thickBot="1">
      <c r="D82" s="218" t="s">
        <v>169</v>
      </c>
      <c r="E82" s="219">
        <f>O72</f>
        <v>0.79615643952865944</v>
      </c>
      <c r="F82" s="219" t="s">
        <v>185</v>
      </c>
      <c r="G82" s="220"/>
      <c r="H82" s="437" t="s">
        <v>187</v>
      </c>
      <c r="I82" s="438"/>
      <c r="J82" s="438"/>
    </row>
    <row r="83" spans="1:18" ht="15.75" thickBot="1"/>
    <row r="84" spans="1:18" ht="15.75" thickBot="1">
      <c r="C84" s="144"/>
      <c r="D84" s="144"/>
      <c r="E84" s="144"/>
      <c r="F84" s="144"/>
      <c r="G84" s="452" t="s">
        <v>188</v>
      </c>
      <c r="H84" s="453"/>
      <c r="I84" s="453"/>
      <c r="J84" s="453"/>
      <c r="K84" s="453"/>
      <c r="L84" s="453"/>
      <c r="M84" s="453"/>
      <c r="N84" s="454"/>
    </row>
    <row r="86" spans="1:18" ht="15.75" thickBot="1"/>
    <row r="87" spans="1:18" ht="20.100000000000001" customHeight="1" thickBot="1">
      <c r="A87" s="377" t="s">
        <v>189</v>
      </c>
      <c r="B87" s="378"/>
      <c r="C87" s="378"/>
      <c r="D87" s="378"/>
      <c r="E87" s="378"/>
      <c r="F87" s="378"/>
      <c r="G87" s="378"/>
      <c r="H87" s="378"/>
      <c r="I87" s="378"/>
      <c r="J87" s="378"/>
      <c r="K87" s="378"/>
      <c r="L87" s="378"/>
      <c r="M87" s="378"/>
      <c r="N87" s="378"/>
      <c r="O87" s="378"/>
      <c r="P87" s="378"/>
      <c r="Q87" s="378"/>
      <c r="R87" s="379"/>
    </row>
    <row r="89" spans="1:18">
      <c r="B89" s="461" t="s">
        <v>192</v>
      </c>
      <c r="C89" s="462"/>
      <c r="E89" s="461" t="s">
        <v>194</v>
      </c>
      <c r="F89" s="462"/>
      <c r="H89" s="463" t="s">
        <v>196</v>
      </c>
      <c r="I89" s="464"/>
      <c r="J89" s="464"/>
      <c r="K89" s="465"/>
    </row>
    <row r="90" spans="1:18">
      <c r="B90" s="473" t="s">
        <v>190</v>
      </c>
      <c r="C90" s="474"/>
      <c r="E90" s="227"/>
      <c r="F90" s="228"/>
      <c r="H90" s="466" t="s">
        <v>197</v>
      </c>
      <c r="I90" s="467"/>
      <c r="J90" s="467"/>
      <c r="K90" s="468"/>
    </row>
    <row r="91" spans="1:18">
      <c r="B91" s="435" t="s">
        <v>191</v>
      </c>
      <c r="C91" s="436"/>
      <c r="E91" s="227"/>
      <c r="F91" s="228"/>
      <c r="H91" s="469"/>
      <c r="I91" s="470"/>
      <c r="J91" s="470"/>
      <c r="K91" s="471"/>
    </row>
    <row r="92" spans="1:18">
      <c r="E92" s="229" t="s">
        <v>171</v>
      </c>
      <c r="F92" s="230">
        <f>(C97/C95)/(C96/C94)</f>
        <v>7.1336748613472736E-2</v>
      </c>
      <c r="I92" s="472" t="s">
        <v>198</v>
      </c>
      <c r="J92" s="472"/>
      <c r="K92" s="472"/>
    </row>
    <row r="93" spans="1:18">
      <c r="B93" s="461" t="s">
        <v>193</v>
      </c>
      <c r="C93" s="462"/>
    </row>
    <row r="94" spans="1:18" ht="15" customHeight="1">
      <c r="B94" s="222" t="s">
        <v>180</v>
      </c>
      <c r="C94" s="223">
        <f>O52</f>
        <v>8</v>
      </c>
      <c r="E94" s="461" t="s">
        <v>177</v>
      </c>
      <c r="F94" s="462"/>
      <c r="H94" s="233"/>
      <c r="I94" s="233"/>
      <c r="J94" s="233"/>
      <c r="K94" s="233"/>
      <c r="L94" s="233"/>
      <c r="M94" s="233"/>
      <c r="N94" s="233"/>
      <c r="O94" s="233"/>
    </row>
    <row r="95" spans="1:18">
      <c r="B95" s="222" t="s">
        <v>179</v>
      </c>
      <c r="C95" s="223">
        <f>O63</f>
        <v>1</v>
      </c>
      <c r="E95" s="229" t="s">
        <v>195</v>
      </c>
      <c r="F95" s="231">
        <f>_xlfn.F.INV(0.95,C95,C94)</f>
        <v>5.3176550715787139</v>
      </c>
      <c r="H95" s="233"/>
      <c r="I95" s="233"/>
      <c r="J95" s="233"/>
      <c r="K95" s="233"/>
      <c r="L95" s="233"/>
      <c r="M95" s="233"/>
      <c r="N95" s="233"/>
      <c r="O95" s="233"/>
    </row>
    <row r="96" spans="1:18">
      <c r="B96" s="222" t="s">
        <v>172</v>
      </c>
      <c r="C96" s="224">
        <f>K67</f>
        <v>253.1661499999999</v>
      </c>
    </row>
    <row r="97" spans="1:18">
      <c r="B97" s="225" t="s">
        <v>181</v>
      </c>
      <c r="C97" s="226">
        <f>O58</f>
        <v>2.2575062499988405</v>
      </c>
      <c r="E97" s="461" t="s">
        <v>174</v>
      </c>
      <c r="F97" s="462"/>
    </row>
    <row r="98" spans="1:18" ht="15.75" thickBot="1"/>
    <row r="99" spans="1:18" s="39" customFormat="1" ht="20.100000000000001" customHeight="1" thickBot="1">
      <c r="A99" s="458" t="s">
        <v>199</v>
      </c>
      <c r="B99" s="459"/>
      <c r="C99" s="459"/>
      <c r="D99" s="459"/>
      <c r="E99" s="459"/>
      <c r="F99" s="459"/>
      <c r="G99" s="459"/>
      <c r="H99" s="459"/>
      <c r="I99" s="459"/>
      <c r="J99" s="459"/>
      <c r="K99" s="459"/>
      <c r="L99" s="459"/>
      <c r="M99" s="459"/>
      <c r="N99" s="459"/>
      <c r="O99" s="459"/>
      <c r="P99" s="459"/>
      <c r="Q99" s="459"/>
      <c r="R99" s="460"/>
    </row>
    <row r="101" spans="1:18" ht="15.75" thickBot="1"/>
    <row r="102" spans="1:18" ht="20.100000000000001" customHeight="1" thickBot="1">
      <c r="A102" s="377" t="s">
        <v>116</v>
      </c>
      <c r="B102" s="378"/>
      <c r="C102" s="378"/>
      <c r="D102" s="378"/>
      <c r="E102" s="378"/>
      <c r="F102" s="378"/>
      <c r="G102" s="378"/>
      <c r="H102" s="378"/>
      <c r="I102" s="378"/>
      <c r="J102" s="378"/>
      <c r="K102" s="378"/>
      <c r="L102" s="378"/>
      <c r="M102" s="378"/>
      <c r="N102" s="378"/>
      <c r="O102" s="378"/>
      <c r="P102" s="378"/>
      <c r="Q102" s="378"/>
      <c r="R102" s="379"/>
    </row>
    <row r="104" spans="1:18">
      <c r="B104" s="234" t="s">
        <v>117</v>
      </c>
      <c r="C104" s="455" t="s">
        <v>273</v>
      </c>
      <c r="D104" s="455"/>
      <c r="E104" s="455"/>
      <c r="J104" s="234" t="s">
        <v>117</v>
      </c>
      <c r="K104" s="455" t="s">
        <v>274</v>
      </c>
      <c r="L104" s="455"/>
      <c r="M104" s="455"/>
    </row>
    <row r="105" spans="1:18" ht="15.75" thickBot="1"/>
    <row r="106" spans="1:18">
      <c r="B106" s="141" t="s">
        <v>118</v>
      </c>
      <c r="C106" s="141" t="s">
        <v>119</v>
      </c>
      <c r="D106" s="141" t="s">
        <v>120</v>
      </c>
      <c r="E106" s="141" t="s">
        <v>121</v>
      </c>
      <c r="J106" s="141" t="s">
        <v>118</v>
      </c>
      <c r="K106" s="141" t="s">
        <v>119</v>
      </c>
      <c r="L106" s="141" t="s">
        <v>120</v>
      </c>
      <c r="M106" s="141" t="s">
        <v>121</v>
      </c>
    </row>
    <row r="107" spans="1:18">
      <c r="B107">
        <v>1</v>
      </c>
      <c r="C107">
        <v>302.06499999999994</v>
      </c>
      <c r="D107">
        <v>8.2050000000000409</v>
      </c>
      <c r="E107">
        <v>1.9971992593868353</v>
      </c>
      <c r="J107">
        <v>1</v>
      </c>
      <c r="K107">
        <v>302.44062499999995</v>
      </c>
      <c r="L107">
        <v>7.8293750000000273</v>
      </c>
      <c r="M107">
        <v>1.8973269066891534</v>
      </c>
    </row>
    <row r="108" spans="1:18">
      <c r="B108">
        <v>2</v>
      </c>
      <c r="C108">
        <v>360</v>
      </c>
      <c r="D108">
        <v>2.0500000000000114</v>
      </c>
      <c r="E108">
        <v>0.49899554926788725</v>
      </c>
      <c r="J108">
        <v>2</v>
      </c>
      <c r="K108">
        <v>359.62437499999999</v>
      </c>
      <c r="L108">
        <v>2.425625000000025</v>
      </c>
      <c r="M108">
        <v>0.58781238324105167</v>
      </c>
    </row>
    <row r="109" spans="1:18">
      <c r="B109">
        <v>3</v>
      </c>
      <c r="C109">
        <v>349.40999999999997</v>
      </c>
      <c r="D109">
        <v>4.6700000000000159</v>
      </c>
      <c r="E109">
        <v>1.1367362024785503</v>
      </c>
      <c r="J109">
        <v>3</v>
      </c>
      <c r="K109">
        <v>349.03437499999995</v>
      </c>
      <c r="L109">
        <v>5.0456250000000296</v>
      </c>
      <c r="M109">
        <v>1.2227285158219503</v>
      </c>
    </row>
    <row r="110" spans="1:18">
      <c r="B110">
        <v>4</v>
      </c>
      <c r="C110">
        <v>426.35500000000002</v>
      </c>
      <c r="D110">
        <v>-2.4150000000000205</v>
      </c>
      <c r="E110">
        <v>-0.58784109828387865</v>
      </c>
      <c r="J110">
        <v>4</v>
      </c>
      <c r="K110">
        <v>426.73062500000003</v>
      </c>
      <c r="L110">
        <v>-2.7906250000000341</v>
      </c>
      <c r="M110">
        <v>-0.67626443987923235</v>
      </c>
    </row>
    <row r="111" spans="1:18">
      <c r="B111">
        <v>5</v>
      </c>
      <c r="C111">
        <v>372.6</v>
      </c>
      <c r="D111">
        <v>1.6399999999999864</v>
      </c>
      <c r="E111">
        <v>0.39919643941430427</v>
      </c>
      <c r="J111">
        <v>5</v>
      </c>
      <c r="K111">
        <v>372.22437500000001</v>
      </c>
      <c r="L111">
        <v>2.015625</v>
      </c>
      <c r="M111">
        <v>0.48845527852418757</v>
      </c>
    </row>
    <row r="112" spans="1:18">
      <c r="B112">
        <v>6</v>
      </c>
      <c r="C112">
        <v>450.78999999999996</v>
      </c>
      <c r="D112">
        <v>-0.26999999999998181</v>
      </c>
      <c r="E112">
        <v>-6.5721365025521825E-2</v>
      </c>
      <c r="J112">
        <v>6</v>
      </c>
      <c r="K112">
        <v>451.16562499999998</v>
      </c>
      <c r="L112">
        <v>-0.64562499999999545</v>
      </c>
      <c r="M112">
        <v>-0.15645714812883171</v>
      </c>
    </row>
    <row r="113" spans="2:13">
      <c r="B113">
        <v>7</v>
      </c>
      <c r="C113">
        <v>501.09499999999991</v>
      </c>
      <c r="D113">
        <v>4.7550000000001091</v>
      </c>
      <c r="E113">
        <v>1.157426261838461</v>
      </c>
      <c r="J113">
        <v>7</v>
      </c>
      <c r="K113">
        <v>501.47062499999993</v>
      </c>
      <c r="L113">
        <v>4.3793750000000955</v>
      </c>
      <c r="M113">
        <v>1.0612732206570721</v>
      </c>
    </row>
    <row r="114" spans="2:13">
      <c r="B114">
        <v>8</v>
      </c>
      <c r="C114">
        <v>601.29999999999995</v>
      </c>
      <c r="D114">
        <v>-1.42999999999995</v>
      </c>
      <c r="E114">
        <v>-0.34807982217221944</v>
      </c>
      <c r="J114">
        <v>8</v>
      </c>
      <c r="K114">
        <v>600.92437499999994</v>
      </c>
      <c r="L114">
        <v>-1.0543749999999363</v>
      </c>
      <c r="M114">
        <v>-0.25551133484348981</v>
      </c>
    </row>
    <row r="115" spans="2:13">
      <c r="B115">
        <v>9</v>
      </c>
      <c r="C115">
        <v>302.06499999999994</v>
      </c>
      <c r="D115">
        <v>-8.2049999999999272</v>
      </c>
      <c r="E115">
        <v>-1.9971992593868075</v>
      </c>
      <c r="J115">
        <v>9</v>
      </c>
      <c r="K115">
        <v>302.44062499999995</v>
      </c>
      <c r="L115">
        <v>-8.5806249999999409</v>
      </c>
      <c r="M115">
        <v>-2.0793806260026435</v>
      </c>
    </row>
    <row r="116" spans="2:13">
      <c r="B116">
        <v>10</v>
      </c>
      <c r="C116">
        <v>360</v>
      </c>
      <c r="D116">
        <v>-2.0500000000000114</v>
      </c>
      <c r="E116">
        <v>-0.49899554926788725</v>
      </c>
      <c r="J116">
        <v>10</v>
      </c>
      <c r="K116">
        <v>359.62437499999999</v>
      </c>
      <c r="L116">
        <v>-1.6743749999999977</v>
      </c>
      <c r="M116">
        <v>-0.4057586639275339</v>
      </c>
    </row>
    <row r="117" spans="2:13">
      <c r="B117">
        <v>11</v>
      </c>
      <c r="C117">
        <v>349.40999999999997</v>
      </c>
      <c r="D117">
        <v>-4.6699999999999591</v>
      </c>
      <c r="E117">
        <v>-1.1367362024785366</v>
      </c>
      <c r="J117">
        <v>11</v>
      </c>
      <c r="K117">
        <v>349.03437499999995</v>
      </c>
      <c r="L117">
        <v>-4.2943749999999454</v>
      </c>
      <c r="M117">
        <v>-1.0406747965084187</v>
      </c>
    </row>
    <row r="118" spans="2:13">
      <c r="B118">
        <v>12</v>
      </c>
      <c r="C118">
        <v>426.35500000000002</v>
      </c>
      <c r="D118">
        <v>2.4149999999999636</v>
      </c>
      <c r="E118">
        <v>0.58784109828386477</v>
      </c>
      <c r="J118">
        <v>12</v>
      </c>
      <c r="K118">
        <v>426.73062500000003</v>
      </c>
      <c r="L118">
        <v>2.03937499999995</v>
      </c>
      <c r="M118">
        <v>0.49421072056570081</v>
      </c>
    </row>
    <row r="119" spans="2:13">
      <c r="B119">
        <v>13</v>
      </c>
      <c r="C119">
        <v>372.6</v>
      </c>
      <c r="D119">
        <v>-1.6400000000000432</v>
      </c>
      <c r="E119">
        <v>-0.39919643941431809</v>
      </c>
      <c r="J119">
        <v>13</v>
      </c>
      <c r="K119">
        <v>372.22437500000001</v>
      </c>
      <c r="L119">
        <v>-1.2643750000000296</v>
      </c>
      <c r="M119">
        <v>-0.30640155921068363</v>
      </c>
    </row>
    <row r="120" spans="2:13">
      <c r="B120">
        <v>14</v>
      </c>
      <c r="C120">
        <v>450.78999999999996</v>
      </c>
      <c r="D120">
        <v>0.27000000000003865</v>
      </c>
      <c r="E120">
        <v>6.5721365025535661E-2</v>
      </c>
      <c r="J120">
        <v>14</v>
      </c>
      <c r="K120">
        <v>451.16562499999998</v>
      </c>
      <c r="L120">
        <v>-0.10562499999997499</v>
      </c>
      <c r="M120">
        <v>-2.5596571184672297E-2</v>
      </c>
    </row>
    <row r="121" spans="2:13">
      <c r="B121">
        <v>15</v>
      </c>
      <c r="C121">
        <v>501.09499999999991</v>
      </c>
      <c r="D121">
        <v>-4.7549999999999386</v>
      </c>
      <c r="E121">
        <v>-1.1574262618384195</v>
      </c>
      <c r="J121">
        <v>15</v>
      </c>
      <c r="K121">
        <v>501.47062499999993</v>
      </c>
      <c r="L121">
        <v>-5.1306249999999523</v>
      </c>
      <c r="M121">
        <v>-1.2433269399705484</v>
      </c>
    </row>
    <row r="122" spans="2:13" ht="15.75" thickBot="1">
      <c r="B122" s="140">
        <v>16</v>
      </c>
      <c r="C122" s="140">
        <v>601.29999999999995</v>
      </c>
      <c r="D122" s="140">
        <v>1.4300000000000637</v>
      </c>
      <c r="E122" s="140">
        <v>0.34807982217224709</v>
      </c>
      <c r="J122" s="140">
        <v>16</v>
      </c>
      <c r="K122" s="140">
        <v>600.92437499999994</v>
      </c>
      <c r="L122" s="140">
        <v>1.8056250000000773</v>
      </c>
      <c r="M122" s="140">
        <v>0.43756505415703517</v>
      </c>
    </row>
    <row r="172" spans="2:15">
      <c r="B172" s="456" t="s">
        <v>214</v>
      </c>
      <c r="C172" s="456"/>
      <c r="D172" s="456"/>
      <c r="E172" s="456"/>
      <c r="F172" s="456"/>
      <c r="G172" s="456"/>
      <c r="J172" s="456" t="s">
        <v>215</v>
      </c>
      <c r="K172" s="456"/>
      <c r="L172" s="456"/>
      <c r="M172" s="456"/>
      <c r="N172" s="456"/>
      <c r="O172" s="456"/>
    </row>
  </sheetData>
  <sortState ref="C98:C113">
    <sortCondition ref="C98"/>
  </sortState>
  <mergeCells count="36">
    <mergeCell ref="C104:E104"/>
    <mergeCell ref="K104:M104"/>
    <mergeCell ref="B172:G172"/>
    <mergeCell ref="J172:O172"/>
    <mergeCell ref="K4:N4"/>
    <mergeCell ref="A99:R99"/>
    <mergeCell ref="E97:F97"/>
    <mergeCell ref="K28:O28"/>
    <mergeCell ref="B93:C93"/>
    <mergeCell ref="E89:F89"/>
    <mergeCell ref="H89:K89"/>
    <mergeCell ref="H90:K91"/>
    <mergeCell ref="I92:K92"/>
    <mergeCell ref="E94:F94"/>
    <mergeCell ref="B89:C89"/>
    <mergeCell ref="B90:C90"/>
    <mergeCell ref="A102:R102"/>
    <mergeCell ref="A47:R47"/>
    <mergeCell ref="H24:O24"/>
    <mergeCell ref="K26:N26"/>
    <mergeCell ref="K25:N25"/>
    <mergeCell ref="D79:G79"/>
    <mergeCell ref="D77:G77"/>
    <mergeCell ref="F80:G80"/>
    <mergeCell ref="H80:I80"/>
    <mergeCell ref="M49:P49"/>
    <mergeCell ref="M54:P54"/>
    <mergeCell ref="M57:P57"/>
    <mergeCell ref="M60:P60"/>
    <mergeCell ref="P62:R62"/>
    <mergeCell ref="G84:N84"/>
    <mergeCell ref="A87:R87"/>
    <mergeCell ref="M71:O71"/>
    <mergeCell ref="B91:C91"/>
    <mergeCell ref="H82:J82"/>
    <mergeCell ref="A1:R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zoomScale="80" zoomScaleNormal="80" workbookViewId="0">
      <selection activeCell="O8" sqref="O8:P8"/>
    </sheetView>
  </sheetViews>
  <sheetFormatPr defaultRowHeight="15"/>
  <cols>
    <col min="1" max="1" width="18" bestFit="1" customWidth="1"/>
    <col min="2" max="2" width="12" bestFit="1" customWidth="1"/>
    <col min="3" max="3" width="14.5703125" bestFit="1" customWidth="1"/>
    <col min="4" max="4" width="12" bestFit="1" customWidth="1"/>
    <col min="5" max="5" width="14.42578125" bestFit="1" customWidth="1"/>
    <col min="6" max="6" width="13.42578125" bestFit="1" customWidth="1"/>
    <col min="7" max="7" width="12" bestFit="1" customWidth="1"/>
    <col min="8" max="8" width="12.42578125" bestFit="1" customWidth="1"/>
    <col min="9" max="9" width="12.5703125" bestFit="1" customWidth="1"/>
    <col min="11" max="11" width="10.140625" bestFit="1" customWidth="1"/>
    <col min="12" max="13" width="10.28515625" bestFit="1" customWidth="1"/>
    <col min="14" max="14" width="12.42578125" bestFit="1" customWidth="1"/>
    <col min="15" max="15" width="9.7109375" bestFit="1" customWidth="1"/>
    <col min="17" max="17" width="9.7109375" bestFit="1" customWidth="1"/>
  </cols>
  <sheetData>
    <row r="1" spans="1:19" ht="20.100000000000001" customHeight="1" thickBot="1">
      <c r="A1" s="377" t="s">
        <v>238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9"/>
    </row>
    <row r="2" spans="1:19" ht="15.75" thickBot="1"/>
    <row r="3" spans="1:19" ht="15.75" thickBot="1">
      <c r="A3" s="483" t="s">
        <v>136</v>
      </c>
      <c r="B3" s="484"/>
      <c r="C3" s="484"/>
      <c r="D3" s="484"/>
      <c r="E3" s="484"/>
      <c r="F3" s="484"/>
      <c r="G3" s="484"/>
      <c r="H3" s="484"/>
      <c r="I3" s="485"/>
    </row>
    <row r="4" spans="1:19" ht="15.75" thickBot="1"/>
    <row r="5" spans="1:19" ht="15.75" thickBot="1">
      <c r="A5" t="s">
        <v>58</v>
      </c>
      <c r="I5" s="287" t="s">
        <v>174</v>
      </c>
      <c r="K5" s="486" t="s">
        <v>263</v>
      </c>
      <c r="L5" s="486"/>
      <c r="M5" s="486"/>
      <c r="N5" s="486"/>
      <c r="O5" s="486"/>
      <c r="P5" s="486"/>
      <c r="Q5" s="486"/>
      <c r="R5" s="486"/>
      <c r="S5" s="486"/>
    </row>
    <row r="6" spans="1:19" ht="15.75" thickBot="1">
      <c r="L6" t="s">
        <v>242</v>
      </c>
      <c r="M6" s="34" t="s">
        <v>101</v>
      </c>
      <c r="N6" s="283" t="s">
        <v>104</v>
      </c>
    </row>
    <row r="7" spans="1:19">
      <c r="A7" s="142" t="s">
        <v>59</v>
      </c>
      <c r="B7" s="142"/>
      <c r="M7" s="34" t="s">
        <v>243</v>
      </c>
      <c r="N7" s="284" t="s">
        <v>128</v>
      </c>
    </row>
    <row r="8" spans="1:19">
      <c r="A8" t="s">
        <v>60</v>
      </c>
      <c r="B8">
        <v>0.9990216033773075</v>
      </c>
      <c r="L8" s="153" t="s">
        <v>244</v>
      </c>
      <c r="M8">
        <f>D22</f>
        <v>45.79736307965964</v>
      </c>
      <c r="N8" t="s">
        <v>246</v>
      </c>
      <c r="O8" s="153" t="s">
        <v>245</v>
      </c>
      <c r="P8">
        <f>_xlfn.T.INV(0.95,9)</f>
        <v>1.8331129326562368</v>
      </c>
    </row>
    <row r="9" spans="1:19" ht="15" customHeight="1">
      <c r="A9" t="s">
        <v>61</v>
      </c>
      <c r="B9">
        <v>0.99804416401456619</v>
      </c>
      <c r="K9" s="476" t="s">
        <v>247</v>
      </c>
      <c r="L9" s="477"/>
      <c r="M9" s="477"/>
      <c r="N9" s="477"/>
      <c r="O9" s="477"/>
      <c r="P9" s="477"/>
      <c r="Q9" s="477"/>
      <c r="R9" s="477"/>
      <c r="S9" s="478"/>
    </row>
    <row r="10" spans="1:19">
      <c r="A10" t="s">
        <v>62</v>
      </c>
      <c r="B10">
        <v>0.9967402733576104</v>
      </c>
      <c r="K10" s="479"/>
      <c r="L10" s="480"/>
      <c r="M10" s="480"/>
      <c r="N10" s="480"/>
      <c r="O10" s="480"/>
      <c r="P10" s="480"/>
      <c r="Q10" s="480"/>
      <c r="R10" s="480"/>
      <c r="S10" s="481"/>
    </row>
    <row r="11" spans="1:19">
      <c r="A11" t="s">
        <v>63</v>
      </c>
      <c r="B11">
        <v>5.3273263697655935</v>
      </c>
    </row>
    <row r="12" spans="1:19" ht="15.75" thickBot="1">
      <c r="A12" s="140" t="s">
        <v>64</v>
      </c>
      <c r="B12" s="140">
        <v>16</v>
      </c>
      <c r="K12" s="475" t="s">
        <v>264</v>
      </c>
      <c r="L12" s="475"/>
      <c r="M12" s="475"/>
      <c r="N12" s="475"/>
      <c r="O12" s="475"/>
      <c r="P12" s="475"/>
      <c r="Q12" s="475"/>
      <c r="R12" s="475"/>
      <c r="S12" s="475"/>
    </row>
    <row r="13" spans="1:19">
      <c r="L13" t="s">
        <v>242</v>
      </c>
      <c r="M13" s="34" t="s">
        <v>108</v>
      </c>
      <c r="N13" s="283" t="s">
        <v>104</v>
      </c>
    </row>
    <row r="14" spans="1:19" ht="15.75" thickBot="1">
      <c r="A14" t="s">
        <v>65</v>
      </c>
      <c r="M14" s="34" t="s">
        <v>248</v>
      </c>
      <c r="N14" s="284" t="s">
        <v>128</v>
      </c>
    </row>
    <row r="15" spans="1:19">
      <c r="A15" s="141"/>
      <c r="B15" s="141" t="s">
        <v>70</v>
      </c>
      <c r="C15" s="141" t="s">
        <v>71</v>
      </c>
      <c r="D15" s="141" t="s">
        <v>72</v>
      </c>
      <c r="E15" s="141" t="s">
        <v>73</v>
      </c>
      <c r="F15" s="141" t="s">
        <v>74</v>
      </c>
      <c r="L15" s="153" t="s">
        <v>249</v>
      </c>
      <c r="M15">
        <f>D23</f>
        <v>36.857606681349175</v>
      </c>
      <c r="N15" t="s">
        <v>246</v>
      </c>
      <c r="O15" s="153" t="s">
        <v>245</v>
      </c>
      <c r="P15">
        <f>_xlfn.T.INV(0.95,9)</f>
        <v>1.8331129326562368</v>
      </c>
    </row>
    <row r="16" spans="1:19">
      <c r="A16" t="s">
        <v>66</v>
      </c>
      <c r="B16">
        <v>6</v>
      </c>
      <c r="C16">
        <v>130340.2183875</v>
      </c>
      <c r="D16">
        <v>21723.369731250001</v>
      </c>
      <c r="E16">
        <v>765.43547473884757</v>
      </c>
      <c r="F16">
        <v>1.1530575391240765E-11</v>
      </c>
      <c r="K16" s="476" t="s">
        <v>250</v>
      </c>
      <c r="L16" s="477"/>
      <c r="M16" s="477"/>
      <c r="N16" s="477"/>
      <c r="O16" s="477"/>
      <c r="P16" s="477"/>
      <c r="Q16" s="477"/>
      <c r="R16" s="477"/>
      <c r="S16" s="478"/>
    </row>
    <row r="17" spans="1:19">
      <c r="A17" t="s">
        <v>67</v>
      </c>
      <c r="B17">
        <v>9</v>
      </c>
      <c r="C17">
        <v>255.42365624999874</v>
      </c>
      <c r="D17">
        <v>28.380406249999862</v>
      </c>
      <c r="K17" s="479"/>
      <c r="L17" s="480"/>
      <c r="M17" s="480"/>
      <c r="N17" s="480"/>
      <c r="O17" s="480"/>
      <c r="P17" s="480"/>
      <c r="Q17" s="480"/>
      <c r="R17" s="480"/>
      <c r="S17" s="481"/>
    </row>
    <row r="18" spans="1:19" ht="15.75" thickBot="1">
      <c r="A18" s="140" t="s">
        <v>68</v>
      </c>
      <c r="B18" s="140">
        <v>15</v>
      </c>
      <c r="C18" s="140">
        <v>130595.64204375001</v>
      </c>
      <c r="D18" s="140"/>
      <c r="E18" s="140"/>
      <c r="F18" s="140"/>
    </row>
    <row r="19" spans="1:19" ht="15.75" thickBot="1">
      <c r="K19" s="482" t="s">
        <v>262</v>
      </c>
      <c r="L19" s="482"/>
      <c r="M19" s="482"/>
      <c r="N19" s="482"/>
      <c r="O19" s="482"/>
      <c r="P19" s="482"/>
      <c r="Q19" s="482"/>
      <c r="R19" s="482"/>
      <c r="S19" s="482"/>
    </row>
    <row r="20" spans="1:19">
      <c r="A20" s="141"/>
      <c r="B20" s="141" t="s">
        <v>75</v>
      </c>
      <c r="C20" s="141" t="s">
        <v>63</v>
      </c>
      <c r="D20" s="141" t="s">
        <v>76</v>
      </c>
      <c r="E20" s="141" t="s">
        <v>77</v>
      </c>
      <c r="F20" s="141" t="s">
        <v>78</v>
      </c>
      <c r="G20" s="141" t="s">
        <v>79</v>
      </c>
      <c r="H20" s="141" t="s">
        <v>80</v>
      </c>
      <c r="I20" s="141" t="s">
        <v>81</v>
      </c>
      <c r="L20" t="s">
        <v>242</v>
      </c>
      <c r="M20" s="34" t="s">
        <v>109</v>
      </c>
      <c r="N20" s="283" t="s">
        <v>104</v>
      </c>
    </row>
    <row r="21" spans="1:19">
      <c r="A21" t="s">
        <v>69</v>
      </c>
      <c r="B21">
        <v>420.45187499999997</v>
      </c>
      <c r="C21">
        <v>1.3318315924413984</v>
      </c>
      <c r="D21">
        <v>315.69447472654105</v>
      </c>
      <c r="E21">
        <v>1.6342088943642465E-19</v>
      </c>
      <c r="F21">
        <v>417.43906262351771</v>
      </c>
      <c r="G21">
        <v>423.46468737648223</v>
      </c>
      <c r="H21">
        <v>417.43906262351771</v>
      </c>
      <c r="I21">
        <v>423.46468737648223</v>
      </c>
      <c r="M21" s="34" t="s">
        <v>251</v>
      </c>
      <c r="N21" s="284" t="s">
        <v>128</v>
      </c>
    </row>
    <row r="22" spans="1:19">
      <c r="A22" s="282" t="s">
        <v>26</v>
      </c>
      <c r="B22" s="282">
        <v>60.994375000000005</v>
      </c>
      <c r="C22" s="282">
        <v>1.3318315924413984</v>
      </c>
      <c r="D22" s="282">
        <v>45.79736307965964</v>
      </c>
      <c r="E22" s="282">
        <v>5.6454551159605037E-12</v>
      </c>
      <c r="F22" s="282">
        <v>57.981562623517753</v>
      </c>
      <c r="G22" s="282">
        <v>64.00718737648225</v>
      </c>
      <c r="H22" s="282">
        <v>57.981562623517753</v>
      </c>
      <c r="I22" s="282">
        <v>64.00718737648225</v>
      </c>
      <c r="L22" s="153" t="s">
        <v>252</v>
      </c>
      <c r="M22">
        <f>D24</f>
        <v>29.40264761869512</v>
      </c>
      <c r="N22" t="s">
        <v>246</v>
      </c>
      <c r="O22" s="153" t="s">
        <v>245</v>
      </c>
      <c r="P22">
        <f>_xlfn.T.INV(0.95,9)</f>
        <v>1.8331129326562368</v>
      </c>
    </row>
    <row r="23" spans="1:19">
      <c r="A23" s="285" t="s">
        <v>27</v>
      </c>
      <c r="B23" s="285">
        <v>49.088124999999998</v>
      </c>
      <c r="C23" s="285">
        <v>1.3318315924413984</v>
      </c>
      <c r="D23" s="285">
        <v>36.857606681349175</v>
      </c>
      <c r="E23" s="285">
        <v>3.9481577325167511E-11</v>
      </c>
      <c r="F23" s="285">
        <v>46.075312623517746</v>
      </c>
      <c r="G23" s="285">
        <v>52.10093737648225</v>
      </c>
      <c r="H23" s="285">
        <v>46.075312623517746</v>
      </c>
      <c r="I23" s="285">
        <v>52.10093737648225</v>
      </c>
      <c r="K23" s="476" t="s">
        <v>253</v>
      </c>
      <c r="L23" s="477"/>
      <c r="M23" s="477"/>
      <c r="N23" s="477"/>
      <c r="O23" s="477"/>
      <c r="P23" s="477"/>
      <c r="Q23" s="477"/>
      <c r="R23" s="477"/>
      <c r="S23" s="478"/>
    </row>
    <row r="24" spans="1:19">
      <c r="A24" s="286" t="s">
        <v>28</v>
      </c>
      <c r="B24" s="286">
        <v>39.159375000000011</v>
      </c>
      <c r="C24" s="286">
        <v>1.3318315924413984</v>
      </c>
      <c r="D24" s="286">
        <v>29.40264761869512</v>
      </c>
      <c r="E24" s="286">
        <v>2.9716067050057525E-10</v>
      </c>
      <c r="F24" s="286">
        <v>36.14656262351776</v>
      </c>
      <c r="G24" s="286">
        <v>42.172187376482263</v>
      </c>
      <c r="H24" s="286">
        <v>36.14656262351776</v>
      </c>
      <c r="I24" s="286">
        <v>42.172187376482263</v>
      </c>
      <c r="K24" s="479"/>
      <c r="L24" s="480"/>
      <c r="M24" s="480"/>
      <c r="N24" s="480"/>
      <c r="O24" s="480"/>
      <c r="P24" s="480"/>
      <c r="Q24" s="480"/>
      <c r="R24" s="480"/>
      <c r="S24" s="481"/>
    </row>
    <row r="25" spans="1:19">
      <c r="A25" t="s">
        <v>37</v>
      </c>
      <c r="B25">
        <v>20.663125000000001</v>
      </c>
      <c r="C25">
        <v>1.3318315924413984</v>
      </c>
      <c r="D25">
        <v>15.514818177666253</v>
      </c>
      <c r="E25">
        <v>8.4123479335251811E-8</v>
      </c>
      <c r="F25">
        <v>17.650312623517753</v>
      </c>
      <c r="G25">
        <v>23.675937376482249</v>
      </c>
      <c r="H25">
        <v>17.650312623517753</v>
      </c>
      <c r="I25">
        <v>23.675937376482249</v>
      </c>
    </row>
    <row r="26" spans="1:19">
      <c r="A26" t="s">
        <v>39</v>
      </c>
      <c r="B26">
        <v>5.4393750000000018</v>
      </c>
      <c r="C26">
        <v>1.3318315924413984</v>
      </c>
      <c r="D26">
        <v>4.0841312301572685</v>
      </c>
      <c r="E26">
        <v>2.7410050609490348E-3</v>
      </c>
      <c r="F26">
        <v>2.4265626235177522</v>
      </c>
      <c r="G26">
        <v>8.4521873764822519</v>
      </c>
      <c r="H26">
        <v>2.4265626235177522</v>
      </c>
      <c r="I26">
        <v>8.4521873764822519</v>
      </c>
    </row>
    <row r="27" spans="1:19" ht="15.75" thickBot="1">
      <c r="A27" s="140" t="s">
        <v>41</v>
      </c>
      <c r="B27" s="140">
        <v>5.1281250000000043</v>
      </c>
      <c r="C27" s="140">
        <v>1.3318315924413984</v>
      </c>
      <c r="D27" s="140">
        <v>3.8504305117132485</v>
      </c>
      <c r="E27" s="140">
        <v>3.903744651167797E-3</v>
      </c>
      <c r="F27" s="140">
        <v>2.1153126235177546</v>
      </c>
      <c r="G27" s="140">
        <v>8.1409373764822544</v>
      </c>
      <c r="H27" s="140">
        <v>2.1153126235177546</v>
      </c>
      <c r="I27" s="140">
        <v>8.1409373764822544</v>
      </c>
    </row>
  </sheetData>
  <mergeCells count="8">
    <mergeCell ref="K12:S12"/>
    <mergeCell ref="K16:S17"/>
    <mergeCell ref="K19:S19"/>
    <mergeCell ref="K23:S24"/>
    <mergeCell ref="A1:S1"/>
    <mergeCell ref="A3:I3"/>
    <mergeCell ref="K9:S10"/>
    <mergeCell ref="K5:S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"/>
  <sheetViews>
    <sheetView zoomScale="80" zoomScaleNormal="80" workbookViewId="0">
      <selection activeCell="J48" sqref="J48"/>
    </sheetView>
  </sheetViews>
  <sheetFormatPr defaultRowHeight="15"/>
  <cols>
    <col min="2" max="2" width="19.5703125" bestFit="1" customWidth="1"/>
    <col min="3" max="6" width="13" bestFit="1" customWidth="1"/>
    <col min="7" max="7" width="13.85546875" bestFit="1" customWidth="1"/>
    <col min="9" max="9" width="12.85546875" bestFit="1" customWidth="1"/>
    <col min="10" max="10" width="15.28515625" customWidth="1"/>
    <col min="11" max="11" width="14.28515625" bestFit="1" customWidth="1"/>
    <col min="12" max="12" width="16.42578125" bestFit="1" customWidth="1"/>
  </cols>
  <sheetData>
    <row r="1" spans="1:19" ht="20.100000000000001" customHeight="1" thickBot="1">
      <c r="A1" s="487" t="s">
        <v>212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9"/>
      <c r="S1" s="146"/>
    </row>
    <row r="2" spans="1:19" ht="15.75" thickBot="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</row>
    <row r="3" spans="1:19" ht="15.75" thickBot="1">
      <c r="A3" s="146"/>
      <c r="B3" s="235" t="s">
        <v>26</v>
      </c>
      <c r="C3" s="236" t="s">
        <v>27</v>
      </c>
      <c r="D3" s="236" t="s">
        <v>28</v>
      </c>
      <c r="E3" s="236" t="s">
        <v>37</v>
      </c>
      <c r="F3" s="236" t="s">
        <v>39</v>
      </c>
      <c r="G3" s="236" t="s">
        <v>41</v>
      </c>
      <c r="H3" s="237" t="s">
        <v>29</v>
      </c>
      <c r="I3" s="321" t="s">
        <v>200</v>
      </c>
      <c r="J3" s="322" t="s">
        <v>201</v>
      </c>
      <c r="K3" s="322" t="s">
        <v>210</v>
      </c>
      <c r="L3" s="323" t="s">
        <v>211</v>
      </c>
      <c r="M3" s="146"/>
      <c r="N3" s="146"/>
      <c r="O3" s="146"/>
      <c r="P3" s="146"/>
      <c r="Q3" s="146"/>
    </row>
    <row r="4" spans="1:19">
      <c r="A4" s="146"/>
      <c r="B4" s="238">
        <v>-1</v>
      </c>
      <c r="C4" s="239">
        <v>-1</v>
      </c>
      <c r="D4" s="239">
        <v>-1</v>
      </c>
      <c r="E4" s="239">
        <v>1</v>
      </c>
      <c r="F4" s="239">
        <v>1</v>
      </c>
      <c r="G4" s="239">
        <v>1</v>
      </c>
      <c r="H4" s="240">
        <v>310.27</v>
      </c>
      <c r="I4" s="315">
        <f>$C$22+$C$23*B4+$C$24*C4+$C$25*D4+$C$26*E4+$C$27*F4+$C$28*G4</f>
        <v>302.44062499999995</v>
      </c>
      <c r="J4" s="241">
        <f>$D$22+$D$24*C4+$D$25*D4+$D$26*E4+$D$27*F4+$D$28*G4</f>
        <v>363.435</v>
      </c>
      <c r="K4" s="241">
        <f>(I4-$C$22)^2</f>
        <v>13926.655126562504</v>
      </c>
      <c r="L4" s="316">
        <f>(J4-$D$22)^2</f>
        <v>3250.9240347656219</v>
      </c>
      <c r="M4" s="146"/>
      <c r="O4" s="146"/>
      <c r="P4" s="146"/>
      <c r="Q4" s="146"/>
    </row>
    <row r="5" spans="1:19">
      <c r="A5" s="146"/>
      <c r="B5" s="242">
        <v>-1</v>
      </c>
      <c r="C5" s="243">
        <v>-1</v>
      </c>
      <c r="D5" s="243">
        <v>1</v>
      </c>
      <c r="E5" s="243">
        <v>1</v>
      </c>
      <c r="F5" s="243">
        <v>-1</v>
      </c>
      <c r="G5" s="243">
        <v>-1</v>
      </c>
      <c r="H5" s="244">
        <v>362.05</v>
      </c>
      <c r="I5" s="317">
        <f t="shared" ref="I5:I19" si="0">$C$22+$C$23*B5+$C$24*C5+$C$25*D5+$C$26*E5+$C$27*F5+$C$28*G5</f>
        <v>359.62437499999999</v>
      </c>
      <c r="J5" s="241">
        <f>$D$22+$D$24*C5+$D$25*D5+$D$26*E5+$D$27*F5+$D$28*G5</f>
        <v>420.61875000000003</v>
      </c>
      <c r="K5" s="241">
        <f t="shared" ref="K5:K19" si="1">(I5-$C$22)^2</f>
        <v>3699.9847562499986</v>
      </c>
      <c r="L5" s="316">
        <f t="shared" ref="L5:L19" si="2">(J5-$D$22)^2</f>
        <v>2.784726562502049E-2</v>
      </c>
      <c r="M5" s="146"/>
      <c r="N5" s="146"/>
      <c r="O5" s="146"/>
      <c r="P5" s="146"/>
      <c r="Q5" s="146"/>
    </row>
    <row r="6" spans="1:19">
      <c r="A6" s="146"/>
      <c r="B6" s="242">
        <v>-1</v>
      </c>
      <c r="C6" s="243">
        <v>1</v>
      </c>
      <c r="D6" s="243">
        <v>-1</v>
      </c>
      <c r="E6" s="243">
        <v>-1</v>
      </c>
      <c r="F6" s="243">
        <v>1</v>
      </c>
      <c r="G6" s="243">
        <v>-1</v>
      </c>
      <c r="H6" s="244">
        <v>354.08</v>
      </c>
      <c r="I6" s="317">
        <f t="shared" si="0"/>
        <v>349.03437499999995</v>
      </c>
      <c r="J6" s="241">
        <f t="shared" ref="J6:J19" si="3">$D$22+$D$24*C6+$D$25*D6+$D$26*E6+$D$27*F6+$D$28*G6</f>
        <v>410.02874999999989</v>
      </c>
      <c r="K6" s="241">
        <f t="shared" si="1"/>
        <v>5100.4593062500026</v>
      </c>
      <c r="L6" s="316">
        <f t="shared" si="2"/>
        <v>108.64153476562676</v>
      </c>
      <c r="M6" s="146"/>
      <c r="N6" s="146"/>
      <c r="O6" s="146"/>
      <c r="P6" s="146"/>
      <c r="Q6" s="146"/>
    </row>
    <row r="7" spans="1:19">
      <c r="A7" s="146"/>
      <c r="B7" s="242">
        <v>-1</v>
      </c>
      <c r="C7" s="243">
        <v>1</v>
      </c>
      <c r="D7" s="243">
        <v>1</v>
      </c>
      <c r="E7" s="243">
        <v>-1</v>
      </c>
      <c r="F7" s="243">
        <v>-1</v>
      </c>
      <c r="G7" s="243">
        <v>1</v>
      </c>
      <c r="H7" s="244">
        <v>423.94</v>
      </c>
      <c r="I7" s="317">
        <f t="shared" si="0"/>
        <v>426.73062500000003</v>
      </c>
      <c r="J7" s="241">
        <f t="shared" si="3"/>
        <v>487.72499999999997</v>
      </c>
      <c r="K7" s="241">
        <f t="shared" si="1"/>
        <v>39.422701562500741</v>
      </c>
      <c r="L7" s="316">
        <f t="shared" si="2"/>
        <v>4525.6733472656242</v>
      </c>
      <c r="M7" s="146"/>
      <c r="N7" s="146"/>
      <c r="O7" s="146"/>
      <c r="P7" s="146"/>
      <c r="Q7" s="146"/>
    </row>
    <row r="8" spans="1:19">
      <c r="A8" s="146"/>
      <c r="B8" s="242">
        <v>1</v>
      </c>
      <c r="C8" s="243">
        <v>-1</v>
      </c>
      <c r="D8" s="243">
        <v>-1</v>
      </c>
      <c r="E8" s="243">
        <v>-1</v>
      </c>
      <c r="F8" s="243">
        <v>-1</v>
      </c>
      <c r="G8" s="243">
        <v>1</v>
      </c>
      <c r="H8" s="244">
        <v>374.24</v>
      </c>
      <c r="I8" s="317">
        <f t="shared" si="0"/>
        <v>372.22437500000001</v>
      </c>
      <c r="J8" s="241">
        <f t="shared" si="3"/>
        <v>311.22999999999996</v>
      </c>
      <c r="K8" s="241">
        <f t="shared" si="1"/>
        <v>2325.8917562499964</v>
      </c>
      <c r="L8" s="316">
        <f t="shared" si="2"/>
        <v>11929.417978515627</v>
      </c>
      <c r="M8" s="146"/>
      <c r="N8" s="146"/>
      <c r="O8" s="146"/>
      <c r="P8" s="146"/>
      <c r="Q8" s="146"/>
    </row>
    <row r="9" spans="1:19">
      <c r="A9" s="146"/>
      <c r="B9" s="242">
        <v>1</v>
      </c>
      <c r="C9" s="243">
        <v>-1</v>
      </c>
      <c r="D9" s="243">
        <v>1</v>
      </c>
      <c r="E9" s="243">
        <v>-1</v>
      </c>
      <c r="F9" s="243">
        <v>1</v>
      </c>
      <c r="G9" s="243">
        <v>-1</v>
      </c>
      <c r="H9" s="244">
        <v>450.52</v>
      </c>
      <c r="I9" s="317">
        <f t="shared" si="0"/>
        <v>451.16562499999998</v>
      </c>
      <c r="J9" s="241">
        <f t="shared" si="3"/>
        <v>390.17124999999993</v>
      </c>
      <c r="K9" s="241">
        <f t="shared" si="1"/>
        <v>943.33443906250022</v>
      </c>
      <c r="L9" s="316">
        <f t="shared" si="2"/>
        <v>916.91625039062762</v>
      </c>
      <c r="M9" s="146"/>
      <c r="N9" s="146"/>
      <c r="O9" s="146"/>
      <c r="P9" s="146"/>
      <c r="Q9" s="146"/>
    </row>
    <row r="10" spans="1:19">
      <c r="A10" s="146"/>
      <c r="B10" s="242">
        <v>1</v>
      </c>
      <c r="C10" s="243">
        <v>1</v>
      </c>
      <c r="D10" s="243">
        <v>-1</v>
      </c>
      <c r="E10" s="243">
        <v>1</v>
      </c>
      <c r="F10" s="243">
        <v>-1</v>
      </c>
      <c r="G10" s="243">
        <v>-1</v>
      </c>
      <c r="H10" s="244">
        <v>505.85</v>
      </c>
      <c r="I10" s="317">
        <f t="shared" si="0"/>
        <v>501.47062499999993</v>
      </c>
      <c r="J10" s="241">
        <f t="shared" si="3"/>
        <v>440.47624999999999</v>
      </c>
      <c r="K10" s="241">
        <f t="shared" si="1"/>
        <v>6564.0378515624925</v>
      </c>
      <c r="L10" s="316">
        <f t="shared" si="2"/>
        <v>400.97559414062584</v>
      </c>
      <c r="M10" s="146"/>
      <c r="N10" s="146"/>
      <c r="O10" s="146"/>
      <c r="P10" s="146"/>
      <c r="Q10" s="146"/>
    </row>
    <row r="11" spans="1:19">
      <c r="A11" s="146"/>
      <c r="B11" s="242">
        <v>1</v>
      </c>
      <c r="C11" s="243">
        <v>1</v>
      </c>
      <c r="D11" s="243">
        <v>1</v>
      </c>
      <c r="E11" s="243">
        <v>1</v>
      </c>
      <c r="F11" s="243">
        <v>1</v>
      </c>
      <c r="G11" s="243">
        <v>1</v>
      </c>
      <c r="H11" s="244">
        <v>599.87</v>
      </c>
      <c r="I11" s="317">
        <f t="shared" si="0"/>
        <v>600.92437499999994</v>
      </c>
      <c r="J11" s="241">
        <f t="shared" si="3"/>
        <v>539.92999999999995</v>
      </c>
      <c r="K11" s="241">
        <f t="shared" si="1"/>
        <v>32570.323256249987</v>
      </c>
      <c r="L11" s="316">
        <f t="shared" si="2"/>
        <v>14275.02235351562</v>
      </c>
      <c r="M11" s="146"/>
      <c r="N11" s="146"/>
      <c r="O11" s="146"/>
      <c r="P11" s="146"/>
      <c r="Q11" s="146"/>
    </row>
    <row r="12" spans="1:19">
      <c r="A12" s="146"/>
      <c r="B12" s="242">
        <v>-1</v>
      </c>
      <c r="C12" s="243">
        <v>-1</v>
      </c>
      <c r="D12" s="243">
        <v>-1</v>
      </c>
      <c r="E12" s="243">
        <v>1</v>
      </c>
      <c r="F12" s="243">
        <v>1</v>
      </c>
      <c r="G12" s="243">
        <v>1</v>
      </c>
      <c r="H12" s="244">
        <v>293.86</v>
      </c>
      <c r="I12" s="317">
        <f t="shared" si="0"/>
        <v>302.44062499999995</v>
      </c>
      <c r="J12" s="241">
        <f t="shared" si="3"/>
        <v>363.435</v>
      </c>
      <c r="K12" s="241">
        <f t="shared" si="1"/>
        <v>13926.655126562504</v>
      </c>
      <c r="L12" s="316">
        <f t="shared" si="2"/>
        <v>3250.9240347656219</v>
      </c>
      <c r="M12" s="146"/>
      <c r="N12" s="146"/>
      <c r="O12" s="146"/>
      <c r="P12" s="146"/>
      <c r="Q12" s="146"/>
    </row>
    <row r="13" spans="1:19">
      <c r="A13" s="146"/>
      <c r="B13" s="242">
        <v>-1</v>
      </c>
      <c r="C13" s="243">
        <v>-1</v>
      </c>
      <c r="D13" s="243">
        <v>1</v>
      </c>
      <c r="E13" s="243">
        <v>1</v>
      </c>
      <c r="F13" s="243">
        <v>-1</v>
      </c>
      <c r="G13" s="243">
        <v>-1</v>
      </c>
      <c r="H13" s="244">
        <v>357.95</v>
      </c>
      <c r="I13" s="317">
        <f t="shared" si="0"/>
        <v>359.62437499999999</v>
      </c>
      <c r="J13" s="241">
        <f t="shared" si="3"/>
        <v>420.61875000000003</v>
      </c>
      <c r="K13" s="241">
        <f t="shared" si="1"/>
        <v>3699.9847562499986</v>
      </c>
      <c r="L13" s="316">
        <f t="shared" si="2"/>
        <v>2.784726562502049E-2</v>
      </c>
      <c r="M13" s="146"/>
      <c r="N13" s="146"/>
      <c r="O13" s="146"/>
      <c r="P13" s="146"/>
      <c r="Q13" s="146"/>
    </row>
    <row r="14" spans="1:19">
      <c r="A14" s="146"/>
      <c r="B14" s="242">
        <v>-1</v>
      </c>
      <c r="C14" s="243">
        <v>1</v>
      </c>
      <c r="D14" s="243">
        <v>-1</v>
      </c>
      <c r="E14" s="243">
        <v>-1</v>
      </c>
      <c r="F14" s="243">
        <v>1</v>
      </c>
      <c r="G14" s="243">
        <v>-1</v>
      </c>
      <c r="H14" s="244">
        <v>344.74</v>
      </c>
      <c r="I14" s="317">
        <f t="shared" si="0"/>
        <v>349.03437499999995</v>
      </c>
      <c r="J14" s="241">
        <f t="shared" si="3"/>
        <v>410.02874999999989</v>
      </c>
      <c r="K14" s="241">
        <f t="shared" si="1"/>
        <v>5100.4593062500026</v>
      </c>
      <c r="L14" s="316">
        <f t="shared" si="2"/>
        <v>108.64153476562676</v>
      </c>
      <c r="M14" s="146"/>
      <c r="N14" s="146"/>
      <c r="O14" s="146"/>
      <c r="P14" s="146"/>
      <c r="Q14" s="146"/>
    </row>
    <row r="15" spans="1:19">
      <c r="A15" s="146"/>
      <c r="B15" s="242">
        <v>-1</v>
      </c>
      <c r="C15" s="243">
        <v>1</v>
      </c>
      <c r="D15" s="243">
        <v>1</v>
      </c>
      <c r="E15" s="243">
        <v>-1</v>
      </c>
      <c r="F15" s="243">
        <v>-1</v>
      </c>
      <c r="G15" s="243">
        <v>1</v>
      </c>
      <c r="H15" s="244">
        <v>428.77</v>
      </c>
      <c r="I15" s="317">
        <f t="shared" si="0"/>
        <v>426.73062500000003</v>
      </c>
      <c r="J15" s="241">
        <f t="shared" si="3"/>
        <v>487.72499999999997</v>
      </c>
      <c r="K15" s="241">
        <f t="shared" si="1"/>
        <v>39.422701562500741</v>
      </c>
      <c r="L15" s="316">
        <f t="shared" si="2"/>
        <v>4525.6733472656242</v>
      </c>
      <c r="M15" s="146"/>
      <c r="N15" s="146"/>
      <c r="O15" s="146"/>
      <c r="P15" s="146"/>
      <c r="Q15" s="146"/>
    </row>
    <row r="16" spans="1:19">
      <c r="A16" s="146"/>
      <c r="B16" s="242">
        <v>1</v>
      </c>
      <c r="C16" s="243">
        <v>-1</v>
      </c>
      <c r="D16" s="243">
        <v>-1</v>
      </c>
      <c r="E16" s="243">
        <v>-1</v>
      </c>
      <c r="F16" s="243">
        <v>-1</v>
      </c>
      <c r="G16" s="243">
        <v>1</v>
      </c>
      <c r="H16" s="244">
        <v>370.96</v>
      </c>
      <c r="I16" s="317">
        <f t="shared" si="0"/>
        <v>372.22437500000001</v>
      </c>
      <c r="J16" s="241">
        <f t="shared" si="3"/>
        <v>311.22999999999996</v>
      </c>
      <c r="K16" s="241">
        <f t="shared" si="1"/>
        <v>2325.8917562499964</v>
      </c>
      <c r="L16" s="316">
        <f t="shared" si="2"/>
        <v>11929.417978515627</v>
      </c>
      <c r="M16" s="146"/>
      <c r="N16" s="146"/>
      <c r="O16" s="146"/>
      <c r="P16" s="146"/>
      <c r="Q16" s="146"/>
    </row>
    <row r="17" spans="1:17">
      <c r="A17" s="146"/>
      <c r="B17" s="242">
        <v>1</v>
      </c>
      <c r="C17" s="243">
        <v>-1</v>
      </c>
      <c r="D17" s="243">
        <v>1</v>
      </c>
      <c r="E17" s="243">
        <v>-1</v>
      </c>
      <c r="F17" s="243">
        <v>1</v>
      </c>
      <c r="G17" s="243">
        <v>-1</v>
      </c>
      <c r="H17" s="244">
        <v>451.06</v>
      </c>
      <c r="I17" s="317">
        <f t="shared" si="0"/>
        <v>451.16562499999998</v>
      </c>
      <c r="J17" s="241">
        <f t="shared" si="3"/>
        <v>390.17124999999993</v>
      </c>
      <c r="K17" s="241">
        <f t="shared" si="1"/>
        <v>943.33443906250022</v>
      </c>
      <c r="L17" s="316">
        <f t="shared" si="2"/>
        <v>916.91625039062762</v>
      </c>
      <c r="M17" s="146"/>
      <c r="N17" s="146"/>
      <c r="O17" s="146"/>
      <c r="P17" s="146"/>
      <c r="Q17" s="146"/>
    </row>
    <row r="18" spans="1:17">
      <c r="A18" s="146"/>
      <c r="B18" s="242">
        <v>1</v>
      </c>
      <c r="C18" s="243">
        <v>1</v>
      </c>
      <c r="D18" s="243">
        <v>-1</v>
      </c>
      <c r="E18" s="243">
        <v>1</v>
      </c>
      <c r="F18" s="243">
        <v>-1</v>
      </c>
      <c r="G18" s="243">
        <v>-1</v>
      </c>
      <c r="H18" s="244">
        <v>496.34</v>
      </c>
      <c r="I18" s="317">
        <f t="shared" si="0"/>
        <v>501.47062499999993</v>
      </c>
      <c r="J18" s="241">
        <f t="shared" si="3"/>
        <v>440.47624999999999</v>
      </c>
      <c r="K18" s="241">
        <f t="shared" si="1"/>
        <v>6564.0378515624925</v>
      </c>
      <c r="L18" s="316">
        <f t="shared" si="2"/>
        <v>400.97559414062584</v>
      </c>
      <c r="M18" s="146"/>
      <c r="N18" s="146"/>
      <c r="O18" s="146"/>
      <c r="P18" s="146"/>
      <c r="Q18" s="146"/>
    </row>
    <row r="19" spans="1:17" ht="15.75" thickBot="1">
      <c r="A19" s="146"/>
      <c r="B19" s="246">
        <v>1</v>
      </c>
      <c r="C19" s="247">
        <v>1</v>
      </c>
      <c r="D19" s="247">
        <v>1</v>
      </c>
      <c r="E19" s="247">
        <v>1</v>
      </c>
      <c r="F19" s="247">
        <v>1</v>
      </c>
      <c r="G19" s="247">
        <v>1</v>
      </c>
      <c r="H19" s="248">
        <v>602.73</v>
      </c>
      <c r="I19" s="318">
        <f t="shared" si="0"/>
        <v>600.92437499999994</v>
      </c>
      <c r="J19" s="319">
        <f t="shared" si="3"/>
        <v>539.92999999999995</v>
      </c>
      <c r="K19" s="319">
        <f t="shared" si="1"/>
        <v>32570.323256249987</v>
      </c>
      <c r="L19" s="320">
        <f t="shared" si="2"/>
        <v>14275.02235351562</v>
      </c>
      <c r="M19" s="146"/>
      <c r="N19" s="146"/>
      <c r="O19" s="146"/>
      <c r="P19" s="146"/>
      <c r="Q19" s="146"/>
    </row>
    <row r="20" spans="1:17" ht="15.75" thickBot="1">
      <c r="A20" s="146"/>
      <c r="B20" s="146"/>
      <c r="C20" s="146"/>
      <c r="D20" s="146"/>
      <c r="E20" s="146"/>
      <c r="F20" s="146"/>
      <c r="G20" s="146"/>
      <c r="H20" s="146"/>
      <c r="I20" s="146"/>
      <c r="J20" s="146"/>
      <c r="K20" s="324">
        <f>SUM(K4:K19)</f>
        <v>130340.21838749996</v>
      </c>
      <c r="L20" s="324">
        <f>SUM(L4:L19)</f>
        <v>70815.197881250002</v>
      </c>
      <c r="M20" s="146"/>
      <c r="N20" s="146"/>
      <c r="O20" s="146"/>
      <c r="P20" s="146"/>
      <c r="Q20" s="146"/>
    </row>
    <row r="21" spans="1:17" ht="15.75" thickBot="1">
      <c r="A21" s="146"/>
      <c r="B21" s="250"/>
      <c r="C21" s="250" t="s">
        <v>75</v>
      </c>
      <c r="D21" s="250" t="s">
        <v>75</v>
      </c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</row>
    <row r="22" spans="1:17" ht="15.75" thickBot="1">
      <c r="A22" s="146"/>
      <c r="B22" s="146" t="s">
        <v>69</v>
      </c>
      <c r="C22" s="146">
        <v>420.45187499999997</v>
      </c>
      <c r="D22" s="146">
        <v>420.45187499999997</v>
      </c>
      <c r="E22" s="146"/>
      <c r="F22" s="146"/>
      <c r="G22" s="146"/>
      <c r="H22" s="146"/>
      <c r="I22" s="146"/>
      <c r="J22" s="146"/>
      <c r="K22" s="326" t="s">
        <v>285</v>
      </c>
      <c r="L22" s="325">
        <f>K20-L20</f>
        <v>59525.020506249959</v>
      </c>
      <c r="M22" s="146"/>
      <c r="N22" s="146"/>
      <c r="O22" s="146"/>
      <c r="P22" s="146"/>
      <c r="Q22" s="146"/>
    </row>
    <row r="23" spans="1:17">
      <c r="A23" s="146"/>
      <c r="B23" s="146" t="s">
        <v>26</v>
      </c>
      <c r="C23" s="146">
        <v>60.994375000000005</v>
      </c>
      <c r="D23" s="146"/>
      <c r="E23" s="146"/>
      <c r="F23" s="146"/>
      <c r="G23" s="146"/>
      <c r="H23" s="146"/>
      <c r="I23" s="146"/>
      <c r="J23" s="146"/>
      <c r="K23" s="146"/>
      <c r="L23" s="249"/>
      <c r="M23" s="146"/>
      <c r="N23" s="146"/>
      <c r="O23" s="146"/>
      <c r="P23" s="146"/>
      <c r="Q23" s="146"/>
    </row>
    <row r="24" spans="1:17">
      <c r="A24" s="146"/>
      <c r="B24" s="146" t="s">
        <v>27</v>
      </c>
      <c r="C24" s="146">
        <v>49.088124999999998</v>
      </c>
      <c r="D24" s="146">
        <v>49.088125000000005</v>
      </c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</row>
    <row r="25" spans="1:17">
      <c r="A25" s="146"/>
      <c r="B25" s="146" t="s">
        <v>28</v>
      </c>
      <c r="C25" s="146">
        <v>39.159375000000011</v>
      </c>
      <c r="D25" s="146">
        <v>39.159374999999997</v>
      </c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</row>
    <row r="26" spans="1:17">
      <c r="A26" s="146"/>
      <c r="B26" s="146" t="s">
        <v>37</v>
      </c>
      <c r="C26" s="146">
        <v>20.663125000000001</v>
      </c>
      <c r="D26" s="146">
        <v>20.663125000000012</v>
      </c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</row>
    <row r="27" spans="1:17">
      <c r="A27" s="146"/>
      <c r="B27" s="146" t="s">
        <v>39</v>
      </c>
      <c r="C27" s="146">
        <v>5.4393750000000018</v>
      </c>
      <c r="D27" s="146">
        <v>5.4393749999999956</v>
      </c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</row>
    <row r="28" spans="1:17" ht="15.75" thickBot="1">
      <c r="A28" s="146"/>
      <c r="B28" s="251" t="s">
        <v>41</v>
      </c>
      <c r="C28" s="251">
        <v>5.1281250000000043</v>
      </c>
      <c r="D28" s="251">
        <v>5.1281250000000087</v>
      </c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</row>
    <row r="29" spans="1:17">
      <c r="A29" s="146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</row>
    <row r="30" spans="1:17" ht="15.75" thickBot="1">
      <c r="A30" s="146"/>
      <c r="B30" s="146" t="s">
        <v>65</v>
      </c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</row>
    <row r="31" spans="1:17">
      <c r="A31" s="146"/>
      <c r="B31" s="250"/>
      <c r="C31" s="250" t="s">
        <v>70</v>
      </c>
      <c r="D31" s="250" t="s">
        <v>71</v>
      </c>
      <c r="E31" s="250" t="s">
        <v>72</v>
      </c>
      <c r="F31" s="250" t="s">
        <v>73</v>
      </c>
      <c r="G31" s="250" t="s">
        <v>74</v>
      </c>
      <c r="H31" s="146"/>
      <c r="I31" s="146"/>
      <c r="J31" s="146"/>
      <c r="K31" s="146"/>
      <c r="L31" s="146"/>
      <c r="M31" s="146"/>
      <c r="N31" s="146"/>
      <c r="O31" s="146"/>
      <c r="P31" s="146"/>
      <c r="Q31" s="146"/>
    </row>
    <row r="32" spans="1:17">
      <c r="A32" s="146"/>
      <c r="B32" s="146" t="s">
        <v>66</v>
      </c>
      <c r="C32" s="146">
        <v>6</v>
      </c>
      <c r="D32" s="146">
        <v>130340.2183875</v>
      </c>
      <c r="E32" s="146">
        <v>21723.369731250001</v>
      </c>
      <c r="F32" s="146">
        <v>765.43547473884757</v>
      </c>
      <c r="G32" s="146">
        <v>1.1530575391240765E-11</v>
      </c>
      <c r="H32" s="146"/>
      <c r="I32" s="146"/>
      <c r="J32" s="146"/>
      <c r="K32" s="146"/>
      <c r="L32" s="146"/>
      <c r="M32" s="146"/>
      <c r="N32" s="146"/>
      <c r="O32" s="146"/>
      <c r="P32" s="146"/>
      <c r="Q32" s="146"/>
    </row>
    <row r="33" spans="1:17">
      <c r="A33" s="146"/>
      <c r="B33" s="146" t="s">
        <v>67</v>
      </c>
      <c r="C33" s="146">
        <v>9</v>
      </c>
      <c r="D33" s="146">
        <v>255.42365624999874</v>
      </c>
      <c r="E33" s="146">
        <v>28.380406249999862</v>
      </c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</row>
    <row r="34" spans="1:17" ht="15.75" thickBot="1">
      <c r="A34" s="146"/>
      <c r="B34" s="251" t="s">
        <v>68</v>
      </c>
      <c r="C34" s="251">
        <v>15</v>
      </c>
      <c r="D34" s="251">
        <v>130595.64204375001</v>
      </c>
      <c r="E34" s="251"/>
      <c r="F34" s="251"/>
      <c r="G34" s="251"/>
      <c r="H34" s="146"/>
      <c r="I34" s="146"/>
      <c r="J34" s="146"/>
      <c r="K34" s="146"/>
      <c r="L34" s="146"/>
      <c r="M34" s="146"/>
      <c r="N34" s="146"/>
      <c r="O34" s="146"/>
      <c r="P34" s="146"/>
      <c r="Q34" s="146"/>
    </row>
    <row r="35" spans="1:17">
      <c r="A35" s="146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</row>
    <row r="36" spans="1:17">
      <c r="A36" s="146"/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</row>
    <row r="37" spans="1:17">
      <c r="A37" s="146"/>
      <c r="B37" s="252" t="s">
        <v>286</v>
      </c>
      <c r="C37" s="245">
        <f>L22</f>
        <v>59525.020506249959</v>
      </c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</row>
    <row r="38" spans="1:17">
      <c r="A38" s="146"/>
      <c r="B38" s="252" t="s">
        <v>202</v>
      </c>
      <c r="C38" s="245">
        <f>D32</f>
        <v>130340.2183875</v>
      </c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</row>
    <row r="39" spans="1:17">
      <c r="A39" s="146"/>
      <c r="B39" s="252" t="s">
        <v>203</v>
      </c>
      <c r="C39" s="328">
        <f>D33</f>
        <v>255.42365624999874</v>
      </c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</row>
    <row r="40" spans="1:17">
      <c r="A40" s="146"/>
      <c r="B40" s="327" t="s">
        <v>204</v>
      </c>
      <c r="C40" s="329">
        <f>(C37/1)/(C39/12)</f>
        <v>2796.5312867335601</v>
      </c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</row>
    <row r="41" spans="1:17">
      <c r="A41" s="146"/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</row>
    <row r="42" spans="1:17">
      <c r="A42" s="146"/>
      <c r="B42" s="490" t="s">
        <v>205</v>
      </c>
      <c r="C42" s="490"/>
      <c r="D42" s="490"/>
      <c r="E42" s="490"/>
      <c r="F42" s="490"/>
      <c r="G42" s="490"/>
      <c r="H42" s="490"/>
      <c r="I42" s="490"/>
      <c r="J42" s="146"/>
      <c r="K42" s="146"/>
      <c r="L42" s="146"/>
      <c r="M42" s="146"/>
      <c r="N42" s="146"/>
      <c r="O42" s="146"/>
      <c r="P42" s="146"/>
      <c r="Q42" s="146"/>
    </row>
    <row r="43" spans="1:17">
      <c r="A43" s="146"/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</row>
    <row r="44" spans="1:17">
      <c r="A44" s="146"/>
      <c r="B44" s="253" t="s">
        <v>174</v>
      </c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</row>
    <row r="45" spans="1:17">
      <c r="A45" s="146"/>
      <c r="B45" s="491" t="s">
        <v>206</v>
      </c>
      <c r="C45" s="491"/>
      <c r="D45" s="491"/>
      <c r="E45" s="295" t="s">
        <v>104</v>
      </c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</row>
    <row r="46" spans="1:17">
      <c r="A46" s="146"/>
      <c r="B46" s="491" t="s">
        <v>207</v>
      </c>
      <c r="C46" s="491"/>
      <c r="D46" s="491"/>
      <c r="E46" s="294" t="s">
        <v>128</v>
      </c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</row>
    <row r="47" spans="1:17">
      <c r="A47" s="146"/>
      <c r="B47" s="253" t="s">
        <v>208</v>
      </c>
      <c r="C47" s="146">
        <f>_xlfn.F.INV(0.95,1,9)</f>
        <v>5.1173550291992251</v>
      </c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</row>
    <row r="48" spans="1:17">
      <c r="A48" s="146"/>
      <c r="B48" s="253" t="s">
        <v>125</v>
      </c>
      <c r="C48" s="146">
        <f>1-_xlfn.F.DIST(C40,1,9,1)</f>
        <v>1.5536461006604441E-12</v>
      </c>
      <c r="D48" t="s">
        <v>107</v>
      </c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</row>
    <row r="49" spans="1:17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</row>
    <row r="50" spans="1:17">
      <c r="A50" s="146"/>
      <c r="B50" s="492" t="s">
        <v>209</v>
      </c>
      <c r="C50" s="493"/>
      <c r="D50" s="493"/>
      <c r="E50" s="493"/>
      <c r="F50" s="493"/>
      <c r="G50" s="493"/>
      <c r="H50" s="493"/>
      <c r="I50" s="494"/>
      <c r="J50" s="146"/>
      <c r="K50" s="146"/>
      <c r="L50" s="146"/>
      <c r="M50" s="146"/>
      <c r="N50" s="146"/>
      <c r="O50" s="146"/>
      <c r="P50" s="146"/>
      <c r="Q50" s="146"/>
    </row>
  </sheetData>
  <mergeCells count="5">
    <mergeCell ref="A1:R1"/>
    <mergeCell ref="B42:I42"/>
    <mergeCell ref="B45:D45"/>
    <mergeCell ref="B46:D46"/>
    <mergeCell ref="B50:I5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4"/>
  <sheetViews>
    <sheetView zoomScale="90" zoomScaleNormal="90" workbookViewId="0">
      <selection activeCell="K44" sqref="K44"/>
    </sheetView>
  </sheetViews>
  <sheetFormatPr defaultRowHeight="15"/>
  <cols>
    <col min="2" max="2" width="16.5703125" customWidth="1"/>
    <col min="3" max="3" width="13.140625" bestFit="1" customWidth="1"/>
    <col min="4" max="4" width="14.42578125" bestFit="1" customWidth="1"/>
    <col min="5" max="5" width="18.140625" customWidth="1"/>
    <col min="7" max="7" width="13.5703125" bestFit="1" customWidth="1"/>
    <col min="8" max="8" width="13.140625" bestFit="1" customWidth="1"/>
    <col min="9" max="9" width="13.5703125" bestFit="1" customWidth="1"/>
    <col min="10" max="10" width="13.140625" bestFit="1" customWidth="1"/>
    <col min="14" max="14" width="11.28515625" customWidth="1"/>
    <col min="17" max="17" width="11.85546875" bestFit="1" customWidth="1"/>
    <col min="18" max="18" width="11.140625" customWidth="1"/>
    <col min="21" max="21" width="12.85546875" bestFit="1" customWidth="1"/>
    <col min="22" max="22" width="11.85546875" bestFit="1" customWidth="1"/>
  </cols>
  <sheetData>
    <row r="1" spans="1:18" ht="20.100000000000001" customHeight="1" thickBot="1">
      <c r="A1" s="377" t="s">
        <v>213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9"/>
    </row>
    <row r="3" spans="1:18" ht="15.75" thickBot="1"/>
    <row r="4" spans="1:18" ht="15.75" thickBot="1">
      <c r="B4" s="130" t="s">
        <v>26</v>
      </c>
      <c r="C4" s="131" t="s">
        <v>27</v>
      </c>
      <c r="D4" s="131" t="s">
        <v>28</v>
      </c>
      <c r="E4" s="131" t="s">
        <v>37</v>
      </c>
      <c r="F4" s="131" t="s">
        <v>39</v>
      </c>
      <c r="G4" s="131" t="s">
        <v>41</v>
      </c>
      <c r="H4" s="132" t="s">
        <v>29</v>
      </c>
      <c r="L4" s="495" t="s">
        <v>265</v>
      </c>
      <c r="M4" s="495"/>
      <c r="N4" s="495"/>
      <c r="O4" s="495"/>
      <c r="P4" s="495"/>
    </row>
    <row r="5" spans="1:18">
      <c r="B5" s="133">
        <v>-1</v>
      </c>
      <c r="C5" s="129">
        <v>-1</v>
      </c>
      <c r="D5" s="129">
        <v>-1</v>
      </c>
      <c r="E5" s="129">
        <v>1</v>
      </c>
      <c r="F5" s="129">
        <v>1</v>
      </c>
      <c r="G5" s="129">
        <v>1</v>
      </c>
      <c r="H5" s="134">
        <v>310.27</v>
      </c>
      <c r="L5" s="291" t="s">
        <v>174</v>
      </c>
      <c r="O5" s="153" t="s">
        <v>245</v>
      </c>
      <c r="P5">
        <f>_xlfn.T.INV(0.95,9)</f>
        <v>1.8331129326562368</v>
      </c>
    </row>
    <row r="6" spans="1:18">
      <c r="B6" s="135">
        <v>-1</v>
      </c>
      <c r="C6" s="128">
        <v>-1</v>
      </c>
      <c r="D6" s="128">
        <v>1</v>
      </c>
      <c r="E6" s="128">
        <v>1</v>
      </c>
      <c r="F6" s="128">
        <v>-1</v>
      </c>
      <c r="G6" s="128">
        <v>-1</v>
      </c>
      <c r="H6" s="136">
        <v>362.05</v>
      </c>
      <c r="L6" s="496" t="s">
        <v>110</v>
      </c>
      <c r="M6" s="496"/>
      <c r="N6">
        <v>15.514818177666253</v>
      </c>
      <c r="O6" t="s">
        <v>102</v>
      </c>
    </row>
    <row r="7" spans="1:18">
      <c r="B7" s="135">
        <v>-1</v>
      </c>
      <c r="C7" s="128">
        <v>1</v>
      </c>
      <c r="D7" s="128">
        <v>-1</v>
      </c>
      <c r="E7" s="128">
        <v>-1</v>
      </c>
      <c r="F7" s="128">
        <v>1</v>
      </c>
      <c r="G7" s="128">
        <v>-1</v>
      </c>
      <c r="H7" s="136">
        <v>354.08</v>
      </c>
      <c r="M7" s="153" t="s">
        <v>111</v>
      </c>
      <c r="N7">
        <v>8.4123479335251811E-8</v>
      </c>
      <c r="O7" t="s">
        <v>107</v>
      </c>
    </row>
    <row r="8" spans="1:18">
      <c r="B8" s="135">
        <v>-1</v>
      </c>
      <c r="C8" s="128">
        <v>1</v>
      </c>
      <c r="D8" s="128">
        <v>1</v>
      </c>
      <c r="E8" s="128">
        <v>-1</v>
      </c>
      <c r="F8" s="128">
        <v>-1</v>
      </c>
      <c r="G8" s="128">
        <v>1</v>
      </c>
      <c r="H8" s="136">
        <v>423.94</v>
      </c>
      <c r="L8" t="s">
        <v>103</v>
      </c>
    </row>
    <row r="9" spans="1:18">
      <c r="B9" s="135">
        <v>1</v>
      </c>
      <c r="C9" s="128">
        <v>-1</v>
      </c>
      <c r="D9" s="128">
        <v>-1</v>
      </c>
      <c r="E9" s="128">
        <v>-1</v>
      </c>
      <c r="F9" s="128">
        <v>-1</v>
      </c>
      <c r="G9" s="128">
        <v>1</v>
      </c>
      <c r="H9" s="136">
        <v>374.24</v>
      </c>
      <c r="L9" s="497" t="s">
        <v>112</v>
      </c>
      <c r="M9" s="497"/>
      <c r="N9" s="283" t="s">
        <v>104</v>
      </c>
      <c r="O9" s="283"/>
    </row>
    <row r="10" spans="1:18">
      <c r="B10" s="135">
        <v>1</v>
      </c>
      <c r="C10" s="128">
        <v>-1</v>
      </c>
      <c r="D10" s="128">
        <v>1</v>
      </c>
      <c r="E10" s="128">
        <v>-1</v>
      </c>
      <c r="F10" s="128">
        <v>1</v>
      </c>
      <c r="G10" s="128">
        <v>-1</v>
      </c>
      <c r="H10" s="136">
        <v>450.52</v>
      </c>
      <c r="L10" s="497" t="s">
        <v>261</v>
      </c>
      <c r="M10" s="497"/>
      <c r="N10" s="284" t="s">
        <v>105</v>
      </c>
    </row>
    <row r="11" spans="1:18">
      <c r="B11" s="135">
        <v>1</v>
      </c>
      <c r="C11" s="128">
        <v>1</v>
      </c>
      <c r="D11" s="128">
        <v>-1</v>
      </c>
      <c r="E11" s="128">
        <v>1</v>
      </c>
      <c r="F11" s="128">
        <v>-1</v>
      </c>
      <c r="G11" s="128">
        <v>-1</v>
      </c>
      <c r="H11" s="136">
        <v>505.85</v>
      </c>
      <c r="L11" s="498" t="s">
        <v>266</v>
      </c>
      <c r="M11" s="499"/>
      <c r="N11" s="499"/>
      <c r="O11" s="499"/>
      <c r="P11" s="500"/>
    </row>
    <row r="12" spans="1:18">
      <c r="B12" s="135">
        <v>1</v>
      </c>
      <c r="C12" s="128">
        <v>1</v>
      </c>
      <c r="D12" s="128">
        <v>1</v>
      </c>
      <c r="E12" s="128">
        <v>1</v>
      </c>
      <c r="F12" s="128">
        <v>1</v>
      </c>
      <c r="G12" s="128">
        <v>1</v>
      </c>
      <c r="H12" s="136">
        <v>599.87</v>
      </c>
      <c r="L12" s="501"/>
      <c r="M12" s="502"/>
      <c r="N12" s="502"/>
      <c r="O12" s="502"/>
      <c r="P12" s="503"/>
    </row>
    <row r="13" spans="1:18">
      <c r="B13" s="135">
        <v>-1</v>
      </c>
      <c r="C13" s="128">
        <v>-1</v>
      </c>
      <c r="D13" s="128">
        <v>-1</v>
      </c>
      <c r="E13" s="128">
        <v>1</v>
      </c>
      <c r="F13" s="128">
        <v>1</v>
      </c>
      <c r="G13" s="128">
        <v>1</v>
      </c>
      <c r="H13" s="136">
        <v>293.86</v>
      </c>
    </row>
    <row r="14" spans="1:18">
      <c r="B14" s="135">
        <v>-1</v>
      </c>
      <c r="C14" s="128">
        <v>-1</v>
      </c>
      <c r="D14" s="128">
        <v>1</v>
      </c>
      <c r="E14" s="128">
        <v>1</v>
      </c>
      <c r="F14" s="128">
        <v>-1</v>
      </c>
      <c r="G14" s="128">
        <v>-1</v>
      </c>
      <c r="H14" s="136">
        <v>357.95</v>
      </c>
      <c r="L14" s="504" t="s">
        <v>268</v>
      </c>
      <c r="M14" s="504"/>
      <c r="N14" s="504"/>
      <c r="O14" s="504"/>
      <c r="P14" s="504"/>
    </row>
    <row r="15" spans="1:18">
      <c r="B15" s="135">
        <v>-1</v>
      </c>
      <c r="C15" s="128">
        <v>1</v>
      </c>
      <c r="D15" s="128">
        <v>-1</v>
      </c>
      <c r="E15" s="128">
        <v>-1</v>
      </c>
      <c r="F15" s="128">
        <v>1</v>
      </c>
      <c r="G15" s="128">
        <v>-1</v>
      </c>
      <c r="H15" s="136">
        <v>344.74</v>
      </c>
      <c r="L15" s="291" t="s">
        <v>174</v>
      </c>
      <c r="O15" s="153" t="s">
        <v>245</v>
      </c>
      <c r="P15">
        <f>_xlfn.T.INV(0.95,9)</f>
        <v>1.8331129326562368</v>
      </c>
    </row>
    <row r="16" spans="1:18">
      <c r="B16" s="135">
        <v>-1</v>
      </c>
      <c r="C16" s="128">
        <v>1</v>
      </c>
      <c r="D16" s="128">
        <v>1</v>
      </c>
      <c r="E16" s="128">
        <v>-1</v>
      </c>
      <c r="F16" s="128">
        <v>-1</v>
      </c>
      <c r="G16" s="128">
        <v>1</v>
      </c>
      <c r="H16" s="136">
        <v>428.77</v>
      </c>
      <c r="L16" s="496" t="s">
        <v>115</v>
      </c>
      <c r="M16" s="496"/>
      <c r="N16">
        <v>4.0841312301572685</v>
      </c>
      <c r="O16" t="s">
        <v>102</v>
      </c>
    </row>
    <row r="17" spans="2:18">
      <c r="B17" s="135">
        <v>1</v>
      </c>
      <c r="C17" s="128">
        <v>-1</v>
      </c>
      <c r="D17" s="128">
        <v>-1</v>
      </c>
      <c r="E17" s="128">
        <v>-1</v>
      </c>
      <c r="F17" s="128">
        <v>-1</v>
      </c>
      <c r="G17" s="128">
        <v>1</v>
      </c>
      <c r="H17" s="136">
        <v>370.96</v>
      </c>
      <c r="M17" s="153" t="s">
        <v>113</v>
      </c>
      <c r="N17">
        <v>2.7410050609490348E-3</v>
      </c>
      <c r="O17" t="s">
        <v>107</v>
      </c>
    </row>
    <row r="18" spans="2:18">
      <c r="B18" s="135">
        <v>1</v>
      </c>
      <c r="C18" s="128">
        <v>-1</v>
      </c>
      <c r="D18" s="128">
        <v>1</v>
      </c>
      <c r="E18" s="128">
        <v>-1</v>
      </c>
      <c r="F18" s="128">
        <v>1</v>
      </c>
      <c r="G18" s="128">
        <v>-1</v>
      </c>
      <c r="H18" s="136">
        <v>451.06</v>
      </c>
      <c r="L18" t="s">
        <v>103</v>
      </c>
    </row>
    <row r="19" spans="2:18">
      <c r="B19" s="135">
        <v>1</v>
      </c>
      <c r="C19" s="128">
        <v>1</v>
      </c>
      <c r="D19" s="128">
        <v>-1</v>
      </c>
      <c r="E19" s="128">
        <v>1</v>
      </c>
      <c r="F19" s="128">
        <v>-1</v>
      </c>
      <c r="G19" s="128">
        <v>-1</v>
      </c>
      <c r="H19" s="136">
        <v>496.34</v>
      </c>
      <c r="L19" s="497" t="s">
        <v>114</v>
      </c>
      <c r="M19" s="497"/>
      <c r="N19" s="283" t="s">
        <v>104</v>
      </c>
    </row>
    <row r="20" spans="2:18" ht="15.75" thickBot="1">
      <c r="B20" s="137">
        <v>1</v>
      </c>
      <c r="C20" s="138">
        <v>1</v>
      </c>
      <c r="D20" s="138">
        <v>1</v>
      </c>
      <c r="E20" s="138">
        <v>1</v>
      </c>
      <c r="F20" s="138">
        <v>1</v>
      </c>
      <c r="G20" s="138">
        <v>1</v>
      </c>
      <c r="H20" s="139">
        <v>602.73</v>
      </c>
      <c r="L20" s="497" t="s">
        <v>267</v>
      </c>
      <c r="M20" s="497"/>
      <c r="N20" s="284" t="s">
        <v>105</v>
      </c>
    </row>
    <row r="21" spans="2:18">
      <c r="L21" s="498" t="s">
        <v>269</v>
      </c>
      <c r="M21" s="499"/>
      <c r="N21" s="499"/>
      <c r="O21" s="499"/>
      <c r="P21" s="500"/>
    </row>
    <row r="22" spans="2:18">
      <c r="L22" s="501"/>
      <c r="M22" s="502"/>
      <c r="N22" s="502"/>
      <c r="O22" s="502"/>
      <c r="P22" s="503"/>
      <c r="R22" s="146"/>
    </row>
    <row r="23" spans="2:18">
      <c r="B23" t="s">
        <v>58</v>
      </c>
    </row>
    <row r="24" spans="2:18" ht="15.75" thickBot="1">
      <c r="L24" s="505" t="s">
        <v>270</v>
      </c>
      <c r="M24" s="505"/>
      <c r="N24" s="505"/>
      <c r="O24" s="505"/>
      <c r="P24" s="505"/>
    </row>
    <row r="25" spans="2:18">
      <c r="B25" s="142" t="s">
        <v>59</v>
      </c>
      <c r="C25" s="142"/>
      <c r="L25" s="291" t="s">
        <v>174</v>
      </c>
      <c r="O25" s="153" t="s">
        <v>245</v>
      </c>
      <c r="P25">
        <f>_xlfn.T.INV(0.95,9)</f>
        <v>1.8331129326562368</v>
      </c>
    </row>
    <row r="26" spans="2:18">
      <c r="B26" t="s">
        <v>60</v>
      </c>
      <c r="C26">
        <v>0.9990216033773075</v>
      </c>
      <c r="L26" s="496" t="s">
        <v>272</v>
      </c>
      <c r="M26" s="496"/>
      <c r="N26">
        <v>3.8504305117132485</v>
      </c>
      <c r="O26" t="s">
        <v>102</v>
      </c>
    </row>
    <row r="27" spans="2:18">
      <c r="B27" t="s">
        <v>61</v>
      </c>
      <c r="C27">
        <v>0.99804416401456619</v>
      </c>
      <c r="M27" s="153" t="s">
        <v>271</v>
      </c>
      <c r="N27">
        <v>3.903744651167797E-3</v>
      </c>
      <c r="O27" t="s">
        <v>107</v>
      </c>
    </row>
    <row r="28" spans="2:18">
      <c r="B28" t="s">
        <v>62</v>
      </c>
      <c r="C28">
        <v>0.9967402733576104</v>
      </c>
      <c r="L28" t="s">
        <v>103</v>
      </c>
    </row>
    <row r="29" spans="2:18">
      <c r="B29" t="s">
        <v>63</v>
      </c>
      <c r="C29">
        <v>5.3273263697655935</v>
      </c>
      <c r="L29" s="497" t="s">
        <v>114</v>
      </c>
      <c r="M29" s="497"/>
      <c r="N29" s="283" t="s">
        <v>104</v>
      </c>
    </row>
    <row r="30" spans="2:18" ht="15.75" thickBot="1">
      <c r="B30" s="140" t="s">
        <v>64</v>
      </c>
      <c r="C30" s="140">
        <v>16</v>
      </c>
      <c r="L30" s="506" t="s">
        <v>267</v>
      </c>
      <c r="M30" s="506"/>
      <c r="N30" s="284" t="s">
        <v>105</v>
      </c>
    </row>
    <row r="31" spans="2:18">
      <c r="L31" s="498" t="s">
        <v>269</v>
      </c>
      <c r="M31" s="499"/>
      <c r="N31" s="499"/>
      <c r="O31" s="499"/>
      <c r="P31" s="500"/>
    </row>
    <row r="32" spans="2:18" ht="15.75" thickBot="1">
      <c r="B32" t="s">
        <v>65</v>
      </c>
      <c r="L32" s="501"/>
      <c r="M32" s="502"/>
      <c r="N32" s="502"/>
      <c r="O32" s="502"/>
      <c r="P32" s="503"/>
    </row>
    <row r="33" spans="2:19">
      <c r="B33" s="141"/>
      <c r="C33" s="141" t="s">
        <v>70</v>
      </c>
      <c r="D33" s="141" t="s">
        <v>71</v>
      </c>
      <c r="E33" s="141" t="s">
        <v>72</v>
      </c>
      <c r="F33" s="141" t="s">
        <v>73</v>
      </c>
      <c r="G33" s="141" t="s">
        <v>74</v>
      </c>
    </row>
    <row r="34" spans="2:19">
      <c r="B34" t="s">
        <v>66</v>
      </c>
      <c r="C34">
        <v>6</v>
      </c>
      <c r="D34">
        <v>130340.2183875</v>
      </c>
      <c r="E34">
        <v>21723.369731250001</v>
      </c>
      <c r="F34">
        <v>765.43547473884757</v>
      </c>
      <c r="G34">
        <v>1.1530575391240765E-11</v>
      </c>
    </row>
    <row r="35" spans="2:19">
      <c r="B35" t="s">
        <v>67</v>
      </c>
      <c r="C35">
        <v>9</v>
      </c>
      <c r="D35">
        <v>255.42365624999874</v>
      </c>
      <c r="E35">
        <v>28.380406249999862</v>
      </c>
    </row>
    <row r="36" spans="2:19" ht="15.75" thickBot="1">
      <c r="B36" s="140" t="s">
        <v>68</v>
      </c>
      <c r="C36" s="140">
        <v>15</v>
      </c>
      <c r="D36" s="140">
        <v>130595.64204375001</v>
      </c>
      <c r="E36" s="140"/>
      <c r="F36" s="140"/>
      <c r="G36" s="140"/>
    </row>
    <row r="37" spans="2:19" ht="15.75" thickBot="1"/>
    <row r="38" spans="2:19">
      <c r="B38" s="141"/>
      <c r="C38" s="141" t="s">
        <v>75</v>
      </c>
      <c r="D38" s="141" t="s">
        <v>63</v>
      </c>
      <c r="E38" s="141" t="s">
        <v>76</v>
      </c>
      <c r="F38" s="141" t="s">
        <v>77</v>
      </c>
      <c r="G38" s="141" t="s">
        <v>78</v>
      </c>
      <c r="H38" s="141" t="s">
        <v>79</v>
      </c>
      <c r="I38" s="141" t="s">
        <v>80</v>
      </c>
      <c r="J38" s="141" t="s">
        <v>81</v>
      </c>
    </row>
    <row r="39" spans="2:19">
      <c r="B39" t="s">
        <v>69</v>
      </c>
      <c r="C39">
        <v>420.45187499999997</v>
      </c>
      <c r="D39">
        <v>1.3318315924413984</v>
      </c>
      <c r="E39">
        <v>315.69447472654105</v>
      </c>
      <c r="F39">
        <v>1.6342088943642465E-19</v>
      </c>
      <c r="G39">
        <v>417.43906262351771</v>
      </c>
      <c r="H39">
        <v>423.46468737648223</v>
      </c>
      <c r="I39">
        <v>417.43906262351771</v>
      </c>
      <c r="J39">
        <v>423.46468737648223</v>
      </c>
      <c r="S39" s="146"/>
    </row>
    <row r="40" spans="2:19">
      <c r="B40" t="s">
        <v>26</v>
      </c>
      <c r="C40">
        <v>60.994375000000005</v>
      </c>
      <c r="D40">
        <v>1.3318315924413984</v>
      </c>
      <c r="E40">
        <v>45.79736307965964</v>
      </c>
      <c r="F40">
        <v>5.6454551159605037E-12</v>
      </c>
      <c r="G40">
        <v>57.981562623517753</v>
      </c>
      <c r="H40">
        <v>64.00718737648225</v>
      </c>
      <c r="I40">
        <v>57.981562623517753</v>
      </c>
      <c r="J40">
        <v>64.00718737648225</v>
      </c>
    </row>
    <row r="41" spans="2:19">
      <c r="B41" t="s">
        <v>27</v>
      </c>
      <c r="C41">
        <v>49.088124999999998</v>
      </c>
      <c r="D41">
        <v>1.3318315924413984</v>
      </c>
      <c r="E41">
        <v>36.857606681349175</v>
      </c>
      <c r="F41">
        <v>3.9481577325167511E-11</v>
      </c>
      <c r="G41">
        <v>46.075312623517746</v>
      </c>
      <c r="H41">
        <v>52.10093737648225</v>
      </c>
      <c r="I41">
        <v>46.075312623517746</v>
      </c>
      <c r="J41">
        <v>52.10093737648225</v>
      </c>
    </row>
    <row r="42" spans="2:19">
      <c r="B42" t="s">
        <v>28</v>
      </c>
      <c r="C42">
        <v>39.159375000000011</v>
      </c>
      <c r="D42">
        <v>1.3318315924413984</v>
      </c>
      <c r="E42">
        <v>29.40264761869512</v>
      </c>
      <c r="F42">
        <v>2.9716067050057525E-10</v>
      </c>
      <c r="G42">
        <v>36.14656262351776</v>
      </c>
      <c r="H42">
        <v>42.172187376482263</v>
      </c>
      <c r="I42">
        <v>36.14656262351776</v>
      </c>
      <c r="J42">
        <v>42.172187376482263</v>
      </c>
    </row>
    <row r="43" spans="2:19">
      <c r="B43" s="288" t="s">
        <v>37</v>
      </c>
      <c r="C43" s="288">
        <v>20.663125000000001</v>
      </c>
      <c r="D43" s="288">
        <v>1.3318315924413984</v>
      </c>
      <c r="E43" s="288">
        <v>15.514818177666253</v>
      </c>
      <c r="F43" s="288">
        <v>8.4123479335251811E-8</v>
      </c>
      <c r="G43" s="288">
        <v>17.650312623517753</v>
      </c>
      <c r="H43" s="288">
        <v>23.675937376482249</v>
      </c>
      <c r="I43" s="288">
        <v>17.650312623517753</v>
      </c>
      <c r="J43" s="288">
        <v>23.675937376482249</v>
      </c>
    </row>
    <row r="44" spans="2:19">
      <c r="B44" s="289" t="s">
        <v>39</v>
      </c>
      <c r="C44" s="289">
        <v>5.4393750000000018</v>
      </c>
      <c r="D44" s="289">
        <v>1.3318315924413984</v>
      </c>
      <c r="E44" s="289">
        <v>4.0841312301572685</v>
      </c>
      <c r="F44" s="289">
        <v>2.7410050609490348E-3</v>
      </c>
      <c r="G44" s="289">
        <v>2.4265626235177522</v>
      </c>
      <c r="H44" s="289">
        <v>8.4521873764822519</v>
      </c>
      <c r="I44" s="289">
        <v>2.4265626235177522</v>
      </c>
      <c r="J44" s="289">
        <v>8.4521873764822519</v>
      </c>
    </row>
    <row r="45" spans="2:19" ht="15.75" thickBot="1">
      <c r="B45" s="290" t="s">
        <v>41</v>
      </c>
      <c r="C45" s="290">
        <v>5.1281250000000043</v>
      </c>
      <c r="D45" s="290">
        <v>1.3318315924413984</v>
      </c>
      <c r="E45" s="290">
        <v>3.8504305117132485</v>
      </c>
      <c r="F45" s="290">
        <v>3.903744651167797E-3</v>
      </c>
      <c r="G45" s="290">
        <v>2.1153126235177546</v>
      </c>
      <c r="H45" s="290">
        <v>8.1409373764822544</v>
      </c>
      <c r="I45" s="290">
        <v>2.1153126235177546</v>
      </c>
      <c r="J45" s="290">
        <v>8.1409373764822544</v>
      </c>
    </row>
    <row r="48" spans="2:19">
      <c r="S48" s="146"/>
    </row>
    <row r="57" spans="2:19">
      <c r="B57" s="144"/>
      <c r="C57" s="144"/>
      <c r="D57" s="144"/>
      <c r="E57" s="144"/>
      <c r="S57" s="146"/>
    </row>
    <row r="63" spans="2:19">
      <c r="M63" s="146"/>
    </row>
    <row r="66" spans="2:19">
      <c r="S66" s="146"/>
    </row>
    <row r="78" spans="2:19" s="143" customFormat="1">
      <c r="B78" s="144"/>
      <c r="C78" s="144"/>
      <c r="D78" s="144"/>
      <c r="E78" s="144"/>
      <c r="F78"/>
    </row>
    <row r="101" spans="2:8">
      <c r="B101" s="147"/>
      <c r="C101" s="147"/>
    </row>
    <row r="103" spans="2:8">
      <c r="H103" s="146"/>
    </row>
    <row r="109" spans="2:8">
      <c r="B109" s="144"/>
      <c r="C109" s="144"/>
      <c r="D109" s="144"/>
      <c r="E109" s="144"/>
      <c r="F109" s="144"/>
      <c r="G109" s="144"/>
    </row>
    <row r="114" spans="2:10">
      <c r="B114" s="144"/>
      <c r="C114" s="144"/>
      <c r="D114" s="144"/>
      <c r="E114" s="144"/>
      <c r="F114" s="144"/>
      <c r="G114" s="144"/>
      <c r="H114" s="144"/>
      <c r="I114" s="144"/>
      <c r="J114" s="144"/>
    </row>
  </sheetData>
  <mergeCells count="16">
    <mergeCell ref="L21:P22"/>
    <mergeCell ref="L24:P24"/>
    <mergeCell ref="L31:P32"/>
    <mergeCell ref="L26:M26"/>
    <mergeCell ref="L29:M29"/>
    <mergeCell ref="L30:M30"/>
    <mergeCell ref="L11:P12"/>
    <mergeCell ref="L14:P14"/>
    <mergeCell ref="L19:M19"/>
    <mergeCell ref="L20:M20"/>
    <mergeCell ref="L16:M16"/>
    <mergeCell ref="A1:R1"/>
    <mergeCell ref="L4:P4"/>
    <mergeCell ref="L6:M6"/>
    <mergeCell ref="L9:M9"/>
    <mergeCell ref="L10:M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14</vt:i4>
      </vt:variant>
    </vt:vector>
  </HeadingPairs>
  <TitlesOfParts>
    <vt:vector size="14" baseType="lpstr">
      <vt:lpstr>Úvodná strana</vt:lpstr>
      <vt:lpstr>C-PLOT</vt:lpstr>
      <vt:lpstr>MNŠ</vt:lpstr>
      <vt:lpstr>Hierarchický model</vt:lpstr>
      <vt:lpstr>Index determinácie</vt:lpstr>
      <vt:lpstr>Testy</vt:lpstr>
      <vt:lpstr>Vplyvy faktorov</vt:lpstr>
      <vt:lpstr>Vybraný faktor</vt:lpstr>
      <vt:lpstr>Vplyvy interakcií</vt:lpstr>
      <vt:lpstr>Hlavné efekty a interakcie</vt:lpstr>
      <vt:lpstr>Predikcie hodnôt</vt:lpstr>
      <vt:lpstr>Overenie správnosti</vt:lpstr>
      <vt:lpstr>Požadovaná odozva</vt:lpstr>
      <vt:lpstr>Výstup z Minitabu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Stella Katarína Bajkai</dc:creator>
  <cp:lastModifiedBy>Janette Kotianová</cp:lastModifiedBy>
  <dcterms:created xsi:type="dcterms:W3CDTF">2025-12-24T10:59:54Z</dcterms:created>
  <dcterms:modified xsi:type="dcterms:W3CDTF">2026-02-02T14:57:13Z</dcterms:modified>
</cp:coreProperties>
</file>