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kotianova\Desktop\stranka mmpve\"/>
    </mc:Choice>
  </mc:AlternateContent>
  <bookViews>
    <workbookView xWindow="0" yWindow="0" windowWidth="28800" windowHeight="12330"/>
  </bookViews>
  <sheets>
    <sheet name="NDVI" sheetId="2" r:id="rId1"/>
    <sheet name="Minitab - príprava dát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481" i="2" l="1"/>
  <c r="V473" i="2"/>
  <c r="B522" i="2" l="1"/>
  <c r="C521" i="2"/>
  <c r="C523" i="2"/>
  <c r="B523" i="2"/>
  <c r="B333" i="2"/>
  <c r="B334" i="2"/>
  <c r="AE422" i="2"/>
  <c r="V409" i="2"/>
  <c r="W416" i="2"/>
  <c r="B368" i="2"/>
  <c r="B360" i="2"/>
  <c r="B359" i="2"/>
  <c r="B358" i="2"/>
  <c r="B356" i="2"/>
  <c r="P68" i="2"/>
  <c r="N121" i="2"/>
  <c r="N118" i="2"/>
  <c r="N122" i="2" s="1"/>
  <c r="N117" i="2"/>
  <c r="N94" i="2"/>
  <c r="N91" i="2"/>
  <c r="N90" i="2"/>
  <c r="O68" i="2"/>
  <c r="M122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68" i="2"/>
  <c r="B357" i="2"/>
  <c r="AM181" i="2" l="1"/>
  <c r="AA181" i="2"/>
  <c r="U181" i="2"/>
  <c r="O181" i="2"/>
  <c r="AG181" i="2"/>
  <c r="I181" i="2"/>
  <c r="C181" i="2"/>
  <c r="D605" i="2"/>
  <c r="B605" i="2"/>
  <c r="D604" i="2"/>
  <c r="B604" i="2"/>
  <c r="D603" i="2"/>
  <c r="B603" i="2"/>
  <c r="D601" i="2"/>
  <c r="C601" i="2"/>
  <c r="B601" i="2"/>
  <c r="G59" i="3" l="1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58" i="3"/>
  <c r="A58" i="3" a="1"/>
  <c r="A58" i="3" s="1"/>
  <c r="D2" i="3" l="1"/>
  <c r="D3" i="3"/>
  <c r="D4" i="3"/>
  <c r="D5" i="3"/>
  <c r="D6" i="3"/>
  <c r="D8" i="3"/>
  <c r="D9" i="3"/>
  <c r="D10" i="3"/>
  <c r="D11" i="3"/>
  <c r="D12" i="3"/>
  <c r="D13" i="3"/>
  <c r="D14" i="3"/>
  <c r="D15" i="3"/>
  <c r="D16" i="3"/>
  <c r="D17" i="3"/>
  <c r="D19" i="3"/>
  <c r="D21" i="3"/>
  <c r="D22" i="3"/>
  <c r="D23" i="3"/>
  <c r="D24" i="3"/>
  <c r="D26" i="3"/>
  <c r="D28" i="3"/>
  <c r="D29" i="3"/>
  <c r="D30" i="3"/>
  <c r="D31" i="3"/>
  <c r="D32" i="3"/>
  <c r="D35" i="3"/>
  <c r="D37" i="3"/>
  <c r="D39" i="3"/>
  <c r="D41" i="3"/>
  <c r="D42" i="3"/>
  <c r="D43" i="3"/>
  <c r="D44" i="3"/>
  <c r="K7" i="3"/>
  <c r="K3" i="3"/>
  <c r="K4" i="3"/>
  <c r="K5" i="3"/>
  <c r="K6" i="3"/>
  <c r="K8" i="3"/>
  <c r="K9" i="3"/>
  <c r="K10" i="3"/>
  <c r="K11" i="3"/>
  <c r="K12" i="3"/>
  <c r="K13" i="3"/>
  <c r="K14" i="3"/>
  <c r="K15" i="3"/>
  <c r="K16" i="3"/>
  <c r="K17" i="3"/>
  <c r="K19" i="3"/>
  <c r="K21" i="3"/>
  <c r="K22" i="3"/>
  <c r="K23" i="3"/>
  <c r="K24" i="3"/>
  <c r="K26" i="3"/>
  <c r="K28" i="3"/>
  <c r="K31" i="3"/>
  <c r="K35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2" i="3"/>
  <c r="H10" i="3"/>
  <c r="J10" i="3" s="1"/>
  <c r="H11" i="3"/>
  <c r="J11" i="3" s="1"/>
  <c r="H12" i="3"/>
  <c r="J12" i="3" s="1"/>
  <c r="H26" i="3"/>
  <c r="J26" i="3" s="1"/>
  <c r="H27" i="3"/>
  <c r="J27" i="3" s="1"/>
  <c r="K27" i="3" s="1"/>
  <c r="H28" i="3"/>
  <c r="J28" i="3" s="1"/>
  <c r="H42" i="3"/>
  <c r="J42" i="3" s="1"/>
  <c r="H43" i="3"/>
  <c r="J43" i="3" s="1"/>
  <c r="H44" i="3"/>
  <c r="J44" i="3" s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2" i="3"/>
  <c r="E3" i="3"/>
  <c r="H3" i="3" s="1"/>
  <c r="J3" i="3" s="1"/>
  <c r="E4" i="3"/>
  <c r="H4" i="3" s="1"/>
  <c r="J4" i="3" s="1"/>
  <c r="E5" i="3"/>
  <c r="H5" i="3" s="1"/>
  <c r="J5" i="3" s="1"/>
  <c r="E6" i="3"/>
  <c r="H6" i="3" s="1"/>
  <c r="J6" i="3" s="1"/>
  <c r="E7" i="3"/>
  <c r="H7" i="3" s="1"/>
  <c r="J7" i="3" s="1"/>
  <c r="E8" i="3"/>
  <c r="H8" i="3" s="1"/>
  <c r="J8" i="3" s="1"/>
  <c r="E9" i="3"/>
  <c r="H9" i="3" s="1"/>
  <c r="J9" i="3" s="1"/>
  <c r="E10" i="3"/>
  <c r="E11" i="3"/>
  <c r="E12" i="3"/>
  <c r="E13" i="3"/>
  <c r="H13" i="3" s="1"/>
  <c r="J13" i="3" s="1"/>
  <c r="E14" i="3"/>
  <c r="H14" i="3" s="1"/>
  <c r="J14" i="3" s="1"/>
  <c r="E15" i="3"/>
  <c r="H15" i="3" s="1"/>
  <c r="J15" i="3" s="1"/>
  <c r="E16" i="3"/>
  <c r="H16" i="3" s="1"/>
  <c r="J16" i="3" s="1"/>
  <c r="E17" i="3"/>
  <c r="H17" i="3" s="1"/>
  <c r="J17" i="3" s="1"/>
  <c r="E18" i="3"/>
  <c r="H18" i="3" s="1"/>
  <c r="J18" i="3" s="1"/>
  <c r="K18" i="3" s="1"/>
  <c r="E19" i="3"/>
  <c r="H19" i="3" s="1"/>
  <c r="J19" i="3" s="1"/>
  <c r="E20" i="3"/>
  <c r="H20" i="3" s="1"/>
  <c r="J20" i="3" s="1"/>
  <c r="K20" i="3" s="1"/>
  <c r="E21" i="3"/>
  <c r="H21" i="3" s="1"/>
  <c r="J21" i="3" s="1"/>
  <c r="E22" i="3"/>
  <c r="H22" i="3" s="1"/>
  <c r="J22" i="3" s="1"/>
  <c r="E23" i="3"/>
  <c r="H23" i="3" s="1"/>
  <c r="J23" i="3" s="1"/>
  <c r="E24" i="3"/>
  <c r="H24" i="3" s="1"/>
  <c r="J24" i="3" s="1"/>
  <c r="E25" i="3"/>
  <c r="H25" i="3" s="1"/>
  <c r="J25" i="3" s="1"/>
  <c r="K25" i="3" s="1"/>
  <c r="E26" i="3"/>
  <c r="E27" i="3"/>
  <c r="E28" i="3"/>
  <c r="E29" i="3"/>
  <c r="H29" i="3" s="1"/>
  <c r="J29" i="3" s="1"/>
  <c r="K29" i="3" s="1"/>
  <c r="E30" i="3"/>
  <c r="H30" i="3" s="1"/>
  <c r="J30" i="3" s="1"/>
  <c r="K30" i="3" s="1"/>
  <c r="E31" i="3"/>
  <c r="H31" i="3" s="1"/>
  <c r="J31" i="3" s="1"/>
  <c r="E32" i="3"/>
  <c r="H32" i="3" s="1"/>
  <c r="J32" i="3" s="1"/>
  <c r="K32" i="3" s="1"/>
  <c r="E33" i="3"/>
  <c r="H33" i="3" s="1"/>
  <c r="J33" i="3" s="1"/>
  <c r="K33" i="3" s="1"/>
  <c r="E34" i="3"/>
  <c r="H34" i="3" s="1"/>
  <c r="J34" i="3" s="1"/>
  <c r="K34" i="3" s="1"/>
  <c r="E35" i="3"/>
  <c r="H35" i="3" s="1"/>
  <c r="J35" i="3" s="1"/>
  <c r="E36" i="3"/>
  <c r="H36" i="3" s="1"/>
  <c r="J36" i="3" s="1"/>
  <c r="K36" i="3" s="1"/>
  <c r="E37" i="3"/>
  <c r="H37" i="3" s="1"/>
  <c r="J37" i="3" s="1"/>
  <c r="K37" i="3" s="1"/>
  <c r="E38" i="3"/>
  <c r="H38" i="3" s="1"/>
  <c r="J38" i="3" s="1"/>
  <c r="K38" i="3" s="1"/>
  <c r="E39" i="3"/>
  <c r="H39" i="3" s="1"/>
  <c r="J39" i="3" s="1"/>
  <c r="K39" i="3" s="1"/>
  <c r="E40" i="3"/>
  <c r="H40" i="3" s="1"/>
  <c r="J40" i="3" s="1"/>
  <c r="E41" i="3"/>
  <c r="H41" i="3" s="1"/>
  <c r="J41" i="3" s="1"/>
  <c r="E42" i="3"/>
  <c r="E43" i="3"/>
  <c r="E44" i="3"/>
  <c r="E45" i="3"/>
  <c r="H45" i="3" s="1"/>
  <c r="J45" i="3" s="1"/>
  <c r="E46" i="3"/>
  <c r="H46" i="3" s="1"/>
  <c r="J46" i="3" s="1"/>
  <c r="E47" i="3"/>
  <c r="H47" i="3" s="1"/>
  <c r="J47" i="3" s="1"/>
  <c r="E48" i="3"/>
  <c r="H48" i="3" s="1"/>
  <c r="J48" i="3" s="1"/>
  <c r="E49" i="3"/>
  <c r="H49" i="3" s="1"/>
  <c r="J49" i="3" s="1"/>
  <c r="E50" i="3"/>
  <c r="H50" i="3" s="1"/>
  <c r="J50" i="3" s="1"/>
  <c r="E51" i="3"/>
  <c r="H51" i="3" s="1"/>
  <c r="J51" i="3" s="1"/>
  <c r="E52" i="3"/>
  <c r="H52" i="3" s="1"/>
  <c r="J52" i="3" s="1"/>
  <c r="E53" i="3"/>
  <c r="H53" i="3" s="1"/>
  <c r="J53" i="3" s="1"/>
  <c r="E54" i="3"/>
  <c r="H54" i="3" s="1"/>
  <c r="J54" i="3" s="1"/>
  <c r="E55" i="3"/>
  <c r="H55" i="3" s="1"/>
  <c r="J55" i="3" s="1"/>
  <c r="E2" i="3"/>
  <c r="H2" i="3" s="1"/>
  <c r="J2" i="3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R49" i="3" s="1"/>
  <c r="Q50" i="3"/>
  <c r="Q51" i="3"/>
  <c r="Q52" i="3"/>
  <c r="Q53" i="3"/>
  <c r="Q54" i="3"/>
  <c r="Q55" i="3"/>
  <c r="Q2" i="3"/>
  <c r="B683" i="2"/>
  <c r="B682" i="2"/>
  <c r="B681" i="2"/>
  <c r="B673" i="2"/>
  <c r="B672" i="2"/>
  <c r="B671" i="2"/>
  <c r="D646" i="2"/>
  <c r="D645" i="2"/>
  <c r="D644" i="2"/>
  <c r="E645" i="2"/>
  <c r="C645" i="2"/>
  <c r="E644" i="2"/>
  <c r="E646" i="2"/>
  <c r="C646" i="2"/>
  <c r="C644" i="2"/>
  <c r="D600" i="2"/>
  <c r="C600" i="2"/>
  <c r="B600" i="2"/>
  <c r="D602" i="2"/>
  <c r="C602" i="2"/>
  <c r="C603" i="2" s="1"/>
  <c r="B602" i="2"/>
  <c r="C605" i="2" l="1"/>
  <c r="C604" i="2"/>
  <c r="H58" i="3" a="1"/>
  <c r="H58" i="3" s="1"/>
  <c r="R48" i="3"/>
  <c r="R15" i="3"/>
  <c r="R14" i="3"/>
  <c r="R13" i="3"/>
  <c r="R29" i="3"/>
  <c r="R45" i="3"/>
  <c r="R46" i="3"/>
  <c r="R47" i="3"/>
  <c r="S47" i="3" s="1"/>
  <c r="R30" i="3"/>
  <c r="R31" i="3"/>
  <c r="S31" i="3" s="1"/>
  <c r="R23" i="3"/>
  <c r="S23" i="3" s="1"/>
  <c r="R39" i="3"/>
  <c r="S39" i="3" s="1"/>
  <c r="R55" i="3"/>
  <c r="S55" i="3" s="1"/>
  <c r="R50" i="3"/>
  <c r="S50" i="3" s="1"/>
  <c r="R18" i="3"/>
  <c r="S18" i="3" s="1"/>
  <c r="R34" i="3"/>
  <c r="S34" i="3" s="1"/>
  <c r="S49" i="3"/>
  <c r="R33" i="3"/>
  <c r="S33" i="3" s="1"/>
  <c r="R32" i="3"/>
  <c r="S32" i="3" s="1"/>
  <c r="R16" i="3"/>
  <c r="S16" i="3" s="1"/>
  <c r="R17" i="3"/>
  <c r="S17" i="3" s="1"/>
  <c r="R44" i="3"/>
  <c r="S44" i="3" s="1"/>
  <c r="R28" i="3"/>
  <c r="S28" i="3" s="1"/>
  <c r="R12" i="3"/>
  <c r="S12" i="3" s="1"/>
  <c r="R43" i="3"/>
  <c r="S43" i="3" s="1"/>
  <c r="R27" i="3"/>
  <c r="S27" i="3" s="1"/>
  <c r="R11" i="3"/>
  <c r="S11" i="3" s="1"/>
  <c r="R42" i="3"/>
  <c r="S42" i="3" s="1"/>
  <c r="R26" i="3"/>
  <c r="S26" i="3" s="1"/>
  <c r="R10" i="3"/>
  <c r="S10" i="3" s="1"/>
  <c r="S48" i="3"/>
  <c r="R41" i="3"/>
  <c r="S41" i="3" s="1"/>
  <c r="R25" i="3"/>
  <c r="S25" i="3" s="1"/>
  <c r="R9" i="3"/>
  <c r="S9" i="3" s="1"/>
  <c r="S15" i="3"/>
  <c r="R2" i="3"/>
  <c r="S2" i="3" s="1"/>
  <c r="R40" i="3"/>
  <c r="S40" i="3" s="1"/>
  <c r="R24" i="3"/>
  <c r="S24" i="3" s="1"/>
  <c r="R8" i="3"/>
  <c r="S8" i="3" s="1"/>
  <c r="S46" i="3"/>
  <c r="S30" i="3"/>
  <c r="S14" i="3"/>
  <c r="R7" i="3"/>
  <c r="S7" i="3" s="1"/>
  <c r="S45" i="3"/>
  <c r="S29" i="3"/>
  <c r="S13" i="3"/>
  <c r="R54" i="3"/>
  <c r="S54" i="3" s="1"/>
  <c r="R38" i="3"/>
  <c r="S38" i="3" s="1"/>
  <c r="R22" i="3"/>
  <c r="S22" i="3" s="1"/>
  <c r="R6" i="3"/>
  <c r="S6" i="3" s="1"/>
  <c r="R53" i="3"/>
  <c r="S53" i="3" s="1"/>
  <c r="R37" i="3"/>
  <c r="S37" i="3" s="1"/>
  <c r="R21" i="3"/>
  <c r="S21" i="3" s="1"/>
  <c r="R5" i="3"/>
  <c r="S5" i="3" s="1"/>
  <c r="R52" i="3"/>
  <c r="S52" i="3" s="1"/>
  <c r="R36" i="3"/>
  <c r="S36" i="3" s="1"/>
  <c r="R20" i="3"/>
  <c r="S20" i="3" s="1"/>
  <c r="R4" i="3"/>
  <c r="S4" i="3" s="1"/>
  <c r="R51" i="3"/>
  <c r="S51" i="3" s="1"/>
  <c r="R35" i="3"/>
  <c r="S35" i="3" s="1"/>
  <c r="R19" i="3"/>
  <c r="S19" i="3" s="1"/>
  <c r="R3" i="3"/>
  <c r="S3" i="3" s="1"/>
  <c r="B524" i="2" l="1"/>
  <c r="B520" i="2"/>
  <c r="B521" i="2"/>
  <c r="B532" i="2" l="1"/>
  <c r="C526" i="2" l="1"/>
  <c r="C532" i="2"/>
  <c r="W504" i="2"/>
  <c r="V502" i="2"/>
  <c r="AA504" i="2" s="1"/>
  <c r="V497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398" i="2"/>
  <c r="I397" i="2"/>
  <c r="W475" i="2"/>
  <c r="V477" i="2" s="1"/>
  <c r="V472" i="2"/>
  <c r="W481" i="2" s="1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397" i="2"/>
  <c r="AJ409" i="2"/>
  <c r="AK416" i="2" s="1"/>
  <c r="AE408" i="2"/>
  <c r="AE409" i="2" s="1"/>
  <c r="V411" i="2"/>
  <c r="AA416" i="2" s="1"/>
  <c r="V410" i="2"/>
  <c r="V408" i="2"/>
  <c r="V413" i="2" s="1"/>
  <c r="G453" i="2"/>
  <c r="G454" i="2"/>
  <c r="G455" i="2"/>
  <c r="G456" i="2"/>
  <c r="G457" i="2"/>
  <c r="G458" i="2"/>
  <c r="G459" i="2"/>
  <c r="A462" i="2"/>
  <c r="B457" i="2"/>
  <c r="B458" i="2" s="1"/>
  <c r="B455" i="2"/>
  <c r="B454" i="2"/>
  <c r="B453" i="2"/>
  <c r="B452" i="2"/>
  <c r="AE418" i="2" l="1"/>
  <c r="AF420" i="2" s="1"/>
  <c r="V496" i="2"/>
  <c r="AE411" i="2"/>
  <c r="C534" i="2"/>
  <c r="C533" i="2"/>
  <c r="B528" i="2"/>
  <c r="V506" i="2"/>
  <c r="W508" i="2" s="1"/>
  <c r="W479" i="2"/>
  <c r="W478" i="2"/>
  <c r="W483" i="2"/>
  <c r="W482" i="2"/>
  <c r="V418" i="2"/>
  <c r="W419" i="2" s="1"/>
  <c r="AF419" i="2"/>
  <c r="V412" i="2"/>
  <c r="V422" i="2" s="1"/>
  <c r="W422" i="2" s="1"/>
  <c r="AE410" i="2"/>
  <c r="AE412" i="2" s="1"/>
  <c r="AF422" i="2" s="1"/>
  <c r="AF424" i="2" s="1"/>
  <c r="AJ408" i="2"/>
  <c r="B462" i="2"/>
  <c r="A463" i="2" s="1"/>
  <c r="B463" i="2" s="1"/>
  <c r="A464" i="2" s="1"/>
  <c r="B464" i="2" s="1"/>
  <c r="A465" i="2" s="1"/>
  <c r="B465" i="2" s="1"/>
  <c r="A466" i="2" s="1"/>
  <c r="B466" i="2" s="1"/>
  <c r="A467" i="2" s="1"/>
  <c r="B467" i="2" s="1"/>
  <c r="A468" i="2" s="1"/>
  <c r="B468" i="2" s="1"/>
  <c r="A469" i="2" s="1"/>
  <c r="W420" i="2" l="1"/>
  <c r="V414" i="2"/>
  <c r="C530" i="2"/>
  <c r="C529" i="2"/>
  <c r="W507" i="2"/>
  <c r="AF423" i="2"/>
  <c r="AJ410" i="2"/>
  <c r="AJ422" i="2" s="1"/>
  <c r="AK422" i="2" s="1"/>
  <c r="AJ418" i="2"/>
  <c r="W424" i="2"/>
  <c r="W423" i="2"/>
  <c r="AK420" i="2" l="1"/>
  <c r="AK419" i="2"/>
  <c r="AK424" i="2"/>
  <c r="AK423" i="2"/>
  <c r="B336" i="2" l="1"/>
  <c r="C340" i="2" s="1"/>
  <c r="B313" i="2"/>
  <c r="B314" i="2"/>
  <c r="C315" i="2" s="1"/>
  <c r="B317" i="2" s="1"/>
  <c r="B321" i="2"/>
  <c r="C321" i="2" s="1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K94" i="2"/>
  <c r="L94" i="2" s="1"/>
  <c r="K69" i="2"/>
  <c r="L69" i="2" s="1"/>
  <c r="K70" i="2"/>
  <c r="L70" i="2" s="1"/>
  <c r="K71" i="2"/>
  <c r="L71" i="2" s="1"/>
  <c r="K72" i="2"/>
  <c r="L72" i="2" s="1"/>
  <c r="K73" i="2"/>
  <c r="L73" i="2" s="1"/>
  <c r="K74" i="2"/>
  <c r="L74" i="2" s="1"/>
  <c r="K75" i="2"/>
  <c r="L75" i="2" s="1"/>
  <c r="K76" i="2"/>
  <c r="L76" i="2" s="1"/>
  <c r="K77" i="2"/>
  <c r="L77" i="2" s="1"/>
  <c r="K78" i="2"/>
  <c r="L78" i="2" s="1"/>
  <c r="K79" i="2"/>
  <c r="L79" i="2" s="1"/>
  <c r="K80" i="2"/>
  <c r="L80" i="2" s="1"/>
  <c r="K81" i="2"/>
  <c r="L81" i="2" s="1"/>
  <c r="K82" i="2"/>
  <c r="L82" i="2" s="1"/>
  <c r="K83" i="2"/>
  <c r="L83" i="2" s="1"/>
  <c r="K84" i="2"/>
  <c r="L84" i="2" s="1"/>
  <c r="K85" i="2"/>
  <c r="L85" i="2" s="1"/>
  <c r="K86" i="2"/>
  <c r="L86" i="2" s="1"/>
  <c r="K87" i="2"/>
  <c r="L87" i="2" s="1"/>
  <c r="K88" i="2"/>
  <c r="L88" i="2" s="1"/>
  <c r="K89" i="2"/>
  <c r="L89" i="2" s="1"/>
  <c r="K90" i="2"/>
  <c r="L90" i="2" s="1"/>
  <c r="K91" i="2"/>
  <c r="L91" i="2" s="1"/>
  <c r="K92" i="2"/>
  <c r="L92" i="2" s="1"/>
  <c r="K93" i="2"/>
  <c r="L93" i="2" s="1"/>
  <c r="K68" i="2"/>
  <c r="L68" i="2" s="1"/>
  <c r="C362" i="2" l="1"/>
  <c r="L122" i="2"/>
  <c r="C319" i="2"/>
  <c r="C318" i="2"/>
  <c r="D334" i="2" l="1"/>
  <c r="D333" i="2"/>
  <c r="C368" i="2"/>
  <c r="C323" i="2"/>
  <c r="C322" i="2"/>
  <c r="B337" i="2" l="1"/>
  <c r="B338" i="2" s="1"/>
  <c r="B346" i="2" s="1"/>
  <c r="C346" i="2" s="1"/>
  <c r="C369" i="2"/>
  <c r="C370" i="2"/>
  <c r="B364" i="2"/>
  <c r="B342" i="2"/>
  <c r="B290" i="2"/>
  <c r="D293" i="2" s="1"/>
  <c r="B289" i="2"/>
  <c r="B288" i="2"/>
  <c r="B273" i="2"/>
  <c r="B272" i="2"/>
  <c r="B266" i="2"/>
  <c r="C259" i="2"/>
  <c r="C258" i="2"/>
  <c r="C257" i="2"/>
  <c r="B259" i="2"/>
  <c r="B258" i="2"/>
  <c r="B257" i="2"/>
  <c r="B252" i="2"/>
  <c r="D252" i="2"/>
  <c r="B274" i="2" l="1"/>
  <c r="D297" i="2"/>
  <c r="D301" i="2"/>
  <c r="C343" i="2"/>
  <c r="C344" i="2"/>
  <c r="C348" i="2"/>
  <c r="C347" i="2"/>
  <c r="C366" i="2"/>
  <c r="C365" i="2"/>
  <c r="B250" i="2" l="1"/>
  <c r="B263" i="2" s="1"/>
  <c r="AN186" i="2"/>
  <c r="AL186" i="2"/>
  <c r="AL187" i="2" s="1"/>
  <c r="AH186" i="2"/>
  <c r="AF186" i="2"/>
  <c r="AG189" i="2" s="1"/>
  <c r="AB186" i="2"/>
  <c r="Z186" i="2"/>
  <c r="Z187" i="2" s="1"/>
  <c r="V186" i="2"/>
  <c r="T186" i="2"/>
  <c r="P186" i="2"/>
  <c r="N186" i="2"/>
  <c r="O189" i="2" s="1"/>
  <c r="J186" i="2"/>
  <c r="H186" i="2"/>
  <c r="H187" i="2" s="1"/>
  <c r="D186" i="2"/>
  <c r="B186" i="2"/>
  <c r="AL181" i="2"/>
  <c r="AM182" i="2" s="1"/>
  <c r="AF181" i="2"/>
  <c r="AG183" i="2" s="1"/>
  <c r="Z181" i="2"/>
  <c r="AA183" i="2" s="1"/>
  <c r="T181" i="2"/>
  <c r="U183" i="2" s="1"/>
  <c r="N181" i="2"/>
  <c r="O182" i="2" s="1"/>
  <c r="H181" i="2"/>
  <c r="I183" i="2" s="1"/>
  <c r="B181" i="2"/>
  <c r="C182" i="2" s="1"/>
  <c r="H176" i="2"/>
  <c r="G177" i="2"/>
  <c r="A177" i="2"/>
  <c r="B170" i="2"/>
  <c r="B171" i="2" s="1"/>
  <c r="AL176" i="2"/>
  <c r="AF176" i="2"/>
  <c r="Z176" i="2"/>
  <c r="T176" i="2"/>
  <c r="N176" i="2"/>
  <c r="B176" i="2"/>
  <c r="J161" i="2"/>
  <c r="F250" i="2" s="1"/>
  <c r="D263" i="2" s="1"/>
  <c r="J162" i="2"/>
  <c r="H250" i="2" s="1"/>
  <c r="J163" i="2"/>
  <c r="J250" i="2" s="1"/>
  <c r="J164" i="2"/>
  <c r="L250" i="2" s="1"/>
  <c r="J165" i="2"/>
  <c r="N250" i="2" s="1"/>
  <c r="J166" i="2"/>
  <c r="P250" i="2" s="1"/>
  <c r="J160" i="2"/>
  <c r="D250" i="2" s="1"/>
  <c r="C189" i="2" l="1"/>
  <c r="C188" i="2"/>
  <c r="B187" i="2"/>
  <c r="C183" i="2"/>
  <c r="I188" i="2"/>
  <c r="U182" i="2"/>
  <c r="AA182" i="2"/>
  <c r="U189" i="2"/>
  <c r="O183" i="2"/>
  <c r="G172" i="2"/>
  <c r="C172" i="2"/>
  <c r="AM179" i="2" s="1"/>
  <c r="T187" i="2"/>
  <c r="U188" i="2"/>
  <c r="AA189" i="2"/>
  <c r="T177" i="2"/>
  <c r="Z177" i="2"/>
  <c r="I189" i="2"/>
  <c r="AM188" i="2"/>
  <c r="AG182" i="2"/>
  <c r="AF187" i="2"/>
  <c r="AM189" i="2"/>
  <c r="AM183" i="2"/>
  <c r="B285" i="2"/>
  <c r="B297" i="2" s="1"/>
  <c r="B286" i="2"/>
  <c r="B301" i="2" s="1"/>
  <c r="B284" i="2"/>
  <c r="B293" i="2" s="1"/>
  <c r="AA188" i="2"/>
  <c r="AG188" i="2"/>
  <c r="AG179" i="2"/>
  <c r="C178" i="2"/>
  <c r="I182" i="2"/>
  <c r="N187" i="2"/>
  <c r="O18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68" i="2"/>
  <c r="E302" i="2" l="1"/>
  <c r="C302" i="2"/>
  <c r="E298" i="2"/>
  <c r="C298" i="2"/>
  <c r="O179" i="2"/>
  <c r="H177" i="2"/>
  <c r="U178" i="2"/>
  <c r="O178" i="2"/>
  <c r="I179" i="2"/>
  <c r="AL177" i="2"/>
  <c r="AA179" i="2"/>
  <c r="C179" i="2"/>
  <c r="AM178" i="2"/>
  <c r="E294" i="2"/>
  <c r="C294" i="2"/>
  <c r="I178" i="2"/>
  <c r="B177" i="2"/>
  <c r="AF177" i="2"/>
  <c r="AG178" i="2"/>
  <c r="U179" i="2"/>
  <c r="AA178" i="2"/>
  <c r="N177" i="2"/>
  <c r="A124" i="2" a="1"/>
  <c r="C305" i="2" l="1"/>
  <c r="A124" i="2"/>
  <c r="A134" i="2" a="1"/>
  <c r="A134" i="2" s="1"/>
  <c r="C134" i="2" a="1"/>
  <c r="C134" i="2" l="1"/>
  <c r="L134" i="2" a="1"/>
  <c r="L134" i="2" l="1"/>
  <c r="V134" i="2" a="1"/>
  <c r="V134" i="2" l="1"/>
  <c r="Y135" i="2" s="1"/>
  <c r="AG135" i="2"/>
  <c r="AE135" i="2"/>
  <c r="AC135" i="2"/>
  <c r="AK135" i="2"/>
  <c r="AI135" i="2"/>
  <c r="AA135" i="2"/>
  <c r="AM135" i="2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C111" i="3"/>
  <c r="B111" i="3"/>
  <c r="A111" i="3"/>
  <c r="C110" i="3"/>
  <c r="B110" i="3"/>
  <c r="A110" i="3"/>
  <c r="C109" i="3"/>
  <c r="B109" i="3"/>
  <c r="A109" i="3"/>
  <c r="C108" i="3"/>
  <c r="B108" i="3"/>
  <c r="A108" i="3"/>
  <c r="C107" i="3"/>
  <c r="B107" i="3"/>
  <c r="A107" i="3"/>
  <c r="C106" i="3"/>
  <c r="B106" i="3"/>
  <c r="A106" i="3"/>
  <c r="C105" i="3"/>
  <c r="B105" i="3"/>
  <c r="A105" i="3"/>
  <c r="C104" i="3"/>
  <c r="B104" i="3"/>
  <c r="A104" i="3"/>
  <c r="C103" i="3"/>
  <c r="B103" i="3"/>
  <c r="A103" i="3"/>
  <c r="C102" i="3"/>
  <c r="B102" i="3"/>
  <c r="A102" i="3"/>
  <c r="C101" i="3"/>
  <c r="B101" i="3"/>
  <c r="A101" i="3"/>
  <c r="C100" i="3"/>
  <c r="B100" i="3"/>
  <c r="A100" i="3"/>
  <c r="C99" i="3"/>
  <c r="B99" i="3"/>
  <c r="A99" i="3"/>
  <c r="C98" i="3"/>
  <c r="B98" i="3"/>
  <c r="A98" i="3"/>
  <c r="C97" i="3"/>
  <c r="B97" i="3"/>
  <c r="A97" i="3"/>
  <c r="C96" i="3"/>
  <c r="B96" i="3"/>
  <c r="A96" i="3"/>
  <c r="C95" i="3"/>
  <c r="B95" i="3"/>
  <c r="A95" i="3"/>
  <c r="C94" i="3"/>
  <c r="B94" i="3"/>
  <c r="A94" i="3"/>
  <c r="C93" i="3"/>
  <c r="B93" i="3"/>
  <c r="A93" i="3"/>
  <c r="C92" i="3"/>
  <c r="B92" i="3"/>
  <c r="A92" i="3"/>
  <c r="C91" i="3"/>
  <c r="B91" i="3"/>
  <c r="A91" i="3"/>
  <c r="C90" i="3"/>
  <c r="B90" i="3"/>
  <c r="A90" i="3"/>
  <c r="C89" i="3"/>
  <c r="B89" i="3"/>
  <c r="A89" i="3"/>
  <c r="C88" i="3"/>
  <c r="B88" i="3"/>
  <c r="A88" i="3"/>
  <c r="C87" i="3"/>
  <c r="B87" i="3"/>
  <c r="A87" i="3"/>
  <c r="C86" i="3"/>
  <c r="B86" i="3"/>
  <c r="A86" i="3"/>
  <c r="C85" i="3"/>
  <c r="B85" i="3"/>
  <c r="A85" i="3"/>
  <c r="C84" i="3"/>
  <c r="B84" i="3"/>
  <c r="A84" i="3"/>
  <c r="C83" i="3"/>
  <c r="B83" i="3"/>
  <c r="A83" i="3"/>
  <c r="C82" i="3"/>
  <c r="B82" i="3"/>
  <c r="A82" i="3"/>
  <c r="C81" i="3"/>
  <c r="B81" i="3"/>
  <c r="A81" i="3"/>
  <c r="C80" i="3"/>
  <c r="B80" i="3"/>
  <c r="A80" i="3"/>
  <c r="C79" i="3"/>
  <c r="B79" i="3"/>
  <c r="A79" i="3"/>
  <c r="C78" i="3"/>
  <c r="B78" i="3"/>
  <c r="A78" i="3"/>
  <c r="C77" i="3"/>
  <c r="B77" i="3"/>
  <c r="A77" i="3"/>
  <c r="C76" i="3"/>
  <c r="B76" i="3"/>
  <c r="A76" i="3"/>
  <c r="C75" i="3"/>
  <c r="B75" i="3"/>
  <c r="A75" i="3"/>
  <c r="C74" i="3"/>
  <c r="B74" i="3"/>
  <c r="A74" i="3"/>
  <c r="C73" i="3"/>
  <c r="B73" i="3"/>
  <c r="A73" i="3"/>
  <c r="C72" i="3"/>
  <c r="B72" i="3"/>
  <c r="A72" i="3"/>
  <c r="C71" i="3"/>
  <c r="B71" i="3"/>
  <c r="A71" i="3"/>
  <c r="C70" i="3"/>
  <c r="B70" i="3"/>
  <c r="A70" i="3"/>
  <c r="C69" i="3"/>
  <c r="B69" i="3"/>
  <c r="A69" i="3"/>
  <c r="C68" i="3"/>
  <c r="B68" i="3"/>
  <c r="A68" i="3"/>
  <c r="C67" i="3"/>
  <c r="B67" i="3"/>
  <c r="A67" i="3"/>
  <c r="C66" i="3"/>
  <c r="B66" i="3"/>
  <c r="A66" i="3"/>
  <c r="C65" i="3"/>
  <c r="B65" i="3"/>
  <c r="A65" i="3"/>
  <c r="C64" i="3"/>
  <c r="B64" i="3"/>
  <c r="A64" i="3"/>
  <c r="C63" i="3"/>
  <c r="B63" i="3"/>
  <c r="A63" i="3"/>
  <c r="C62" i="3"/>
  <c r="B62" i="3"/>
  <c r="A62" i="3"/>
  <c r="C61" i="3"/>
  <c r="B61" i="3"/>
  <c r="A61" i="3"/>
  <c r="C60" i="3"/>
  <c r="B60" i="3"/>
  <c r="A60" i="3"/>
  <c r="C59" i="3"/>
  <c r="B59" i="3"/>
  <c r="A59" i="3"/>
  <c r="C58" i="3"/>
  <c r="B58" i="3"/>
  <c r="V141" i="2"/>
  <c r="V140" i="2"/>
  <c r="V139" i="2"/>
  <c r="V138" i="2"/>
  <c r="V137" i="2"/>
  <c r="V136" i="2"/>
  <c r="V135" i="2"/>
  <c r="S141" i="2"/>
  <c r="R141" i="2"/>
  <c r="Q141" i="2"/>
  <c r="P141" i="2"/>
  <c r="O141" i="2"/>
  <c r="N141" i="2"/>
  <c r="M141" i="2"/>
  <c r="L141" i="2"/>
  <c r="S140" i="2"/>
  <c r="R140" i="2"/>
  <c r="Q140" i="2"/>
  <c r="P140" i="2"/>
  <c r="O140" i="2"/>
  <c r="N140" i="2"/>
  <c r="M140" i="2"/>
  <c r="L140" i="2"/>
  <c r="S139" i="2"/>
  <c r="R139" i="2"/>
  <c r="Q139" i="2"/>
  <c r="P139" i="2"/>
  <c r="O139" i="2"/>
  <c r="N139" i="2"/>
  <c r="M139" i="2"/>
  <c r="L139" i="2"/>
  <c r="S138" i="2"/>
  <c r="R138" i="2"/>
  <c r="Q138" i="2"/>
  <c r="P138" i="2"/>
  <c r="O138" i="2"/>
  <c r="N138" i="2"/>
  <c r="M138" i="2"/>
  <c r="L138" i="2"/>
  <c r="S137" i="2"/>
  <c r="R137" i="2"/>
  <c r="Q137" i="2"/>
  <c r="P137" i="2"/>
  <c r="O137" i="2"/>
  <c r="N137" i="2"/>
  <c r="M137" i="2"/>
  <c r="L137" i="2"/>
  <c r="S136" i="2"/>
  <c r="R136" i="2"/>
  <c r="Q136" i="2"/>
  <c r="P136" i="2"/>
  <c r="O136" i="2"/>
  <c r="N136" i="2"/>
  <c r="M136" i="2"/>
  <c r="L136" i="2"/>
  <c r="S135" i="2"/>
  <c r="R135" i="2"/>
  <c r="Q135" i="2"/>
  <c r="P135" i="2"/>
  <c r="O135" i="2"/>
  <c r="N135" i="2"/>
  <c r="M135" i="2"/>
  <c r="L135" i="2"/>
  <c r="S134" i="2"/>
  <c r="R134" i="2"/>
  <c r="Q134" i="2"/>
  <c r="P134" i="2"/>
  <c r="O134" i="2"/>
  <c r="N134" i="2"/>
  <c r="M134" i="2"/>
  <c r="J141" i="2"/>
  <c r="I141" i="2"/>
  <c r="H141" i="2"/>
  <c r="G141" i="2"/>
  <c r="F141" i="2"/>
  <c r="E141" i="2"/>
  <c r="D141" i="2"/>
  <c r="C141" i="2"/>
  <c r="J140" i="2"/>
  <c r="I140" i="2"/>
  <c r="H140" i="2"/>
  <c r="G140" i="2"/>
  <c r="F140" i="2"/>
  <c r="E140" i="2"/>
  <c r="D140" i="2"/>
  <c r="C140" i="2"/>
  <c r="J139" i="2"/>
  <c r="I139" i="2"/>
  <c r="H139" i="2"/>
  <c r="G139" i="2"/>
  <c r="F139" i="2"/>
  <c r="E139" i="2"/>
  <c r="D139" i="2"/>
  <c r="C139" i="2"/>
  <c r="J138" i="2"/>
  <c r="I138" i="2"/>
  <c r="H138" i="2"/>
  <c r="G138" i="2"/>
  <c r="F138" i="2"/>
  <c r="E138" i="2"/>
  <c r="D138" i="2"/>
  <c r="C138" i="2"/>
  <c r="J137" i="2"/>
  <c r="I137" i="2"/>
  <c r="H137" i="2"/>
  <c r="G137" i="2"/>
  <c r="F137" i="2"/>
  <c r="E137" i="2"/>
  <c r="D137" i="2"/>
  <c r="C137" i="2"/>
  <c r="J136" i="2"/>
  <c r="I136" i="2"/>
  <c r="H136" i="2"/>
  <c r="G136" i="2"/>
  <c r="F136" i="2"/>
  <c r="E136" i="2"/>
  <c r="D136" i="2"/>
  <c r="C136" i="2"/>
  <c r="J135" i="2"/>
  <c r="I135" i="2"/>
  <c r="H135" i="2"/>
  <c r="G135" i="2"/>
  <c r="F135" i="2"/>
  <c r="E135" i="2"/>
  <c r="D135" i="2"/>
  <c r="C135" i="2"/>
  <c r="J134" i="2"/>
  <c r="I134" i="2"/>
  <c r="H134" i="2"/>
  <c r="G134" i="2"/>
  <c r="F134" i="2"/>
  <c r="E134" i="2"/>
  <c r="D134" i="2"/>
  <c r="A141" i="2"/>
  <c r="A140" i="2"/>
  <c r="A139" i="2"/>
  <c r="A138" i="2"/>
  <c r="A137" i="2"/>
  <c r="A136" i="2"/>
  <c r="A135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<sst xmlns="http://schemas.openxmlformats.org/spreadsheetml/2006/main" count="886" uniqueCount="368">
  <si>
    <t>t1</t>
  </si>
  <si>
    <t>t2</t>
  </si>
  <si>
    <t>t3</t>
  </si>
  <si>
    <t>b1</t>
  </si>
  <si>
    <t>b2</t>
  </si>
  <si>
    <t>b3</t>
  </si>
  <si>
    <t>b0</t>
  </si>
  <si>
    <t>+</t>
  </si>
  <si>
    <t xml:space="preserve">Y </t>
  </si>
  <si>
    <t>NDVI index</t>
  </si>
  <si>
    <t>X1</t>
  </si>
  <si>
    <t>nadmorská výška</t>
  </si>
  <si>
    <t>X2</t>
  </si>
  <si>
    <t>typ vegetácie</t>
  </si>
  <si>
    <t>X3</t>
  </si>
  <si>
    <t>denný GDD</t>
  </si>
  <si>
    <t>Premenná</t>
  </si>
  <si>
    <t>Názov</t>
  </si>
  <si>
    <t>Úroveň -1</t>
  </si>
  <si>
    <t>Úroveň 0</t>
  </si>
  <si>
    <t>Úroveň 1</t>
  </si>
  <si>
    <t>Listnaté lesy</t>
  </si>
  <si>
    <t>Ihličnaté lesy</t>
  </si>
  <si>
    <t>Trávnaté porasty</t>
  </si>
  <si>
    <t>alfa</t>
  </si>
  <si>
    <t>y</t>
  </si>
  <si>
    <t>1. C-plot</t>
  </si>
  <si>
    <t>b12</t>
  </si>
  <si>
    <t>b13</t>
  </si>
  <si>
    <t>b23</t>
  </si>
  <si>
    <t>b123</t>
  </si>
  <si>
    <t>XT</t>
  </si>
  <si>
    <t>2. Transformovaná regresná funkcia - lineárna</t>
  </si>
  <si>
    <t>XT.Y</t>
  </si>
  <si>
    <t>m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</si>
  <si>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</si>
  <si>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</si>
  <si>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</si>
  <si>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</si>
  <si>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</si>
  <si>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</si>
  <si>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</si>
  <si>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</si>
  <si>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</si>
  <si>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</si>
  <si>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</si>
  <si>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</si>
  <si>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</si>
  <si>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</si>
  <si>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</si>
  <si>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</si>
  <si>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</si>
  <si>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</si>
  <si>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</si>
  <si>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</si>
  <si>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</si>
  <si>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</si>
  <si>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95,0%</t>
  </si>
  <si>
    <t>Upper 95,0%</t>
  </si>
  <si>
    <t>XT.X</t>
  </si>
  <si>
    <t>(XT.X)^-1</t>
  </si>
  <si>
    <t>t0</t>
  </si>
  <si>
    <t>Kompletná rovnica s odhadovanými koeficientami transformovanej lineárnej regresnej funkcie</t>
  </si>
  <si>
    <t>*t1</t>
  </si>
  <si>
    <t>*t2+</t>
  </si>
  <si>
    <t>*t3+</t>
  </si>
  <si>
    <t>*t1*t2+</t>
  </si>
  <si>
    <t>*t1*t3</t>
  </si>
  <si>
    <t>*t2*t3</t>
  </si>
  <si>
    <t>*t1*t2*t3</t>
  </si>
  <si>
    <t>yLt(b1,b2,b3)=</t>
  </si>
  <si>
    <t>3. t-testy faktorov a ich interakcií</t>
  </si>
  <si>
    <t>tkv,46(1 - alfa/2)</t>
  </si>
  <si>
    <t>W</t>
  </si>
  <si>
    <t>(</t>
  </si>
  <si>
    <t>(-∞;</t>
  </si>
  <si>
    <t>)</t>
  </si>
  <si>
    <t>∪</t>
  </si>
  <si>
    <t>;</t>
  </si>
  <si>
    <t>; ∞)</t>
  </si>
  <si>
    <r>
      <t xml:space="preserve">H0: b1 =0 &gt;&lt; H1: b1 </t>
    </r>
    <r>
      <rPr>
        <sz val="11"/>
        <color theme="1"/>
        <rFont val="Aptos Narrow"/>
        <family val="2"/>
      </rPr>
      <t>≠</t>
    </r>
    <r>
      <rPr>
        <sz val="11"/>
        <color theme="1"/>
        <rFont val="Aptos Narrow"/>
        <family val="2"/>
        <charset val="238"/>
      </rPr>
      <t xml:space="preserve"> 0</t>
    </r>
  </si>
  <si>
    <r>
      <t xml:space="preserve">H0: b2 =0 &gt;&lt; H1: b2 </t>
    </r>
    <r>
      <rPr>
        <sz val="11"/>
        <color theme="1"/>
        <rFont val="Aptos Narrow"/>
        <family val="2"/>
      </rPr>
      <t>≠</t>
    </r>
    <r>
      <rPr>
        <sz val="11"/>
        <color theme="1"/>
        <rFont val="Aptos Narrow"/>
        <family val="2"/>
        <charset val="238"/>
      </rPr>
      <t xml:space="preserve"> 0</t>
    </r>
  </si>
  <si>
    <r>
      <t xml:space="preserve">H0: b3 =0 &gt;&lt; H1: b3 </t>
    </r>
    <r>
      <rPr>
        <sz val="11"/>
        <color theme="1"/>
        <rFont val="Aptos Narrow"/>
        <family val="2"/>
      </rPr>
      <t>≠</t>
    </r>
    <r>
      <rPr>
        <sz val="11"/>
        <color theme="1"/>
        <rFont val="Aptos Narrow"/>
        <family val="2"/>
        <charset val="238"/>
      </rPr>
      <t xml:space="preserve"> 0</t>
    </r>
  </si>
  <si>
    <r>
      <t xml:space="preserve">H0: b12 =0 &gt;&lt; H1: b12 </t>
    </r>
    <r>
      <rPr>
        <sz val="11"/>
        <color theme="1"/>
        <rFont val="Aptos Narrow"/>
        <family val="2"/>
      </rPr>
      <t>≠</t>
    </r>
    <r>
      <rPr>
        <sz val="11"/>
        <color theme="1"/>
        <rFont val="Aptos Narrow"/>
        <family val="2"/>
        <charset val="238"/>
      </rPr>
      <t xml:space="preserve"> 0</t>
    </r>
  </si>
  <si>
    <r>
      <t xml:space="preserve">H0: b13 =0 &gt;&lt; H1: b13 </t>
    </r>
    <r>
      <rPr>
        <sz val="11"/>
        <color theme="1"/>
        <rFont val="Aptos Narrow"/>
        <family val="2"/>
      </rPr>
      <t>≠</t>
    </r>
    <r>
      <rPr>
        <sz val="11"/>
        <color theme="1"/>
        <rFont val="Aptos Narrow"/>
        <family val="2"/>
        <charset val="238"/>
      </rPr>
      <t xml:space="preserve"> 0</t>
    </r>
  </si>
  <si>
    <r>
      <t xml:space="preserve">H0: b23 =0 &gt;&lt; H1: b23 </t>
    </r>
    <r>
      <rPr>
        <sz val="11"/>
        <color theme="1"/>
        <rFont val="Aptos Narrow"/>
        <family val="2"/>
      </rPr>
      <t>≠</t>
    </r>
    <r>
      <rPr>
        <sz val="11"/>
        <color theme="1"/>
        <rFont val="Aptos Narrow"/>
        <family val="2"/>
        <charset val="238"/>
      </rPr>
      <t xml:space="preserve"> 0</t>
    </r>
  </si>
  <si>
    <r>
      <t xml:space="preserve">H0: b123 =0 &gt;&lt; H1: b123 </t>
    </r>
    <r>
      <rPr>
        <sz val="11"/>
        <color theme="1"/>
        <rFont val="Aptos Narrow"/>
        <family val="2"/>
      </rPr>
      <t>≠</t>
    </r>
    <r>
      <rPr>
        <sz val="11"/>
        <color theme="1"/>
        <rFont val="Aptos Narrow"/>
        <family val="2"/>
        <charset val="238"/>
      </rPr>
      <t xml:space="preserve"> 0</t>
    </r>
  </si>
  <si>
    <t xml:space="preserve"> =&gt;</t>
  </si>
  <si>
    <t>H0</t>
  </si>
  <si>
    <t>H1</t>
  </si>
  <si>
    <t>p</t>
  </si>
  <si>
    <t>IS</t>
  </si>
  <si>
    <t xml:space="preserve">b1 = 0 </t>
  </si>
  <si>
    <t xml:space="preserve">b2 = 0 </t>
  </si>
  <si>
    <t xml:space="preserve">b3 = 0 </t>
  </si>
  <si>
    <t xml:space="preserve">b12 = 0 </t>
  </si>
  <si>
    <t xml:space="preserve">b13 = 0 </t>
  </si>
  <si>
    <t xml:space="preserve">b23 = 0 </t>
  </si>
  <si>
    <t xml:space="preserve">b123 = 0 </t>
  </si>
  <si>
    <t>4. Upravená transformovaná regresná funkcia - lineárna</t>
  </si>
  <si>
    <t>5. Regresná lineárna funkcia v nekódovaných jednotkách</t>
  </si>
  <si>
    <t>*t2</t>
  </si>
  <si>
    <t>s</t>
  </si>
  <si>
    <t>lambda</t>
  </si>
  <si>
    <t>t = (x-s)/lamda</t>
  </si>
  <si>
    <t>yLt(t1,t2,t3)=</t>
  </si>
  <si>
    <t>yLt(t2)=</t>
  </si>
  <si>
    <t>*x2</t>
  </si>
  <si>
    <t>yL(X2)=</t>
  </si>
  <si>
    <t>6. R^2</t>
  </si>
  <si>
    <t>RSQ</t>
  </si>
  <si>
    <t>7. R^2 adj</t>
  </si>
  <si>
    <t>RSQadj1</t>
  </si>
  <si>
    <t>RSQadj2</t>
  </si>
  <si>
    <t xml:space="preserve">RSQadj2 </t>
  </si>
  <si>
    <t>&lt; 0,5</t>
  </si>
  <si>
    <t>13,11 % variability Y je vysvetlenej variabilitou X2, pri zmene faktora X2 sa nebude Y výrazne meniť</t>
  </si>
  <si>
    <t>Po vylúčení štatisticky nevýznamných premenných došlo k nárastu upraveného indexu determinácie z hodnoty 0,09 na 0,11.</t>
  </si>
  <si>
    <t>Nárast potvrdzuje, že krok vylúčenia premenných bol pre kvalitu modelu prospešný.</t>
  </si>
  <si>
    <t>To, že hodnota stúpla, znamená, že vylúčené premenné v pôvodnom modeli nemali relevantnú informačnú hodnotu, ale iba zbytočne zvyšovali zložitosť modelu</t>
  </si>
  <si>
    <t>Redukovaný model je efektívnejší a úspornejší. Dokáže vysvetliť variabilitu dát lepšie ako pôvodný model, aj keď stále slabo.</t>
  </si>
  <si>
    <t>Y</t>
  </si>
  <si>
    <t>t1.t2</t>
  </si>
  <si>
    <t>t1.t3</t>
  </si>
  <si>
    <t>t2.t3</t>
  </si>
  <si>
    <t>t1.t2.t3</t>
  </si>
  <si>
    <t>8. Predikcia</t>
  </si>
  <si>
    <t>Ymin</t>
  </si>
  <si>
    <t>Ymax</t>
  </si>
  <si>
    <t>86,89 % variability nie je vysvetlenej modelom, model nie je rozumné prakticky ani teoreticky využívať</t>
  </si>
  <si>
    <t>SE</t>
  </si>
  <si>
    <t>X2 = -1:</t>
  </si>
  <si>
    <t>±</t>
  </si>
  <si>
    <t>Yc1 =</t>
  </si>
  <si>
    <t>X2 = 0:</t>
  </si>
  <si>
    <t>Yc2 =</t>
  </si>
  <si>
    <t>X2 = 1:</t>
  </si>
  <si>
    <t>Yc3 =</t>
  </si>
  <si>
    <t>hodnoty NDVI koeficientu sa pohybujú v rozsahu od 0 po 1</t>
  </si>
  <si>
    <t xml:space="preserve">predikcia hodnôt zachytáva priemerne </t>
  </si>
  <si>
    <t>Pre trojúrovňovú kvalitatívnu premennú však vyplýva, že hodnoty sú pri diskrétnom uvažovaní premennej iba tri, a teda predikcia je výrazne nedostatočná</t>
  </si>
  <si>
    <t>9. F test</t>
  </si>
  <si>
    <t xml:space="preserve">alfa </t>
  </si>
  <si>
    <t>F0</t>
  </si>
  <si>
    <t>Fkv, 1, 52 (0,95)</t>
  </si>
  <si>
    <t>10. Lack of Fit</t>
  </si>
  <si>
    <t>1-F(F0)</t>
  </si>
  <si>
    <t>LF</t>
  </si>
  <si>
    <t>PE</t>
  </si>
  <si>
    <t>ypriem</t>
  </si>
  <si>
    <t>No. rep</t>
  </si>
  <si>
    <t>(yj-yjpriem)^2</t>
  </si>
  <si>
    <t>Fkv 25,27 (0,95)</t>
  </si>
  <si>
    <t>H0: Model je nedostatočne prispôsobivý (LOF)  &gt;&lt; H1:Model je dostatočne prispôsobivý (No LOF)</t>
  </si>
  <si>
    <t>11. Test krivosti</t>
  </si>
  <si>
    <t>nc</t>
  </si>
  <si>
    <t>nf</t>
  </si>
  <si>
    <t>yc</t>
  </si>
  <si>
    <t>yf</t>
  </si>
  <si>
    <t>SSCPQ</t>
  </si>
  <si>
    <t>(yi-yic)^2</t>
  </si>
  <si>
    <t>regresný model vysvetľuje iba 13,11 % celkového rozptylu, nie je kvalitný a závislosť X2 a Y je slabá, model má nízku koreláciu</t>
  </si>
  <si>
    <t>Redukovaný model má o niečo lepšiu schopnosť zovšeobecnenia (generalizácie) pre nové dáta než pôvodný model, stále má však nízku koreláciu</t>
  </si>
  <si>
    <t>12. Reziduá</t>
  </si>
  <si>
    <t>RESIDUAL OUTPUT</t>
  </si>
  <si>
    <t>Observation</t>
  </si>
  <si>
    <t>Predicted y</t>
  </si>
  <si>
    <t>Residuals</t>
  </si>
  <si>
    <t>Standard Residuals</t>
  </si>
  <si>
    <t>PROBABILITY OUTPUT</t>
  </si>
  <si>
    <t>Percentile</t>
  </si>
  <si>
    <t>k≈n^0,5=</t>
  </si>
  <si>
    <t>k≤5 log n=</t>
  </si>
  <si>
    <t>k≈1+3,322 log n=</t>
  </si>
  <si>
    <t>k≈2,5n^0,25=</t>
  </si>
  <si>
    <t>n =</t>
  </si>
  <si>
    <t>Range</t>
  </si>
  <si>
    <t>kx</t>
  </si>
  <si>
    <t>DH</t>
  </si>
  <si>
    <t>HH</t>
  </si>
  <si>
    <t>More</t>
  </si>
  <si>
    <t>Frequency</t>
  </si>
  <si>
    <t>Cumulative %</t>
  </si>
  <si>
    <t>Mean</t>
  </si>
  <si>
    <t>N(0;0,135^2)</t>
  </si>
  <si>
    <t>Sorted Residuals</t>
  </si>
  <si>
    <t>Column1</t>
  </si>
  <si>
    <t>Median</t>
  </si>
  <si>
    <t>Mode</t>
  </si>
  <si>
    <t>Standard Deviation</t>
  </si>
  <si>
    <t>Sample Variance</t>
  </si>
  <si>
    <t>Kurtosis</t>
  </si>
  <si>
    <t>Skewness</t>
  </si>
  <si>
    <t>Minimum</t>
  </si>
  <si>
    <t>Maximum</t>
  </si>
  <si>
    <t>Sum</t>
  </si>
  <si>
    <t>Count</t>
  </si>
  <si>
    <t>Body kopírujú úsečku, reziduá môžu mať normálne rozdelenie</t>
  </si>
  <si>
    <t>Závery si protirečia, je potrebné normalitu reziduí otestovať</t>
  </si>
  <si>
    <t>Histogram nekopíruje teoretickú gaussovu krivku, reziduá nemusia mať normálne rozdelenie</t>
  </si>
  <si>
    <t>test normality</t>
  </si>
  <si>
    <r>
      <t xml:space="preserve">Normálne rozdelenie: </t>
    </r>
    <r>
      <rPr>
        <sz val="11"/>
        <color theme="1"/>
        <rFont val="Calibri"/>
        <family val="2"/>
        <charset val="238"/>
      </rPr>
      <t>α(X) = 0; β(X) = 0</t>
    </r>
  </si>
  <si>
    <t>hladina významnosti</t>
  </si>
  <si>
    <t>1) Test šikmosti</t>
  </si>
  <si>
    <t>2) Test špicatosti</t>
  </si>
  <si>
    <t>3) C - test</t>
  </si>
  <si>
    <r>
      <t xml:space="preserve">D </t>
    </r>
    <r>
      <rPr>
        <sz val="11"/>
        <color theme="1"/>
        <rFont val="Calibri"/>
        <family val="2"/>
        <charset val="238"/>
      </rPr>
      <t>α(X)</t>
    </r>
  </si>
  <si>
    <r>
      <t xml:space="preserve">D </t>
    </r>
    <r>
      <rPr>
        <sz val="11"/>
        <color theme="1"/>
        <rFont val="Calibri"/>
        <family val="2"/>
        <charset val="238"/>
      </rPr>
      <t>β(X)</t>
    </r>
  </si>
  <si>
    <t>χkv2,0</t>
  </si>
  <si>
    <t>u03</t>
  </si>
  <si>
    <t>u04</t>
  </si>
  <si>
    <t>χkv,kvant,2,0,95</t>
  </si>
  <si>
    <t>u0,025</t>
  </si>
  <si>
    <t>1 - F(χkv2,0)</t>
  </si>
  <si>
    <t>u0,975</t>
  </si>
  <si>
    <t>P hodnota</t>
  </si>
  <si>
    <t>F(u03)</t>
  </si>
  <si>
    <t>F(u04)</t>
  </si>
  <si>
    <t>1 - F(u03)</t>
  </si>
  <si>
    <t>1 - F(u04)</t>
  </si>
  <si>
    <t>Záver: Test normality</t>
  </si>
  <si>
    <t>nakoľko nezamietam hypotézu o nulovej šikmosti a nezamietam hypotézu o nulovej špicatosti na hladine významnosti 0,05</t>
  </si>
  <si>
    <t>Záver: C test</t>
  </si>
  <si>
    <t>Na hladine významnosti 0,05 možno tvrdiť, že reziduá pochádzajú z normálneho rozdelenia</t>
  </si>
  <si>
    <t>Test homoskedasticity</t>
  </si>
  <si>
    <t>H1: Reziduá nepochádzajú z normálneho rozdelenia</t>
  </si>
  <si>
    <t>H0: Reziduá pochádzajú z normálneho rozdelenia</t>
  </si>
  <si>
    <t>H0: Rozptyl rezíduí je konštantný (homoskedasticita)</t>
  </si>
  <si>
    <t>H1: Rozptyl rezíduí nie je konštantný (heteroskedasticita).</t>
  </si>
  <si>
    <t>Breusch-Pagan test</t>
  </si>
  <si>
    <t>e^2</t>
  </si>
  <si>
    <t>LM</t>
  </si>
  <si>
    <t>chikv1(0,95)</t>
  </si>
  <si>
    <t>Test nezávislosti reziduí</t>
  </si>
  <si>
    <t>Po analýze grafu "versus fit" je možné tvrdiť, že rozptyl reziduí je konštantný (reziduá sa vyznačujú homoskedasticitou)</t>
  </si>
  <si>
    <t>Po analýze grafu "Versus Order" je možné tvrdiť, že chyby merania nemajú súčtový charakter a navzájom</t>
  </si>
  <si>
    <t xml:space="preserve"> sa neovplyvňujú (reziduá vykazujú náhodný šum)</t>
  </si>
  <si>
    <t>Durbin Watson test</t>
  </si>
  <si>
    <t>H0: Medzi rezíduami neexistuje autokorelácia prvého rádu</t>
  </si>
  <si>
    <t>H1:Medzi rezíduami existuje autokorelácia prvého rádu</t>
  </si>
  <si>
    <t>(ei - ei-1)^2</t>
  </si>
  <si>
    <t>DW</t>
  </si>
  <si>
    <t>n</t>
  </si>
  <si>
    <t>k</t>
  </si>
  <si>
    <t>DL</t>
  </si>
  <si>
    <t>DU</t>
  </si>
  <si>
    <t>4 - DU</t>
  </si>
  <si>
    <t>(0;</t>
  </si>
  <si>
    <t>; 4)</t>
  </si>
  <si>
    <t>Vykonané pri testovaní významnosti jednotlivých faktorov a ich interakcií</t>
  </si>
  <si>
    <t>chikv</t>
  </si>
  <si>
    <t>SSEred</t>
  </si>
  <si>
    <t>SSEfull</t>
  </si>
  <si>
    <t>F(1,51)kv</t>
  </si>
  <si>
    <t>H1: Dodatočný prediktor X1 zlepšuje prispôsobenie modelu (model s pridaným prediktorom je lepší)</t>
  </si>
  <si>
    <t>H0: Dodatočný prediktor X1 nezlepšuje prispôsobenie modelu (postačuje redukovaný model)</t>
  </si>
  <si>
    <t>14. F test dodatočného príspevku faktoru X1</t>
  </si>
  <si>
    <t>13. t test nulovosti regresného koeficientu</t>
  </si>
  <si>
    <t>15. t test nulovosti regresného koeficientu interakcie faktorov</t>
  </si>
  <si>
    <t>16. Hlavné efekty</t>
  </si>
  <si>
    <t>Z analýzy grafov hlavných efektov jednotlivých faktorov je zrejmé, že:</t>
  </si>
  <si>
    <t>Grafy vygenerované excelom</t>
  </si>
  <si>
    <t>X21</t>
  </si>
  <si>
    <t>17. Efekt interakcií faktorov</t>
  </si>
  <si>
    <t>Závery potvrdzujú vylúčenie faktorov X1 a X3 z regresného modelu a ponechanie faktora X2, pričom ihličnaté lesy a trávnaté porasty majú relatívne podobné hodnoty NDVI indexu, takže je ich možné považovať za jednu úroveň</t>
  </si>
  <si>
    <t>Ak je cieľom maximalizovať NDVI index, potom optimálne nastavenie faktorov interakcie X12 je X1 = 1 a X2 = 0</t>
  </si>
  <si>
    <t>Ak je naopak cieľom minimalizovať NDVI index, tento je najmenší pri listnatých lesoch v nadmorskej výške okolo 300 m</t>
  </si>
  <si>
    <t>Grafy interakcie faktorov X1 a X2 (nadmorskej výšky a typu vegetácie) ukazujú, že:</t>
  </si>
  <si>
    <t xml:space="preserve"> - najvyššie hodnoty NDVI indexu sú pri nastavení X1 = 900 m a X2 = 0 (ihličnaté lesy). Relatívne podobné hodnoty je možné namerať aj v nadmorských výškach 600 m pri X2 = 1 (trávnaté porasty)</t>
  </si>
  <si>
    <t xml:space="preserve"> - najnižšie hodnoty NDVI indexu sú pri pri nastavení X1 = -1 a X2 = -1 (listnaté lesy). Relatívne podobné hodnoty je možné namerať v nadmorských výškach 900 m pri X2 = -1 (listnaté lesy)</t>
  </si>
  <si>
    <t>18. Predikcia Y podľa redukovaného regresného modelu</t>
  </si>
  <si>
    <t>Pre model, kde jediným faktorom je kvalitatívny faktor, sú kódované a pôvodné hodnoty totožné a výpočet cez obe hodnoty je rovnaký</t>
  </si>
  <si>
    <t>19. Kontrolné meranie</t>
  </si>
  <si>
    <t>Regresný model je dôležitý z iných dôvodov - zistilo sa, že vplyv  DGDD na NDVI je insignifikantný a na hladine významnosti alfa = 0,05 to platí aj pre vplyv nadmorskej výšky na NDVI index.</t>
  </si>
  <si>
    <t>NDVI index závisí v tomto prípade iba od typu vegetácie, čo je skoková a neinterpolovateľná premenná, ktorá sama o sebe závisí od rôznych iných faktorov.</t>
  </si>
  <si>
    <t>Tie je možné ďalej preskúmať a experiment postaviť na nich.</t>
  </si>
  <si>
    <t>Kontrolné meranie môže byť hocijaké meranie jednotlivých vegetačných typov, no v prípade nepresného regresného modelu a trojúrovňovej kvalitatívnej premennej postačia na preukázanie predikčnej nepresnosti modelu aj už zrealizované merania</t>
  </si>
  <si>
    <t>Z týchto hodnôt a z predošlých záverov je zrejmé, že regresný model nemá predikčnú presnosť a vypočítané hodnoty nezodpovedajú reálnym hodnotám.</t>
  </si>
  <si>
    <t>Ak by bol regresný model presný, nameraný NDVI index by sa príliš nelíšil pre dané typy vegetácie od vypočítaných hodnôt, čo však nie je možné potvrdiť.</t>
  </si>
  <si>
    <t xml:space="preserve">Regresný model je nepresný aj z pohľadu trendu vývoja NDVI indexu pri zmene faktoru X2. </t>
  </si>
  <si>
    <t>Predikované hodnoty ukazujú pozitívny trent, no v skutočnosti sú hodnoty NDVI indexu pre ihličnaté lesy (X2 = 0) omnoho vyššie ako hodnoty indexu pre trávnaté porasty (X2 = 1).</t>
  </si>
  <si>
    <t xml:space="preserve"> Z tohto dôvodu je pri ďalšej analýze možno zoradiť kvalitatívnu premennú podľa tohto záveru nasledovne: X2 = -1 (listnaté lesy), X2 = 0 (trávnaté porasty), X2 = 1 (ihličnaté lesy)</t>
  </si>
  <si>
    <t>20. Optimálne nastavenie faktorov</t>
  </si>
  <si>
    <t>Ak je cieľom maximalizovať NDVI index, potom optimálne nastavenie faktora teoretického regresného modelu je X2 = 1. Tento postup sa ukázal ako nedostatočný a nepresný a reálne je potrebné nastaviť faktor X2 = 0.</t>
  </si>
  <si>
    <t>Ak je cieľom minimalizovať NDVI index, optimálne nastavenie faktora teoretického regresného modelu je X2 = -1. Toto nastavenie odpovedá reálnym výsledkom.</t>
  </si>
  <si>
    <t>21. Porovnanie Excel - Minitab</t>
  </si>
  <si>
    <t>Nadmorská výška</t>
  </si>
  <si>
    <t>Typ vegetácie</t>
  </si>
  <si>
    <t>GDD</t>
  </si>
  <si>
    <t>NDVI</t>
  </si>
  <si>
    <t>Key</t>
  </si>
  <si>
    <t>Poradie</t>
  </si>
  <si>
    <t>KeyRep</t>
  </si>
  <si>
    <t>t12</t>
  </si>
  <si>
    <t>t13</t>
  </si>
  <si>
    <t>t123</t>
  </si>
  <si>
    <t>t23</t>
  </si>
  <si>
    <t>C-plot</t>
  </si>
  <si>
    <t xml:space="preserve">Pre experiment 3^3 nie je možné jednoduchým spôsobom vytvoriť C-plot v softvéri Minitab. Namiesto toho ponúka možnosť vytvoriť 3D bodový graf, kde je možné namapovať faktory na jednotlivé osi, pričom jedna os je odozvová. </t>
  </si>
  <si>
    <t>Kvalitatívnym faktorom je potom možné hodnoty zadeliť do skupín a tieto zobraziť na legende grafu.</t>
  </si>
  <si>
    <t>Výsledný regresný model je približne rovnaký pre obe softvérové riešenia, pričom Minitab pridal do rovnice pre kvalitatívnu premennú tri samostatné členy, čím spresnil model približne o 10 percent (rozdiel RSQ).</t>
  </si>
  <si>
    <t>Minitab vylúčil rovnaké faktory a zostrojil približne rovnaké grafy reziduí. Model potvrdil, že má istú teoretickú správnosť, ale pre praktickú predikciu je nepoužiteľný.</t>
  </si>
  <si>
    <t>Minitab okrem RSQ a RSQadj vypočítal aj RSQpred, čo značí presnosť predikčného modelu. Tá je však veľmi nízka (14,27%)</t>
  </si>
  <si>
    <t>RSQpred</t>
  </si>
  <si>
    <t>(Minitab)</t>
  </si>
  <si>
    <t xml:space="preserve">Podľa predikčného indexu determinácie vyplýva, že model nedokáže predikovať </t>
  </si>
  <si>
    <t xml:space="preserve">nové hodnoty lepšie ako obyčajný priemer všetkých meraní. </t>
  </si>
  <si>
    <t xml:space="preserve">Ukazuje, ako presne vie model predikovať hodnotu </t>
  </si>
  <si>
    <t>po odstránení daného údaju zo súboru dát.</t>
  </si>
  <si>
    <t>Porovnanie úplného modelu a redukovaného modelu</t>
  </si>
  <si>
    <t>RSQ sa oproti redukovanému modelu zlepšil o 6,5 %, RSQadj sa však o 1 % zhoršil a RSQpred sa zhoršil až o 12 percent. Grafické vyhodnotenie reziduí je približne rovnaké až na graf "versus fits", ktorý zaznamenáva pomerne nekonštantný rozptyl reziduí (nehomoskedasticita)</t>
  </si>
  <si>
    <t>Po týchto záveroch je možné tvrdiť, že vhodnejší je redukovanejší model, a teda bolo správne vylúčiť štatisticky nevýznamné faktory</t>
  </si>
  <si>
    <t>Redukovaný transformovaný regresný model</t>
  </si>
  <si>
    <t>Predikcia podľa minitabu pre redukovaný model</t>
  </si>
  <si>
    <t>Zo vzorky predikcie (ostatné predikované hodnoty sú priložené v samostatnom súbore výstupu z minitabu)</t>
  </si>
  <si>
    <t>je vidieť, že sa predikované hodnoty nachádzajú v rozsahu 0 až 1, čo je platný rozsah pre NDVI index</t>
  </si>
  <si>
    <t>Tieto hodnoty sú však nepresné a nezodpovedajú realite, po započítaní chýb a vytvorení intervalov platných hodnôt</t>
  </si>
  <si>
    <t>je možné konštatovať, že model je nepoužiteľný na predikciu.</t>
  </si>
  <si>
    <t>Grafy hlavných efektov a efektov interakcií</t>
  </si>
  <si>
    <t>Grafy hlavných efektov a efektov interakcií sa zhodujú s manuálnym vypracovaním pomocou Excelu. Závery ostávajú rovnaké.</t>
  </si>
  <si>
    <t>Faktor X1 má pozitívny efekt pri prechode z úrovne -1 na úroveň 0 a negatívny efekt z prechodu z úrovne 0 na úroveň 1. To znamená, že závislosť nie je lineárna a najvyššiu odozvu zaznamenávajú výšky 600 m n.m.</t>
  </si>
  <si>
    <t>Efekt faktora X2 je obdobný ako efekt faktora 1 - pozitívny trend sleduje zmena z -1 na 0 a negatívny z 0 na 1. Najvyššie hodnoty odozvy je možné sledovať pri ihličnatých lesoch.</t>
  </si>
  <si>
    <t>Faktor X3 má nevýrazný pozitívny (-1 na 0) a neskôr negatívny (0 na 1) efekt. Zmena je veľmi malá.</t>
  </si>
  <si>
    <t>ef -1 0</t>
  </si>
  <si>
    <t>ef 0 1</t>
  </si>
  <si>
    <t>ef -1 1</t>
  </si>
  <si>
    <t xml:space="preserve">Ak by bolo žiadúce ponechanie niektorého z faktorov pre budúce testy, ponechal by sa faktor X1, ktorý má podobný efekt ako faktor X2, ale o niečo menšiu štatistickú významnosť </t>
  </si>
  <si>
    <t>Závery:</t>
  </si>
  <si>
    <t>Pre koeficienty b1, b3, b12, b13, b23, b123 platí, že na hladine významnosti 0,05 je možné považovať hypotézu o ich nulovosti za platnú (prijatú).</t>
  </si>
  <si>
    <t>Pre koeficient b2 platí, že na hladine významnosti 0,05 je možné považovať hypotézu o jeho nulovosti za neplatnú (zamietnutú).</t>
  </si>
  <si>
    <t>Z regresného modelu sa vylúčia koeficienty, ktoré je možno považovať za nulové a ostane v ňom koeficient b2.</t>
  </si>
  <si>
    <t>hodnôt  z celkového rozsahu NDVI, pričom chybovost je signifikantná</t>
  </si>
  <si>
    <r>
      <t xml:space="preserve">H0: B1 = </t>
    </r>
    <r>
      <rPr>
        <sz val="11"/>
        <color theme="1"/>
        <rFont val="Aptos Narrow"/>
        <family val="2"/>
        <charset val="238"/>
      </rPr>
      <t xml:space="preserve">B2 = B3 = B12 = B13 = B23 = B123 = 0 </t>
    </r>
    <r>
      <rPr>
        <sz val="11"/>
        <color theme="1"/>
        <rFont val="Aptos Narrow"/>
        <family val="2"/>
        <charset val="238"/>
        <scheme val="minor"/>
      </rPr>
      <t>(Lineárny model nie je štatisticky významný) &gt;&lt; H1: B1 ≠0 ∨ B2 ≠0 ∨ B3 ≠0 ∨ B12 ≠0 ∨ B13 ≠0 ∨ B23 ≠0 ∨ B123 ≠ 0 (Lineárny model je štatisticky významný)</t>
    </r>
  </si>
  <si>
    <t>devsq yif</t>
  </si>
  <si>
    <t>ycp</t>
  </si>
  <si>
    <t>devsq ycp</t>
  </si>
  <si>
    <r>
      <t xml:space="preserve">H0: </t>
    </r>
    <r>
      <rPr>
        <sz val="11"/>
        <color theme="1"/>
        <rFont val="Aptos Narrow"/>
        <family val="2"/>
      </rPr>
      <t xml:space="preserve">∑ bjj = </t>
    </r>
    <r>
      <rPr>
        <sz val="11"/>
        <color theme="1"/>
        <rFont val="Aptos Narrow"/>
        <family val="2"/>
        <charset val="238"/>
        <scheme val="minor"/>
      </rPr>
      <t>0 (nie je potrebný kvadratický model) &gt;&lt; H1: ∑ bjj ≠ 0 (je potrebný kvadratický model)</t>
    </r>
  </si>
  <si>
    <t>F(1,5)kv</t>
  </si>
  <si>
    <t>Záver:</t>
  </si>
  <si>
    <t>Na hladine významnosti 0,05 je možné prijať hypotézu o tom, že ∑ bjj = 0, a teda že nie je potrebný kvadratický model.</t>
  </si>
  <si>
    <t>Hypotézu, že reziduá pochádzajú z normálneho rozdelenia nezamietam,</t>
  </si>
  <si>
    <t>Na hranici významnosti 0,05 je možné konštatovať, že dodatočný príspevok faktora X1 nezlepšuje prispôsobenie (fit) modelu. Postačuje teda navrhovaný redukovaný model.</t>
  </si>
  <si>
    <t>Na hladine významnosti 0,05 je možné prijať hypotézu o tom, že aspoň jeden z regresných koeficientov je nenulový,</t>
  </si>
  <si>
    <t xml:space="preserve"> a teda lineárny model je štatisticky významný</t>
  </si>
  <si>
    <t>Na hladine významnosti 0,05 je možné prijať hypotézu o tom,</t>
  </si>
  <si>
    <t>že modej je dostatočne prispôsobivý (no LOF)</t>
  </si>
  <si>
    <t>F hodnota LoF testu sa nezhoduje s vypočítanou hodnotou,</t>
  </si>
  <si>
    <t>zhodujú sa však závery z testov.</t>
  </si>
  <si>
    <t xml:space="preserve">Excel považuje vstupy kvalitatívnej premennej za čísla, snaží sa cez ne preložiť priamku - ak je vzťah v skutočnosti zakrivený (napr. stredný bod je vyššie, čo je presne tento prípad), </t>
  </si>
  <si>
    <t>priamka to nevystihne a odchýlka sa pripočíta k Residual SS.</t>
  </si>
  <si>
    <t>Minitab často úrovne za kategórie. Nesnaží sa preložiť priamku, ale počíta priemernú hodnotu pre každú úroveň zvlášť.</t>
  </si>
  <si>
    <t>Obe hodnoty sú správne, pričom zvolená metóda počítania v Exceli je lineárnejšia.</t>
  </si>
  <si>
    <t>Test krivosti</t>
  </si>
  <si>
    <t>Test krivosti je možné v Minitabe vypočítať, avšak najprv je potrebné pridať kvadratické členy.</t>
  </si>
  <si>
    <t>Test dodatočného príspevku faktora X1</t>
  </si>
  <si>
    <t>Pri riadku t1 je hodnota DF = 2, čo znamená, že minitab ju chápe ako kategorickú premennú, zatiaľ čo Excel sa snažil cez kódované hodnoty preložiť priamku.</t>
  </si>
  <si>
    <t>F-hodnoty sú iné ako pri výpočte pomocou Excelu, nakoľko Minitab inak chápe premennú a model neberie ako lineárny, chybu prisudzuje krivosti modelu</t>
  </si>
  <si>
    <t>Záver: Faktor X1 je významný, ak by išlo o kvadratický model. Pre lineárny model nie je významný.</t>
  </si>
  <si>
    <t xml:space="preserve">Tento test nie je v Minitabe natívne dostupný ako jedno tlačidlo v menu DOE. </t>
  </si>
  <si>
    <t>Minitab preferuje vizuálnu kontrolu (Residuals vs. Fits) alebo Bartlettov/Leveneov test (ak sú dáta v skupinách). Breusch-Pagan test sa musí vykonať manuálne pomocou pomocnej regresie.</t>
  </si>
  <si>
    <t>DWS =</t>
  </si>
  <si>
    <t>Hodnota je stále v poriadku</t>
  </si>
  <si>
    <t xml:space="preserve"> a nepatrí do kritickej oblasti</t>
  </si>
  <si>
    <t>Hodnota 2,04 z Minitabu hovorí, že po správnom nastavení modelu (ktorý zachytil aj nelinearitu) sú chyby navzájom nezávislé</t>
  </si>
  <si>
    <t>Hodnota 1,86 v Exceli je "znečistená" tým, že lineárny model bol nedostatočný a zanechal v chybách vzor, ktorý sa tváril ako autokorelácia</t>
  </si>
  <si>
    <t>Na hladine významnosti 0,05 je možné tvrdiť, že medzi reziduami neexistuje autokorelácia prvého rádu</t>
  </si>
  <si>
    <t>Na hladine významnosti 0,05 je možné tvrdiť, že rozptyl reziduí je konštantný (vyznačuje sa homoskedasticitou).</t>
  </si>
  <si>
    <t>Breusch-Pagan test homoskedasticity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</si>
</sst>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"/>
    <numFmt numFmtId="165" formatCode="0.00000000"/>
    <numFmt numFmtId="166" formatCode="0.000"/>
  </numFmts>
  <fonts count="15">
    <font>
      <sz val="11"/>
      <color theme="1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sz val="11"/>
      <color theme="1"/>
      <name val="Aptos Narrow"/>
      <family val="2"/>
      <charset val="238"/>
    </font>
    <font>
      <sz val="11"/>
      <color rgb="FFFF0000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charset val="238"/>
      <scheme val="minor"/>
    </font>
    <font>
      <sz val="11"/>
      <color rgb="FF00B050"/>
      <name val="Aptos Narrow"/>
      <family val="2"/>
      <charset val="238"/>
      <scheme val="minor"/>
    </font>
    <font>
      <sz val="11"/>
      <name val="Aptos Narrow"/>
      <family val="2"/>
      <charset val="238"/>
      <scheme val="minor"/>
    </font>
    <font>
      <sz val="12"/>
      <name val="Arial"/>
      <family val="2"/>
      <charset val="238"/>
    </font>
    <font>
      <sz val="11"/>
      <color theme="1"/>
      <name val="Aptos Narrow"/>
      <family val="2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  <charset val="238"/>
    </font>
    <font>
      <sz val="10"/>
      <name val="Segoe UI"/>
      <family val="2"/>
      <charset val="238"/>
    </font>
    <font>
      <sz val="11"/>
      <color theme="1"/>
      <name val="Aptos Narrow"/>
      <family val="2"/>
      <charset val="238"/>
      <scheme val="minor"/>
    </font>
    <font>
      <sz val="10"/>
      <color theme="1"/>
      <name val="Segoe UI"/>
      <family val="2"/>
      <charset val="23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" fillId="0" borderId="1" xfId="0" applyFont="1" applyBorder="1"/>
    <xf numFmtId="0" fontId="4" fillId="0" borderId="0" xfId="0" applyFont="1"/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Continuous"/>
    </xf>
    <xf numFmtId="0" fontId="6" fillId="0" borderId="0" xfId="0" applyFont="1"/>
    <xf numFmtId="0" fontId="3" fillId="0" borderId="0" xfId="0" applyFont="1"/>
    <xf numFmtId="0" fontId="3" fillId="0" borderId="7" xfId="0" applyFont="1" applyBorder="1"/>
    <xf numFmtId="0" fontId="7" fillId="0" borderId="0" xfId="0" applyFont="1"/>
    <xf numFmtId="0" fontId="7" fillId="0" borderId="0" xfId="0" applyFont="1" applyAlignment="1">
      <alignment horizontal="right"/>
    </xf>
    <xf numFmtId="0" fontId="5" fillId="0" borderId="10" xfId="0" applyFont="1" applyBorder="1" applyAlignment="1">
      <alignment horizontal="centerContinuous"/>
    </xf>
    <xf numFmtId="0" fontId="5" fillId="0" borderId="10" xfId="0" applyFont="1" applyBorder="1" applyAlignment="1">
      <alignment horizontal="center"/>
    </xf>
    <xf numFmtId="0" fontId="0" fillId="0" borderId="0" xfId="0" applyAlignment="1">
      <alignment horizontal="right"/>
    </xf>
    <xf numFmtId="0" fontId="8" fillId="0" borderId="0" xfId="0" applyFont="1"/>
    <xf numFmtId="0" fontId="0" fillId="0" borderId="4" xfId="0" applyBorder="1" applyAlignment="1">
      <alignment horizontal="left"/>
    </xf>
    <xf numFmtId="0" fontId="0" fillId="0" borderId="0" xfId="0" applyAlignment="1">
      <alignment horizontal="left"/>
    </xf>
    <xf numFmtId="0" fontId="9" fillId="0" borderId="4" xfId="0" applyFont="1" applyBorder="1"/>
    <xf numFmtId="0" fontId="0" fillId="0" borderId="4" xfId="0" applyBorder="1" applyAlignment="1">
      <alignment horizontal="right"/>
    </xf>
    <xf numFmtId="0" fontId="7" fillId="0" borderId="4" xfId="0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7" fillId="0" borderId="7" xfId="0" applyFont="1" applyBorder="1"/>
    <xf numFmtId="0" fontId="7" fillId="0" borderId="2" xfId="0" applyFont="1" applyBorder="1"/>
    <xf numFmtId="0" fontId="7" fillId="0" borderId="8" xfId="0" applyFont="1" applyBorder="1"/>
    <xf numFmtId="164" fontId="0" fillId="0" borderId="0" xfId="0" applyNumberFormat="1"/>
    <xf numFmtId="2" fontId="0" fillId="0" borderId="0" xfId="0" applyNumberFormat="1"/>
    <xf numFmtId="0" fontId="5" fillId="0" borderId="0" xfId="0" applyFont="1" applyAlignment="1">
      <alignment horizontal="center"/>
    </xf>
    <xf numFmtId="1" fontId="0" fillId="0" borderId="0" xfId="0" applyNumberFormat="1"/>
    <xf numFmtId="0" fontId="0" fillId="0" borderId="0" xfId="0" applyAlignment="1">
      <alignment horizontal="center"/>
    </xf>
    <xf numFmtId="10" fontId="0" fillId="0" borderId="7" xfId="0" applyNumberFormat="1" applyBorder="1"/>
    <xf numFmtId="0" fontId="12" fillId="0" borderId="0" xfId="0" applyFont="1"/>
    <xf numFmtId="0" fontId="13" fillId="0" borderId="0" xfId="0" applyFont="1"/>
    <xf numFmtId="164" fontId="13" fillId="0" borderId="0" xfId="0" applyNumberFormat="1" applyFont="1"/>
    <xf numFmtId="0" fontId="9" fillId="0" borderId="0" xfId="0" applyFont="1"/>
    <xf numFmtId="10" fontId="0" fillId="0" borderId="0" xfId="0" applyNumberFormat="1"/>
    <xf numFmtId="0" fontId="5" fillId="0" borderId="0" xfId="0" applyFont="1" applyAlignment="1">
      <alignment horizontal="centerContinuous"/>
    </xf>
    <xf numFmtId="0" fontId="10" fillId="0" borderId="0" xfId="0" applyFont="1"/>
    <xf numFmtId="0" fontId="11" fillId="0" borderId="0" xfId="0" applyFont="1"/>
    <xf numFmtId="0" fontId="0" fillId="0" borderId="4" xfId="0" applyBorder="1" applyAlignment="1">
      <alignment horizontal="center"/>
    </xf>
    <xf numFmtId="166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0" fontId="10" fillId="0" borderId="4" xfId="0" applyFont="1" applyBorder="1"/>
    <xf numFmtId="0" fontId="4" fillId="0" borderId="4" xfId="0" applyFont="1" applyBorder="1"/>
    <xf numFmtId="165" fontId="0" fillId="0" borderId="0" xfId="0" applyNumberFormat="1"/>
    <xf numFmtId="0" fontId="14" fillId="0" borderId="0" xfId="0" applyFont="1"/>
    <xf numFmtId="0" fontId="4" fillId="0" borderId="6" xfId="0" applyFont="1" applyBorder="1"/>
    <xf numFmtId="0" fontId="4" fillId="0" borderId="0" xfId="0" applyFont="1" applyBorder="1"/>
    <xf numFmtId="0" fontId="0" fillId="0" borderId="0" xfId="0" applyBorder="1"/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Normal probability</a:t>
            </a:r>
            <a:r>
              <a:rPr lang="sk-SK" b="1"/>
              <a:t> plot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NDVI!$G$396</c:f>
              <c:strCache>
                <c:ptCount val="1"/>
                <c:pt idx="0">
                  <c:v>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17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NDVI!$E$397:$E$450</c:f>
              <c:numCache>
                <c:formatCode>General</c:formatCode>
                <c:ptCount val="54"/>
                <c:pt idx="0">
                  <c:v>-0.27041759259259263</c:v>
                </c:pt>
                <c:pt idx="1">
                  <c:v>-0.2152175925925926</c:v>
                </c:pt>
                <c:pt idx="2">
                  <c:v>-0.2152175925925926</c:v>
                </c:pt>
                <c:pt idx="3">
                  <c:v>-0.21403425925925917</c:v>
                </c:pt>
                <c:pt idx="4">
                  <c:v>-0.21403425925925917</c:v>
                </c:pt>
                <c:pt idx="5">
                  <c:v>-0.21193425925925918</c:v>
                </c:pt>
                <c:pt idx="6">
                  <c:v>-0.2006175925925926</c:v>
                </c:pt>
                <c:pt idx="7">
                  <c:v>-0.1457342592592592</c:v>
                </c:pt>
                <c:pt idx="8">
                  <c:v>-0.1457342592592592</c:v>
                </c:pt>
                <c:pt idx="9">
                  <c:v>-0.13322592592592591</c:v>
                </c:pt>
                <c:pt idx="10">
                  <c:v>-0.13322592592592591</c:v>
                </c:pt>
                <c:pt idx="11">
                  <c:v>-0.11661759259259263</c:v>
                </c:pt>
                <c:pt idx="12">
                  <c:v>-0.11661759259259263</c:v>
                </c:pt>
                <c:pt idx="13">
                  <c:v>-0.11393425925925921</c:v>
                </c:pt>
                <c:pt idx="14">
                  <c:v>-9.4234259259259212E-2</c:v>
                </c:pt>
                <c:pt idx="15">
                  <c:v>-8.7034259259259172E-2</c:v>
                </c:pt>
                <c:pt idx="16">
                  <c:v>-8.7034259259259172E-2</c:v>
                </c:pt>
                <c:pt idx="17">
                  <c:v>-7.9525925925925889E-2</c:v>
                </c:pt>
                <c:pt idx="18">
                  <c:v>-7.5725925925925919E-2</c:v>
                </c:pt>
                <c:pt idx="19">
                  <c:v>-5.4325925925925889E-2</c:v>
                </c:pt>
                <c:pt idx="20">
                  <c:v>-2.4417592592592574E-2</c:v>
                </c:pt>
                <c:pt idx="21">
                  <c:v>-2.4417592592592574E-2</c:v>
                </c:pt>
                <c:pt idx="22">
                  <c:v>-2.1217592592592593E-2</c:v>
                </c:pt>
                <c:pt idx="23">
                  <c:v>-1.7125925925925878E-2</c:v>
                </c:pt>
                <c:pt idx="24">
                  <c:v>1.4082407407407405E-2</c:v>
                </c:pt>
                <c:pt idx="25">
                  <c:v>1.6465740740740809E-2</c:v>
                </c:pt>
                <c:pt idx="26">
                  <c:v>1.7082407407407407E-2</c:v>
                </c:pt>
                <c:pt idx="27">
                  <c:v>2.5965740740740761E-2</c:v>
                </c:pt>
                <c:pt idx="28">
                  <c:v>2.5965740740740761E-2</c:v>
                </c:pt>
                <c:pt idx="29">
                  <c:v>2.8582407407407362E-2</c:v>
                </c:pt>
                <c:pt idx="30">
                  <c:v>2.8582407407407362E-2</c:v>
                </c:pt>
                <c:pt idx="31">
                  <c:v>4.1574074074074097E-2</c:v>
                </c:pt>
                <c:pt idx="32">
                  <c:v>4.9674074074074093E-2</c:v>
                </c:pt>
                <c:pt idx="33">
                  <c:v>4.9674074074074093E-2</c:v>
                </c:pt>
                <c:pt idx="34">
                  <c:v>5.5982407407407342E-2</c:v>
                </c:pt>
                <c:pt idx="35">
                  <c:v>5.5982407407407342E-2</c:v>
                </c:pt>
                <c:pt idx="36">
                  <c:v>5.7565740740740834E-2</c:v>
                </c:pt>
                <c:pt idx="37">
                  <c:v>7.7782407407407383E-2</c:v>
                </c:pt>
                <c:pt idx="38">
                  <c:v>8.1274074074074054E-2</c:v>
                </c:pt>
                <c:pt idx="39">
                  <c:v>9.736574074074078E-2</c:v>
                </c:pt>
                <c:pt idx="40">
                  <c:v>9.9674074074074137E-2</c:v>
                </c:pt>
                <c:pt idx="41">
                  <c:v>9.9674074074074137E-2</c:v>
                </c:pt>
                <c:pt idx="42">
                  <c:v>0.11506574074074083</c:v>
                </c:pt>
                <c:pt idx="43">
                  <c:v>0.12456574074074078</c:v>
                </c:pt>
                <c:pt idx="44">
                  <c:v>0.13076574074074077</c:v>
                </c:pt>
                <c:pt idx="45">
                  <c:v>0.13076574074074077</c:v>
                </c:pt>
                <c:pt idx="46">
                  <c:v>0.13187407407407414</c:v>
                </c:pt>
                <c:pt idx="47">
                  <c:v>0.14098240740740742</c:v>
                </c:pt>
                <c:pt idx="48">
                  <c:v>0.14607407407407413</c:v>
                </c:pt>
                <c:pt idx="49">
                  <c:v>0.19648240740740741</c:v>
                </c:pt>
                <c:pt idx="50">
                  <c:v>0.20807407407407408</c:v>
                </c:pt>
                <c:pt idx="51">
                  <c:v>0.20807407407407408</c:v>
                </c:pt>
                <c:pt idx="52">
                  <c:v>0.27797407407407415</c:v>
                </c:pt>
                <c:pt idx="53">
                  <c:v>0.27797407407407415</c:v>
                </c:pt>
              </c:numCache>
            </c:numRef>
          </c:xVal>
          <c:yVal>
            <c:numRef>
              <c:f>NDVI!$F$397:$F$450</c:f>
              <c:numCache>
                <c:formatCode>General</c:formatCode>
                <c:ptCount val="54"/>
                <c:pt idx="0">
                  <c:v>0.92592592592592593</c:v>
                </c:pt>
                <c:pt idx="1">
                  <c:v>2.7777777777777777</c:v>
                </c:pt>
                <c:pt idx="2">
                  <c:v>4.6296296296296298</c:v>
                </c:pt>
                <c:pt idx="3">
                  <c:v>6.481481481481481</c:v>
                </c:pt>
                <c:pt idx="4">
                  <c:v>8.3333333333333339</c:v>
                </c:pt>
                <c:pt idx="5">
                  <c:v>10.185185185185185</c:v>
                </c:pt>
                <c:pt idx="6">
                  <c:v>12.037037037037036</c:v>
                </c:pt>
                <c:pt idx="7">
                  <c:v>13.888888888888889</c:v>
                </c:pt>
                <c:pt idx="8">
                  <c:v>15.74074074074074</c:v>
                </c:pt>
                <c:pt idx="9">
                  <c:v>17.592592592592595</c:v>
                </c:pt>
                <c:pt idx="10">
                  <c:v>19.444444444444446</c:v>
                </c:pt>
                <c:pt idx="11">
                  <c:v>21.296296296296298</c:v>
                </c:pt>
                <c:pt idx="12">
                  <c:v>23.148148148148149</c:v>
                </c:pt>
                <c:pt idx="13">
                  <c:v>25</c:v>
                </c:pt>
                <c:pt idx="14">
                  <c:v>26.851851851851855</c:v>
                </c:pt>
                <c:pt idx="15">
                  <c:v>28.703703703703706</c:v>
                </c:pt>
                <c:pt idx="16">
                  <c:v>30.555555555555557</c:v>
                </c:pt>
                <c:pt idx="17">
                  <c:v>32.407407407407405</c:v>
                </c:pt>
                <c:pt idx="18">
                  <c:v>34.25925925925926</c:v>
                </c:pt>
                <c:pt idx="19">
                  <c:v>36.111111111111107</c:v>
                </c:pt>
                <c:pt idx="20">
                  <c:v>37.962962962962962</c:v>
                </c:pt>
                <c:pt idx="21">
                  <c:v>39.81481481481481</c:v>
                </c:pt>
                <c:pt idx="22">
                  <c:v>41.666666666666664</c:v>
                </c:pt>
                <c:pt idx="23">
                  <c:v>43.518518518518519</c:v>
                </c:pt>
                <c:pt idx="24">
                  <c:v>45.370370370370367</c:v>
                </c:pt>
                <c:pt idx="25">
                  <c:v>47.222222222222221</c:v>
                </c:pt>
                <c:pt idx="26">
                  <c:v>49.074074074074069</c:v>
                </c:pt>
                <c:pt idx="27">
                  <c:v>50.925925925925924</c:v>
                </c:pt>
                <c:pt idx="28">
                  <c:v>52.777777777777779</c:v>
                </c:pt>
                <c:pt idx="29">
                  <c:v>54.629629629629626</c:v>
                </c:pt>
                <c:pt idx="30">
                  <c:v>56.481481481481481</c:v>
                </c:pt>
                <c:pt idx="31">
                  <c:v>58.333333333333329</c:v>
                </c:pt>
                <c:pt idx="32">
                  <c:v>60.185185185185183</c:v>
                </c:pt>
                <c:pt idx="33">
                  <c:v>62.037037037037038</c:v>
                </c:pt>
                <c:pt idx="34">
                  <c:v>63.888888888888886</c:v>
                </c:pt>
                <c:pt idx="35">
                  <c:v>65.740740740740733</c:v>
                </c:pt>
                <c:pt idx="36">
                  <c:v>67.592592592592595</c:v>
                </c:pt>
                <c:pt idx="37">
                  <c:v>69.444444444444443</c:v>
                </c:pt>
                <c:pt idx="38">
                  <c:v>71.296296296296291</c:v>
                </c:pt>
                <c:pt idx="39">
                  <c:v>73.148148148148152</c:v>
                </c:pt>
                <c:pt idx="40">
                  <c:v>75</c:v>
                </c:pt>
                <c:pt idx="41">
                  <c:v>76.851851851851848</c:v>
                </c:pt>
                <c:pt idx="42">
                  <c:v>78.703703703703695</c:v>
                </c:pt>
                <c:pt idx="43">
                  <c:v>80.555555555555557</c:v>
                </c:pt>
                <c:pt idx="44">
                  <c:v>82.407407407407405</c:v>
                </c:pt>
                <c:pt idx="45">
                  <c:v>84.259259259259252</c:v>
                </c:pt>
                <c:pt idx="46">
                  <c:v>86.111111111111114</c:v>
                </c:pt>
                <c:pt idx="47">
                  <c:v>87.962962962962962</c:v>
                </c:pt>
                <c:pt idx="48">
                  <c:v>89.81481481481481</c:v>
                </c:pt>
                <c:pt idx="49">
                  <c:v>91.666666666666671</c:v>
                </c:pt>
                <c:pt idx="50">
                  <c:v>93.518518518518519</c:v>
                </c:pt>
                <c:pt idx="51">
                  <c:v>95.370370370370367</c:v>
                </c:pt>
                <c:pt idx="52">
                  <c:v>97.222222222222214</c:v>
                </c:pt>
                <c:pt idx="53">
                  <c:v>99.074074074074076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91-4A9A-B8FE-85263142E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587711"/>
        <c:axId val="347584351"/>
      </c:scatterChart>
      <c:valAx>
        <c:axId val="347587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Rezidual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47584351"/>
        <c:crosses val="autoZero"/>
        <c:crossBetween val="midCat"/>
      </c:valAx>
      <c:valAx>
        <c:axId val="34758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475877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xVal>
            <c:numRef>
              <c:f>NDVI!$F$397:$F$450</c:f>
              <c:numCache>
                <c:formatCode>General</c:formatCode>
                <c:ptCount val="54"/>
                <c:pt idx="0">
                  <c:v>0.92592592592592593</c:v>
                </c:pt>
                <c:pt idx="1">
                  <c:v>2.7777777777777777</c:v>
                </c:pt>
                <c:pt idx="2">
                  <c:v>4.6296296296296298</c:v>
                </c:pt>
                <c:pt idx="3">
                  <c:v>6.481481481481481</c:v>
                </c:pt>
                <c:pt idx="4">
                  <c:v>8.3333333333333339</c:v>
                </c:pt>
                <c:pt idx="5">
                  <c:v>10.185185185185185</c:v>
                </c:pt>
                <c:pt idx="6">
                  <c:v>12.037037037037036</c:v>
                </c:pt>
                <c:pt idx="7">
                  <c:v>13.888888888888889</c:v>
                </c:pt>
                <c:pt idx="8">
                  <c:v>15.74074074074074</c:v>
                </c:pt>
                <c:pt idx="9">
                  <c:v>17.592592592592595</c:v>
                </c:pt>
                <c:pt idx="10">
                  <c:v>19.444444444444446</c:v>
                </c:pt>
                <c:pt idx="11">
                  <c:v>21.296296296296298</c:v>
                </c:pt>
                <c:pt idx="12">
                  <c:v>23.148148148148149</c:v>
                </c:pt>
                <c:pt idx="13">
                  <c:v>25</c:v>
                </c:pt>
                <c:pt idx="14">
                  <c:v>26.851851851851855</c:v>
                </c:pt>
                <c:pt idx="15">
                  <c:v>28.703703703703706</c:v>
                </c:pt>
                <c:pt idx="16">
                  <c:v>30.555555555555557</c:v>
                </c:pt>
                <c:pt idx="17">
                  <c:v>32.407407407407405</c:v>
                </c:pt>
                <c:pt idx="18">
                  <c:v>34.25925925925926</c:v>
                </c:pt>
                <c:pt idx="19">
                  <c:v>36.111111111111107</c:v>
                </c:pt>
                <c:pt idx="20">
                  <c:v>37.962962962962962</c:v>
                </c:pt>
                <c:pt idx="21">
                  <c:v>39.81481481481481</c:v>
                </c:pt>
                <c:pt idx="22">
                  <c:v>41.666666666666664</c:v>
                </c:pt>
                <c:pt idx="23">
                  <c:v>43.518518518518519</c:v>
                </c:pt>
                <c:pt idx="24">
                  <c:v>45.370370370370367</c:v>
                </c:pt>
                <c:pt idx="25">
                  <c:v>47.222222222222221</c:v>
                </c:pt>
                <c:pt idx="26">
                  <c:v>49.074074074074069</c:v>
                </c:pt>
                <c:pt idx="27">
                  <c:v>50.925925925925924</c:v>
                </c:pt>
                <c:pt idx="28">
                  <c:v>52.777777777777779</c:v>
                </c:pt>
                <c:pt idx="29">
                  <c:v>54.629629629629626</c:v>
                </c:pt>
                <c:pt idx="30">
                  <c:v>56.481481481481481</c:v>
                </c:pt>
                <c:pt idx="31">
                  <c:v>58.333333333333329</c:v>
                </c:pt>
                <c:pt idx="32">
                  <c:v>60.185185185185183</c:v>
                </c:pt>
                <c:pt idx="33">
                  <c:v>62.037037037037038</c:v>
                </c:pt>
                <c:pt idx="34">
                  <c:v>63.888888888888886</c:v>
                </c:pt>
                <c:pt idx="35">
                  <c:v>65.740740740740733</c:v>
                </c:pt>
                <c:pt idx="36">
                  <c:v>67.592592592592595</c:v>
                </c:pt>
                <c:pt idx="37">
                  <c:v>69.444444444444443</c:v>
                </c:pt>
                <c:pt idx="38">
                  <c:v>71.296296296296291</c:v>
                </c:pt>
                <c:pt idx="39">
                  <c:v>73.148148148148152</c:v>
                </c:pt>
                <c:pt idx="40">
                  <c:v>75</c:v>
                </c:pt>
                <c:pt idx="41">
                  <c:v>76.851851851851848</c:v>
                </c:pt>
                <c:pt idx="42">
                  <c:v>78.703703703703695</c:v>
                </c:pt>
                <c:pt idx="43">
                  <c:v>80.555555555555557</c:v>
                </c:pt>
                <c:pt idx="44">
                  <c:v>82.407407407407405</c:v>
                </c:pt>
                <c:pt idx="45">
                  <c:v>84.259259259259252</c:v>
                </c:pt>
                <c:pt idx="46">
                  <c:v>86.111111111111114</c:v>
                </c:pt>
                <c:pt idx="47">
                  <c:v>87.962962962962962</c:v>
                </c:pt>
                <c:pt idx="48">
                  <c:v>89.81481481481481</c:v>
                </c:pt>
                <c:pt idx="49">
                  <c:v>91.666666666666671</c:v>
                </c:pt>
                <c:pt idx="50">
                  <c:v>93.518518518518519</c:v>
                </c:pt>
                <c:pt idx="51">
                  <c:v>95.370370370370367</c:v>
                </c:pt>
                <c:pt idx="52">
                  <c:v>97.222222222222214</c:v>
                </c:pt>
                <c:pt idx="53">
                  <c:v>99.074074074074076</c:v>
                </c:pt>
              </c:numCache>
            </c:numRef>
          </c:xVal>
          <c:yVal>
            <c:numRef>
              <c:f>NDVI!$G$397:$G$450</c:f>
              <c:numCache>
                <c:formatCode>General</c:formatCode>
                <c:ptCount val="54"/>
                <c:pt idx="0">
                  <c:v>0.28870000000000001</c:v>
                </c:pt>
                <c:pt idx="1">
                  <c:v>0.28870000000000001</c:v>
                </c:pt>
                <c:pt idx="2">
                  <c:v>0.2908</c:v>
                </c:pt>
                <c:pt idx="3">
                  <c:v>0.35699999999999998</c:v>
                </c:pt>
                <c:pt idx="4">
                  <c:v>0.35699999999999998</c:v>
                </c:pt>
                <c:pt idx="5">
                  <c:v>0.35949999999999999</c:v>
                </c:pt>
                <c:pt idx="6">
                  <c:v>0.38879999999999998</c:v>
                </c:pt>
                <c:pt idx="7">
                  <c:v>0.40849999999999997</c:v>
                </c:pt>
                <c:pt idx="8">
                  <c:v>0.41470000000000001</c:v>
                </c:pt>
                <c:pt idx="9">
                  <c:v>0.41470000000000001</c:v>
                </c:pt>
                <c:pt idx="10">
                  <c:v>0.41570000000000001</c:v>
                </c:pt>
                <c:pt idx="11">
                  <c:v>0.41570000000000001</c:v>
                </c:pt>
                <c:pt idx="12">
                  <c:v>0.42930000000000001</c:v>
                </c:pt>
                <c:pt idx="13">
                  <c:v>0.43309999999999998</c:v>
                </c:pt>
                <c:pt idx="14">
                  <c:v>0.43309999999999998</c:v>
                </c:pt>
                <c:pt idx="15">
                  <c:v>0.48680000000000001</c:v>
                </c:pt>
                <c:pt idx="16">
                  <c:v>0.49059999999999998</c:v>
                </c:pt>
                <c:pt idx="17">
                  <c:v>0.51200000000000001</c:v>
                </c:pt>
                <c:pt idx="18">
                  <c:v>0.51329999999999998</c:v>
                </c:pt>
                <c:pt idx="19">
                  <c:v>0.51329999999999998</c:v>
                </c:pt>
                <c:pt idx="20">
                  <c:v>0.51919999999999999</c:v>
                </c:pt>
                <c:pt idx="21">
                  <c:v>0.52869999999999995</c:v>
                </c:pt>
                <c:pt idx="22">
                  <c:v>0.52869999999999995</c:v>
                </c:pt>
                <c:pt idx="23">
                  <c:v>0.54920000000000002</c:v>
                </c:pt>
                <c:pt idx="24">
                  <c:v>0.56030000000000002</c:v>
                </c:pt>
                <c:pt idx="25">
                  <c:v>0.60009999999999997</c:v>
                </c:pt>
                <c:pt idx="26">
                  <c:v>0.60550000000000004</c:v>
                </c:pt>
                <c:pt idx="27">
                  <c:v>0.60550000000000004</c:v>
                </c:pt>
                <c:pt idx="28">
                  <c:v>0.6079</c:v>
                </c:pt>
                <c:pt idx="29">
                  <c:v>0.60870000000000002</c:v>
                </c:pt>
                <c:pt idx="30">
                  <c:v>0.61599999999999999</c:v>
                </c:pt>
                <c:pt idx="31">
                  <c:v>0.61599999999999999</c:v>
                </c:pt>
                <c:pt idx="32">
                  <c:v>0.61780000000000002</c:v>
                </c:pt>
                <c:pt idx="33">
                  <c:v>0.62729999999999997</c:v>
                </c:pt>
                <c:pt idx="34">
                  <c:v>0.63349999999999995</c:v>
                </c:pt>
                <c:pt idx="35">
                  <c:v>0.63349999999999995</c:v>
                </c:pt>
                <c:pt idx="36">
                  <c:v>0.64400000000000002</c:v>
                </c:pt>
                <c:pt idx="37">
                  <c:v>0.64700000000000002</c:v>
                </c:pt>
                <c:pt idx="38">
                  <c:v>0.64759999999999995</c:v>
                </c:pt>
                <c:pt idx="39">
                  <c:v>0.65849999999999997</c:v>
                </c:pt>
                <c:pt idx="40">
                  <c:v>0.65849999999999997</c:v>
                </c:pt>
                <c:pt idx="41">
                  <c:v>0.66600000000000004</c:v>
                </c:pt>
                <c:pt idx="42">
                  <c:v>0.66600000000000004</c:v>
                </c:pt>
                <c:pt idx="43">
                  <c:v>0.68589999999999995</c:v>
                </c:pt>
                <c:pt idx="44">
                  <c:v>0.68589999999999995</c:v>
                </c:pt>
                <c:pt idx="45">
                  <c:v>0.69820000000000004</c:v>
                </c:pt>
                <c:pt idx="46">
                  <c:v>0.7077</c:v>
                </c:pt>
                <c:pt idx="47">
                  <c:v>0.71240000000000003</c:v>
                </c:pt>
                <c:pt idx="48">
                  <c:v>0.77090000000000003</c:v>
                </c:pt>
                <c:pt idx="49">
                  <c:v>0.77439999999999998</c:v>
                </c:pt>
                <c:pt idx="50">
                  <c:v>0.77439999999999998</c:v>
                </c:pt>
                <c:pt idx="51">
                  <c:v>0.82640000000000002</c:v>
                </c:pt>
                <c:pt idx="52">
                  <c:v>0.84430000000000005</c:v>
                </c:pt>
                <c:pt idx="53">
                  <c:v>0.84430000000000005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1A-43D1-BF9B-C6895585A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107215"/>
        <c:axId val="896124015"/>
      </c:scatterChart>
      <c:valAx>
        <c:axId val="8961072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6124015"/>
        <c:crosses val="autoZero"/>
        <c:crossBetween val="midCat"/>
      </c:valAx>
      <c:valAx>
        <c:axId val="89612401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6107215"/>
        <c:crosses val="autoZero"/>
        <c:crossBetween val="midCat"/>
      </c:valAx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NDVI!$D$453:$D$460</c:f>
              <c:strCache>
                <c:ptCount val="8"/>
                <c:pt idx="0">
                  <c:v>-0,192075926</c:v>
                </c:pt>
                <c:pt idx="1">
                  <c:v>-0,113734259</c:v>
                </c:pt>
                <c:pt idx="2">
                  <c:v>-0,035392593</c:v>
                </c:pt>
                <c:pt idx="3">
                  <c:v>0,042949074</c:v>
                </c:pt>
                <c:pt idx="4">
                  <c:v>0,121290741</c:v>
                </c:pt>
                <c:pt idx="5">
                  <c:v>0,199632407</c:v>
                </c:pt>
                <c:pt idx="6">
                  <c:v>0,277974074</c:v>
                </c:pt>
                <c:pt idx="7">
                  <c:v>More</c:v>
                </c:pt>
              </c:strCache>
            </c:strRef>
          </c:cat>
          <c:val>
            <c:numRef>
              <c:f>NDVI!$E$453:$E$460</c:f>
              <c:numCache>
                <c:formatCode>General</c:formatCode>
                <c:ptCount val="8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12</c:v>
                </c:pt>
                <c:pt idx="4">
                  <c:v>11</c:v>
                </c:pt>
                <c:pt idx="5">
                  <c:v>7</c:v>
                </c:pt>
                <c:pt idx="6">
                  <c:v>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5-459F-88E1-B98D49B2E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69247"/>
        <c:axId val="340372127"/>
      </c:barChart>
      <c:lineChart>
        <c:grouping val="standard"/>
        <c:varyColors val="0"/>
        <c:ser>
          <c:idx val="1"/>
          <c:order val="1"/>
          <c:tx>
            <c:v>Cumulative %</c:v>
          </c:tx>
          <c:cat>
            <c:strRef>
              <c:f>NDVI!$D$453:$D$460</c:f>
              <c:strCache>
                <c:ptCount val="8"/>
                <c:pt idx="0">
                  <c:v>-0,192075926</c:v>
                </c:pt>
                <c:pt idx="1">
                  <c:v>-0,113734259</c:v>
                </c:pt>
                <c:pt idx="2">
                  <c:v>-0,035392593</c:v>
                </c:pt>
                <c:pt idx="3">
                  <c:v>0,042949074</c:v>
                </c:pt>
                <c:pt idx="4">
                  <c:v>0,121290741</c:v>
                </c:pt>
                <c:pt idx="5">
                  <c:v>0,199632407</c:v>
                </c:pt>
                <c:pt idx="6">
                  <c:v>0,277974074</c:v>
                </c:pt>
                <c:pt idx="7">
                  <c:v>More</c:v>
                </c:pt>
              </c:strCache>
            </c:strRef>
          </c:cat>
          <c:val>
            <c:numRef>
              <c:f>NDVI!$F$453:$F$460</c:f>
              <c:numCache>
                <c:formatCode>0.00%</c:formatCode>
                <c:ptCount val="8"/>
                <c:pt idx="0">
                  <c:v>0.12962962962962962</c:v>
                </c:pt>
                <c:pt idx="1">
                  <c:v>0.25925925925925924</c:v>
                </c:pt>
                <c:pt idx="2">
                  <c:v>0.37037037037037035</c:v>
                </c:pt>
                <c:pt idx="3">
                  <c:v>0.59259259259259256</c:v>
                </c:pt>
                <c:pt idx="4">
                  <c:v>0.79629629629629628</c:v>
                </c:pt>
                <c:pt idx="5">
                  <c:v>0.92592592592592593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5-459F-88E1-B98D49B2E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149455"/>
        <c:axId val="896147055"/>
      </c:lineChart>
      <c:catAx>
        <c:axId val="3403692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Bin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372127"/>
        <c:crosses val="autoZero"/>
        <c:auto val="1"/>
        <c:lblAlgn val="ctr"/>
        <c:lblOffset val="100"/>
        <c:noMultiLvlLbl val="0"/>
      </c:catAx>
      <c:valAx>
        <c:axId val="34037212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369247"/>
        <c:crosses val="autoZero"/>
        <c:crossBetween val="between"/>
      </c:valAx>
      <c:valAx>
        <c:axId val="896147055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896149455"/>
        <c:crosses val="max"/>
        <c:crossBetween val="between"/>
      </c:valAx>
      <c:catAx>
        <c:axId val="8961494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96147055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Efekt interakcie faktorov X1 a X2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"Listnaté lesy"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NDVI!$C$643:$E$643</c:f>
              <c:numCache>
                <c:formatCode>General</c:formatCode>
                <c:ptCount val="3"/>
                <c:pt idx="0">
                  <c:v>-1</c:v>
                </c:pt>
                <c:pt idx="1">
                  <c:v>0</c:v>
                </c:pt>
                <c:pt idx="2">
                  <c:v>1</c:v>
                </c:pt>
              </c:numCache>
            </c:numRef>
          </c:xVal>
          <c:yVal>
            <c:numRef>
              <c:f>NDVI!$C$644:$E$644</c:f>
              <c:numCache>
                <c:formatCode>General</c:formatCode>
                <c:ptCount val="3"/>
                <c:pt idx="0">
                  <c:v>0.42288333333333333</c:v>
                </c:pt>
                <c:pt idx="1">
                  <c:v>0.56071666666666653</c:v>
                </c:pt>
                <c:pt idx="2">
                  <c:v>0.42639999999999995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5B-4D60-B4A9-9CE1E8F37516}"/>
            </c:ext>
          </c:extLst>
        </c:ser>
        <c:ser>
          <c:idx val="2"/>
          <c:order val="1"/>
          <c:tx>
            <c:v>"Ihličnaté lesy"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NDVI!$C$643:$E$643</c:f>
              <c:numCache>
                <c:formatCode>General</c:formatCode>
                <c:ptCount val="3"/>
                <c:pt idx="0">
                  <c:v>-1</c:v>
                </c:pt>
                <c:pt idx="1">
                  <c:v>0</c:v>
                </c:pt>
                <c:pt idx="2">
                  <c:v>1</c:v>
                </c:pt>
              </c:numCache>
            </c:numRef>
          </c:xVal>
          <c:yVal>
            <c:numRef>
              <c:f>NDVI!$C$645:$E$645</c:f>
              <c:numCache>
                <c:formatCode>General</c:formatCode>
                <c:ptCount val="3"/>
                <c:pt idx="0">
                  <c:v>0.50011666666666665</c:v>
                </c:pt>
                <c:pt idx="1">
                  <c:v>0.65036666666666665</c:v>
                </c:pt>
                <c:pt idx="2">
                  <c:v>0.74490000000000001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5B-4D60-B4A9-9CE1E8F37516}"/>
            </c:ext>
          </c:extLst>
        </c:ser>
        <c:ser>
          <c:idx val="1"/>
          <c:order val="2"/>
          <c:tx>
            <c:v>"Trávnaté porasty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NDVI!$C$643:$E$643</c:f>
              <c:numCache>
                <c:formatCode>General</c:formatCode>
                <c:ptCount val="3"/>
                <c:pt idx="0">
                  <c:v>-1</c:v>
                </c:pt>
                <c:pt idx="1">
                  <c:v>0</c:v>
                </c:pt>
                <c:pt idx="2">
                  <c:v>1</c:v>
                </c:pt>
              </c:numCache>
            </c:numRef>
          </c:xVal>
          <c:yVal>
            <c:numRef>
              <c:f>NDVI!$C$646:$E$646</c:f>
              <c:numCache>
                <c:formatCode>General</c:formatCode>
                <c:ptCount val="3"/>
                <c:pt idx="0">
                  <c:v>0.54208333333333336</c:v>
                </c:pt>
                <c:pt idx="1">
                  <c:v>0.72063333333333335</c:v>
                </c:pt>
                <c:pt idx="2">
                  <c:v>0.52883333333333338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5B-4D60-B4A9-9CE1E8F37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2288463"/>
        <c:axId val="1762285103"/>
      </c:scatterChart>
      <c:valAx>
        <c:axId val="1762288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Nadmorská</a:t>
                </a:r>
                <a:r>
                  <a:rPr lang="sk-SK" baseline="0"/>
                  <a:t> výška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62285103"/>
        <c:crosses val="autoZero"/>
        <c:crossBetween val="midCat"/>
      </c:valAx>
      <c:valAx>
        <c:axId val="1762285103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 index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62288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Efekt interakcie faktorov X1 a X2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300 m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xVal>
            <c:numRef>
              <c:f>NDVI!$B$644:$B$646</c:f>
              <c:numCache>
                <c:formatCode>General</c:formatCode>
                <c:ptCount val="3"/>
                <c:pt idx="0">
                  <c:v>-1</c:v>
                </c:pt>
                <c:pt idx="1">
                  <c:v>0</c:v>
                </c:pt>
                <c:pt idx="2">
                  <c:v>1</c:v>
                </c:pt>
              </c:numCache>
            </c:numRef>
          </c:xVal>
          <c:yVal>
            <c:numRef>
              <c:f>NDVI!$C$644:$C$646</c:f>
              <c:numCache>
                <c:formatCode>General</c:formatCode>
                <c:ptCount val="3"/>
                <c:pt idx="0">
                  <c:v>0.42288333333333333</c:v>
                </c:pt>
                <c:pt idx="1">
                  <c:v>0.50011666666666665</c:v>
                </c:pt>
                <c:pt idx="2">
                  <c:v>0.54208333333333336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EC-4154-B567-C3F3F900E42E}"/>
            </c:ext>
          </c:extLst>
        </c:ser>
        <c:ser>
          <c:idx val="2"/>
          <c:order val="1"/>
          <c:tx>
            <c:v>600 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9050">
                <a:solidFill>
                  <a:schemeClr val="accent3"/>
                </a:solidFill>
              </a:ln>
              <a:effectLst/>
            </c:spPr>
          </c:marker>
          <c:xVal>
            <c:numRef>
              <c:f>NDVI!$B$644:$B$646</c:f>
              <c:numCache>
                <c:formatCode>General</c:formatCode>
                <c:ptCount val="3"/>
                <c:pt idx="0">
                  <c:v>-1</c:v>
                </c:pt>
                <c:pt idx="1">
                  <c:v>0</c:v>
                </c:pt>
                <c:pt idx="2">
                  <c:v>1</c:v>
                </c:pt>
              </c:numCache>
            </c:numRef>
          </c:xVal>
          <c:yVal>
            <c:numRef>
              <c:f>NDVI!$D$644:$D$646</c:f>
              <c:numCache>
                <c:formatCode>General</c:formatCode>
                <c:ptCount val="3"/>
                <c:pt idx="0">
                  <c:v>0.56071666666666653</c:v>
                </c:pt>
                <c:pt idx="1">
                  <c:v>0.65036666666666665</c:v>
                </c:pt>
                <c:pt idx="2">
                  <c:v>0.72063333333333335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EC-4154-B567-C3F3F900E42E}"/>
            </c:ext>
          </c:extLst>
        </c:ser>
        <c:ser>
          <c:idx val="1"/>
          <c:order val="2"/>
          <c:tx>
            <c:v>900 m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xVal>
            <c:numRef>
              <c:f>NDVI!$B$644:$B$646</c:f>
              <c:numCache>
                <c:formatCode>General</c:formatCode>
                <c:ptCount val="3"/>
                <c:pt idx="0">
                  <c:v>-1</c:v>
                </c:pt>
                <c:pt idx="1">
                  <c:v>0</c:v>
                </c:pt>
                <c:pt idx="2">
                  <c:v>1</c:v>
                </c:pt>
              </c:numCache>
            </c:numRef>
          </c:xVal>
          <c:yVal>
            <c:numRef>
              <c:f>NDVI!$E$644:$E$646</c:f>
              <c:numCache>
                <c:formatCode>General</c:formatCode>
                <c:ptCount val="3"/>
                <c:pt idx="0">
                  <c:v>0.42639999999999995</c:v>
                </c:pt>
                <c:pt idx="1">
                  <c:v>0.74490000000000001</c:v>
                </c:pt>
                <c:pt idx="2">
                  <c:v>0.52883333333333338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EC-4154-B567-C3F3F900E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2288463"/>
        <c:axId val="1762285103"/>
      </c:scatterChart>
      <c:valAx>
        <c:axId val="1762288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Typ vegetácie</a:t>
                </a:r>
                <a:endParaRPr lang="en-US" baseline="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62285103"/>
        <c:crosses val="autoZero"/>
        <c:crossBetween val="midCat"/>
      </c:valAx>
      <c:valAx>
        <c:axId val="1762285103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NDVI Index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62288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b="1"/>
              <a:t>Versus</a:t>
            </a:r>
            <a:r>
              <a:rPr lang="sk-SK" b="1" baseline="0"/>
              <a:t> Fit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12061346552885077"/>
          <c:y val="0.20028593099459241"/>
          <c:w val="0.8487582622198403"/>
          <c:h val="0.78068246926514639"/>
        </c:manualLayout>
      </c:layout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NDVI!$B$397:$B$450</c:f>
              <c:numCache>
                <c:formatCode>General</c:formatCode>
                <c:ptCount val="54"/>
                <c:pt idx="0">
                  <c:v>0.50273425925925919</c:v>
                </c:pt>
                <c:pt idx="1">
                  <c:v>0.50273425925925919</c:v>
                </c:pt>
                <c:pt idx="2">
                  <c:v>0.62991759259259261</c:v>
                </c:pt>
                <c:pt idx="3">
                  <c:v>0.62991759259259261</c:v>
                </c:pt>
                <c:pt idx="4">
                  <c:v>0.50273425925925919</c:v>
                </c:pt>
                <c:pt idx="5">
                  <c:v>0.50273425925925919</c:v>
                </c:pt>
                <c:pt idx="6">
                  <c:v>0.62991759259259261</c:v>
                </c:pt>
                <c:pt idx="7">
                  <c:v>0.62991759259259261</c:v>
                </c:pt>
                <c:pt idx="8">
                  <c:v>0.50273425925925919</c:v>
                </c:pt>
                <c:pt idx="9">
                  <c:v>0.62991759259259261</c:v>
                </c:pt>
                <c:pt idx="10">
                  <c:v>0.50273425925925919</c:v>
                </c:pt>
                <c:pt idx="11">
                  <c:v>0.62991759259259261</c:v>
                </c:pt>
                <c:pt idx="12">
                  <c:v>0.5663259259259259</c:v>
                </c:pt>
                <c:pt idx="13">
                  <c:v>0.5663259259259259</c:v>
                </c:pt>
                <c:pt idx="14">
                  <c:v>0.5663259259259259</c:v>
                </c:pt>
                <c:pt idx="15">
                  <c:v>0.5663259259259259</c:v>
                </c:pt>
                <c:pt idx="16">
                  <c:v>0.50273425925925919</c:v>
                </c:pt>
                <c:pt idx="17">
                  <c:v>0.50273425925925919</c:v>
                </c:pt>
                <c:pt idx="18">
                  <c:v>0.62991759259259261</c:v>
                </c:pt>
                <c:pt idx="19">
                  <c:v>0.62991759259259261</c:v>
                </c:pt>
                <c:pt idx="20">
                  <c:v>0.5663259259259259</c:v>
                </c:pt>
                <c:pt idx="21">
                  <c:v>0.5663259259259259</c:v>
                </c:pt>
                <c:pt idx="22">
                  <c:v>0.50273425925925919</c:v>
                </c:pt>
                <c:pt idx="23">
                  <c:v>0.62991759259259261</c:v>
                </c:pt>
                <c:pt idx="24">
                  <c:v>0.5663259259259259</c:v>
                </c:pt>
                <c:pt idx="25">
                  <c:v>0.5663259259259259</c:v>
                </c:pt>
                <c:pt idx="26">
                  <c:v>0.5663259259259259</c:v>
                </c:pt>
                <c:pt idx="27">
                  <c:v>0.50273425925925919</c:v>
                </c:pt>
                <c:pt idx="28">
                  <c:v>0.50273425925925919</c:v>
                </c:pt>
                <c:pt idx="29">
                  <c:v>0.62991759259259261</c:v>
                </c:pt>
                <c:pt idx="30">
                  <c:v>0.62991759259259261</c:v>
                </c:pt>
                <c:pt idx="31">
                  <c:v>0.50273425925925919</c:v>
                </c:pt>
                <c:pt idx="32">
                  <c:v>0.50273425925925919</c:v>
                </c:pt>
                <c:pt idx="33">
                  <c:v>0.62991759259259261</c:v>
                </c:pt>
                <c:pt idx="34">
                  <c:v>0.62991759259259261</c:v>
                </c:pt>
                <c:pt idx="35">
                  <c:v>0.50273425925925919</c:v>
                </c:pt>
                <c:pt idx="36">
                  <c:v>0.62991759259259261</c:v>
                </c:pt>
                <c:pt idx="37">
                  <c:v>0.50273425925925919</c:v>
                </c:pt>
                <c:pt idx="38">
                  <c:v>0.62991759259259261</c:v>
                </c:pt>
                <c:pt idx="39">
                  <c:v>0.5663259259259259</c:v>
                </c:pt>
                <c:pt idx="40">
                  <c:v>0.5663259259259259</c:v>
                </c:pt>
                <c:pt idx="41">
                  <c:v>0.5663259259259259</c:v>
                </c:pt>
                <c:pt idx="42">
                  <c:v>0.5663259259259259</c:v>
                </c:pt>
                <c:pt idx="43">
                  <c:v>0.50273425925925919</c:v>
                </c:pt>
                <c:pt idx="44">
                  <c:v>0.50273425925925919</c:v>
                </c:pt>
                <c:pt idx="45">
                  <c:v>0.62991759259259261</c:v>
                </c:pt>
                <c:pt idx="46">
                  <c:v>0.62991759259259261</c:v>
                </c:pt>
                <c:pt idx="47">
                  <c:v>0.5663259259259259</c:v>
                </c:pt>
                <c:pt idx="48">
                  <c:v>0.5663259259259259</c:v>
                </c:pt>
                <c:pt idx="49">
                  <c:v>0.50273425925925919</c:v>
                </c:pt>
                <c:pt idx="50">
                  <c:v>0.62991759259259261</c:v>
                </c:pt>
                <c:pt idx="51">
                  <c:v>0.5663259259259259</c:v>
                </c:pt>
                <c:pt idx="52">
                  <c:v>0.5663259259259259</c:v>
                </c:pt>
                <c:pt idx="53">
                  <c:v>0.5663259259259259</c:v>
                </c:pt>
              </c:numCache>
            </c:numRef>
          </c:xVal>
          <c:yVal>
            <c:numRef>
              <c:f>NDVI!$C$397:$C$450</c:f>
              <c:numCache>
                <c:formatCode>General</c:formatCode>
                <c:ptCount val="54"/>
                <c:pt idx="0">
                  <c:v>-0.11393425925925921</c:v>
                </c:pt>
                <c:pt idx="1">
                  <c:v>-0.1457342592592592</c:v>
                </c:pt>
                <c:pt idx="2">
                  <c:v>-0.2006175925925926</c:v>
                </c:pt>
                <c:pt idx="3">
                  <c:v>2.8582407407407362E-2</c:v>
                </c:pt>
                <c:pt idx="4">
                  <c:v>-8.7034259259259172E-2</c:v>
                </c:pt>
                <c:pt idx="5">
                  <c:v>-0.21403425925925917</c:v>
                </c:pt>
                <c:pt idx="6">
                  <c:v>-2.4417592592592574E-2</c:v>
                </c:pt>
                <c:pt idx="7">
                  <c:v>-0.11661759259259263</c:v>
                </c:pt>
                <c:pt idx="8">
                  <c:v>1.6465740740740809E-2</c:v>
                </c:pt>
                <c:pt idx="9">
                  <c:v>7.7782407407407383E-2</c:v>
                </c:pt>
                <c:pt idx="10">
                  <c:v>2.5965740740740761E-2</c:v>
                </c:pt>
                <c:pt idx="11">
                  <c:v>5.5982407407407342E-2</c:v>
                </c:pt>
                <c:pt idx="12">
                  <c:v>-1.7125925925925878E-2</c:v>
                </c:pt>
                <c:pt idx="13">
                  <c:v>0.20807407407407408</c:v>
                </c:pt>
                <c:pt idx="14">
                  <c:v>-0.13322592592592591</c:v>
                </c:pt>
                <c:pt idx="15">
                  <c:v>0.27797407407407415</c:v>
                </c:pt>
                <c:pt idx="16">
                  <c:v>-0.21193425925925918</c:v>
                </c:pt>
                <c:pt idx="17">
                  <c:v>0.13076574074074077</c:v>
                </c:pt>
                <c:pt idx="18">
                  <c:v>-2.1217592592592593E-2</c:v>
                </c:pt>
                <c:pt idx="19">
                  <c:v>-0.2152175925925926</c:v>
                </c:pt>
                <c:pt idx="20">
                  <c:v>-7.5725925925925919E-2</c:v>
                </c:pt>
                <c:pt idx="21">
                  <c:v>4.9674074074074093E-2</c:v>
                </c:pt>
                <c:pt idx="22">
                  <c:v>9.736574074074078E-2</c:v>
                </c:pt>
                <c:pt idx="23">
                  <c:v>0.14098240740740742</c:v>
                </c:pt>
                <c:pt idx="24">
                  <c:v>0.14607407407407413</c:v>
                </c:pt>
                <c:pt idx="25">
                  <c:v>9.9674074074074137E-2</c:v>
                </c:pt>
                <c:pt idx="26">
                  <c:v>8.1274074074074054E-2</c:v>
                </c:pt>
                <c:pt idx="27">
                  <c:v>-9.4234259259259212E-2</c:v>
                </c:pt>
                <c:pt idx="28">
                  <c:v>-0.1457342592592592</c:v>
                </c:pt>
                <c:pt idx="29">
                  <c:v>-0.27041759259259263</c:v>
                </c:pt>
                <c:pt idx="30">
                  <c:v>2.8582407407407362E-2</c:v>
                </c:pt>
                <c:pt idx="31">
                  <c:v>-8.7034259259259172E-2</c:v>
                </c:pt>
                <c:pt idx="32">
                  <c:v>-0.21403425925925917</c:v>
                </c:pt>
                <c:pt idx="33">
                  <c:v>-2.4417592592592574E-2</c:v>
                </c:pt>
                <c:pt idx="34">
                  <c:v>-0.11661759259259263</c:v>
                </c:pt>
                <c:pt idx="35">
                  <c:v>5.7565740740740834E-2</c:v>
                </c:pt>
                <c:pt idx="36">
                  <c:v>1.7082407407407407E-2</c:v>
                </c:pt>
                <c:pt idx="37">
                  <c:v>2.5965740740740761E-2</c:v>
                </c:pt>
                <c:pt idx="38">
                  <c:v>5.5982407407407342E-2</c:v>
                </c:pt>
                <c:pt idx="39">
                  <c:v>-7.9525925925925889E-2</c:v>
                </c:pt>
                <c:pt idx="40">
                  <c:v>0.20807407407407408</c:v>
                </c:pt>
                <c:pt idx="41">
                  <c:v>-0.13322592592592591</c:v>
                </c:pt>
                <c:pt idx="42">
                  <c:v>0.27797407407407415</c:v>
                </c:pt>
                <c:pt idx="43">
                  <c:v>0.11506574074074083</c:v>
                </c:pt>
                <c:pt idx="44">
                  <c:v>0.13076574074074077</c:v>
                </c:pt>
                <c:pt idx="45">
                  <c:v>1.4082407407407405E-2</c:v>
                </c:pt>
                <c:pt idx="46">
                  <c:v>-0.2152175925925926</c:v>
                </c:pt>
                <c:pt idx="47">
                  <c:v>4.1574074074074097E-2</c:v>
                </c:pt>
                <c:pt idx="48">
                  <c:v>4.9674074074074093E-2</c:v>
                </c:pt>
                <c:pt idx="49">
                  <c:v>0.12456574074074078</c:v>
                </c:pt>
                <c:pt idx="50">
                  <c:v>0.19648240740740741</c:v>
                </c:pt>
                <c:pt idx="51">
                  <c:v>0.13187407407407414</c:v>
                </c:pt>
                <c:pt idx="52">
                  <c:v>9.9674074074074137E-2</c:v>
                </c:pt>
                <c:pt idx="53">
                  <c:v>-5.4325925925925889E-2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29-4DDD-83AC-EF19BD1D8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128335"/>
        <c:axId val="335248543"/>
      </c:scatterChart>
      <c:valAx>
        <c:axId val="896128335"/>
        <c:scaling>
          <c:orientation val="minMax"/>
          <c:max val="0.65000000000000013"/>
          <c:min val="0.4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b="1"/>
                  <a:t>Fitted</a:t>
                </a:r>
                <a:r>
                  <a:rPr lang="sk-SK" b="1" baseline="0"/>
                  <a:t> Value</a:t>
                </a:r>
                <a:endParaRPr lang="sk-SK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prstDash val="dash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35248543"/>
        <c:crosses val="autoZero"/>
        <c:crossBetween val="midCat"/>
      </c:valAx>
      <c:valAx>
        <c:axId val="335248543"/>
        <c:scaling>
          <c:orientation val="minMax"/>
          <c:min val="-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b="1"/>
                  <a:t>Residuals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961283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Histogram z gene</a:t>
            </a:r>
            <a:r>
              <a:rPr lang="en-U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rovan</a:t>
            </a:r>
            <a:r>
              <a:rPr lang="sk-SK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ých hodnôt preložený</a:t>
            </a:r>
            <a:br>
              <a:rPr lang="sk-SK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</a:br>
            <a:r>
              <a:rPr lang="sk-SK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Gaussovou krivkou rozdelenia N(0,0,135</a:t>
            </a:r>
            <a:r>
              <a:rPr lang="en-U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^2</a:t>
            </a:r>
            <a:r>
              <a:rPr lang="sk-SK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Početnosť ni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NDVI!$D$453:$D$459</c:f>
              <c:numCache>
                <c:formatCode>General</c:formatCode>
                <c:ptCount val="7"/>
                <c:pt idx="0">
                  <c:v>-0.19207592592592593</c:v>
                </c:pt>
                <c:pt idx="1">
                  <c:v>-0.11373425925925924</c:v>
                </c:pt>
                <c:pt idx="2">
                  <c:v>-3.5392592592592559E-2</c:v>
                </c:pt>
                <c:pt idx="3">
                  <c:v>4.2949074074074126E-2</c:v>
                </c:pt>
                <c:pt idx="4">
                  <c:v>0.12129074074074081</c:v>
                </c:pt>
                <c:pt idx="5">
                  <c:v>0.19963240740740751</c:v>
                </c:pt>
                <c:pt idx="6">
                  <c:v>0.27797407407407421</c:v>
                </c:pt>
              </c:numCache>
            </c:numRef>
          </c:cat>
          <c:val>
            <c:numRef>
              <c:f>NDVI!$E$453:$E$459</c:f>
              <c:numCache>
                <c:formatCode>General</c:formatCode>
                <c:ptCount val="7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12</c:v>
                </c:pt>
                <c:pt idx="4">
                  <c:v>11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C-45BC-BF12-8A604980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47857664"/>
        <c:axId val="42184064"/>
      </c:barChart>
      <c:lineChart>
        <c:grouping val="standard"/>
        <c:varyColors val="0"/>
        <c:ser>
          <c:idx val="1"/>
          <c:order val="1"/>
          <c:tx>
            <c:v>pdf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NDVI!$D$453:$D$459</c:f>
              <c:numCache>
                <c:formatCode>General</c:formatCode>
                <c:ptCount val="7"/>
                <c:pt idx="0">
                  <c:v>-0.19207592592592593</c:v>
                </c:pt>
                <c:pt idx="1">
                  <c:v>-0.11373425925925924</c:v>
                </c:pt>
                <c:pt idx="2">
                  <c:v>-3.5392592592592559E-2</c:v>
                </c:pt>
                <c:pt idx="3">
                  <c:v>4.2949074074074126E-2</c:v>
                </c:pt>
                <c:pt idx="4">
                  <c:v>0.12129074074074081</c:v>
                </c:pt>
                <c:pt idx="5">
                  <c:v>0.19963240740740751</c:v>
                </c:pt>
                <c:pt idx="6">
                  <c:v>0.27797407407407421</c:v>
                </c:pt>
              </c:numCache>
            </c:numRef>
          </c:cat>
          <c:val>
            <c:numRef>
              <c:f>NDVI!$G$453:$G$459</c:f>
              <c:numCache>
                <c:formatCode>General</c:formatCode>
                <c:ptCount val="7"/>
                <c:pt idx="0">
                  <c:v>7.7399298206435568E-2</c:v>
                </c:pt>
                <c:pt idx="1">
                  <c:v>0.19976078556879753</c:v>
                </c:pt>
                <c:pt idx="2">
                  <c:v>0.39659621110222232</c:v>
                </c:pt>
                <c:pt idx="3">
                  <c:v>0.62481111752892804</c:v>
                </c:pt>
                <c:pt idx="4">
                  <c:v>0.81552713660051313</c:v>
                </c:pt>
                <c:pt idx="5">
                  <c:v>0.93039757430331504</c:v>
                </c:pt>
                <c:pt idx="6">
                  <c:v>0.98025610002307528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20C-45BC-BF12-8A604980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58688"/>
        <c:axId val="42184640"/>
      </c:lineChart>
      <c:catAx>
        <c:axId val="4785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4064"/>
        <c:crosses val="autoZero"/>
        <c:auto val="1"/>
        <c:lblAlgn val="ctr"/>
        <c:lblOffset val="100"/>
        <c:tickMarkSkip val="1"/>
        <c:noMultiLvlLbl val="0"/>
      </c:catAx>
      <c:valAx>
        <c:axId val="4218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b="1"/>
                  <a:t>Početnosť ni</a:t>
                </a:r>
                <a:endParaRPr lang="en-US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7857664"/>
        <c:crosses val="autoZero"/>
        <c:crossBetween val="between"/>
      </c:valAx>
      <c:valAx>
        <c:axId val="421846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f(x)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7858688"/>
        <c:crosses val="max"/>
        <c:crossBetween val="between"/>
      </c:valAx>
      <c:catAx>
        <c:axId val="47858688"/>
        <c:scaling>
          <c:orientation val="minMax"/>
        </c:scaling>
        <c:delete val="0"/>
        <c:axPos val="t"/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18464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Versus Order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NDVI!$C$396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NDVI!$A$397:$A$450</c:f>
              <c:numCache>
                <c:formatCode>General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NDVI!$C$397:$C$450</c:f>
              <c:numCache>
                <c:formatCode>General</c:formatCode>
                <c:ptCount val="54"/>
                <c:pt idx="0">
                  <c:v>-0.11393425925925921</c:v>
                </c:pt>
                <c:pt idx="1">
                  <c:v>-0.1457342592592592</c:v>
                </c:pt>
                <c:pt idx="2">
                  <c:v>-0.2006175925925926</c:v>
                </c:pt>
                <c:pt idx="3">
                  <c:v>2.8582407407407362E-2</c:v>
                </c:pt>
                <c:pt idx="4">
                  <c:v>-8.7034259259259172E-2</c:v>
                </c:pt>
                <c:pt idx="5">
                  <c:v>-0.21403425925925917</c:v>
                </c:pt>
                <c:pt idx="6">
                  <c:v>-2.4417592592592574E-2</c:v>
                </c:pt>
                <c:pt idx="7">
                  <c:v>-0.11661759259259263</c:v>
                </c:pt>
                <c:pt idx="8">
                  <c:v>1.6465740740740809E-2</c:v>
                </c:pt>
                <c:pt idx="9">
                  <c:v>7.7782407407407383E-2</c:v>
                </c:pt>
                <c:pt idx="10">
                  <c:v>2.5965740740740761E-2</c:v>
                </c:pt>
                <c:pt idx="11">
                  <c:v>5.5982407407407342E-2</c:v>
                </c:pt>
                <c:pt idx="12">
                  <c:v>-1.7125925925925878E-2</c:v>
                </c:pt>
                <c:pt idx="13">
                  <c:v>0.20807407407407408</c:v>
                </c:pt>
                <c:pt idx="14">
                  <c:v>-0.13322592592592591</c:v>
                </c:pt>
                <c:pt idx="15">
                  <c:v>0.27797407407407415</c:v>
                </c:pt>
                <c:pt idx="16">
                  <c:v>-0.21193425925925918</c:v>
                </c:pt>
                <c:pt idx="17">
                  <c:v>0.13076574074074077</c:v>
                </c:pt>
                <c:pt idx="18">
                  <c:v>-2.1217592592592593E-2</c:v>
                </c:pt>
                <c:pt idx="19">
                  <c:v>-0.2152175925925926</c:v>
                </c:pt>
                <c:pt idx="20">
                  <c:v>-7.5725925925925919E-2</c:v>
                </c:pt>
                <c:pt idx="21">
                  <c:v>4.9674074074074093E-2</c:v>
                </c:pt>
                <c:pt idx="22">
                  <c:v>9.736574074074078E-2</c:v>
                </c:pt>
                <c:pt idx="23">
                  <c:v>0.14098240740740742</c:v>
                </c:pt>
                <c:pt idx="24">
                  <c:v>0.14607407407407413</c:v>
                </c:pt>
                <c:pt idx="25">
                  <c:v>9.9674074074074137E-2</c:v>
                </c:pt>
                <c:pt idx="26">
                  <c:v>8.1274074074074054E-2</c:v>
                </c:pt>
                <c:pt idx="27">
                  <c:v>-9.4234259259259212E-2</c:v>
                </c:pt>
                <c:pt idx="28">
                  <c:v>-0.1457342592592592</c:v>
                </c:pt>
                <c:pt idx="29">
                  <c:v>-0.27041759259259263</c:v>
                </c:pt>
                <c:pt idx="30">
                  <c:v>2.8582407407407362E-2</c:v>
                </c:pt>
                <c:pt idx="31">
                  <c:v>-8.7034259259259172E-2</c:v>
                </c:pt>
                <c:pt idx="32">
                  <c:v>-0.21403425925925917</c:v>
                </c:pt>
                <c:pt idx="33">
                  <c:v>-2.4417592592592574E-2</c:v>
                </c:pt>
                <c:pt idx="34">
                  <c:v>-0.11661759259259263</c:v>
                </c:pt>
                <c:pt idx="35">
                  <c:v>5.7565740740740834E-2</c:v>
                </c:pt>
                <c:pt idx="36">
                  <c:v>1.7082407407407407E-2</c:v>
                </c:pt>
                <c:pt idx="37">
                  <c:v>2.5965740740740761E-2</c:v>
                </c:pt>
                <c:pt idx="38">
                  <c:v>5.5982407407407342E-2</c:v>
                </c:pt>
                <c:pt idx="39">
                  <c:v>-7.9525925925925889E-2</c:v>
                </c:pt>
                <c:pt idx="40">
                  <c:v>0.20807407407407408</c:v>
                </c:pt>
                <c:pt idx="41">
                  <c:v>-0.13322592592592591</c:v>
                </c:pt>
                <c:pt idx="42">
                  <c:v>0.27797407407407415</c:v>
                </c:pt>
                <c:pt idx="43">
                  <c:v>0.11506574074074083</c:v>
                </c:pt>
                <c:pt idx="44">
                  <c:v>0.13076574074074077</c:v>
                </c:pt>
                <c:pt idx="45">
                  <c:v>1.4082407407407405E-2</c:v>
                </c:pt>
                <c:pt idx="46">
                  <c:v>-0.2152175925925926</c:v>
                </c:pt>
                <c:pt idx="47">
                  <c:v>4.1574074074074097E-2</c:v>
                </c:pt>
                <c:pt idx="48">
                  <c:v>4.9674074074074093E-2</c:v>
                </c:pt>
                <c:pt idx="49">
                  <c:v>0.12456574074074078</c:v>
                </c:pt>
                <c:pt idx="50">
                  <c:v>0.19648240740740741</c:v>
                </c:pt>
                <c:pt idx="51">
                  <c:v>0.13187407407407414</c:v>
                </c:pt>
                <c:pt idx="52">
                  <c:v>9.9674074074074137E-2</c:v>
                </c:pt>
                <c:pt idx="53">
                  <c:v>-5.4325925925925889E-2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2F-44D6-B583-3C6CB5408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952863"/>
        <c:axId val="1316828719"/>
      </c:scatterChart>
      <c:valAx>
        <c:axId val="11889528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Observation Order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316828719"/>
        <c:crosses val="autoZero"/>
        <c:crossBetween val="midCat"/>
      </c:valAx>
      <c:valAx>
        <c:axId val="1316828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Residual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889528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</a:t>
            </a:r>
            <a:r>
              <a:rPr lang="sk-SK" baseline="0"/>
              <a:t> efekt faktora X1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NDVI!$A$600:$A$602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-1</c:v>
                </c:pt>
              </c:numCache>
            </c:numRef>
          </c:xVal>
          <c:yVal>
            <c:numRef>
              <c:f>NDVI!$B$600:$B$602</c:f>
              <c:numCache>
                <c:formatCode>General</c:formatCode>
                <c:ptCount val="3"/>
                <c:pt idx="0">
                  <c:v>0.56671111111111105</c:v>
                </c:pt>
                <c:pt idx="1">
                  <c:v>0.64390555555555551</c:v>
                </c:pt>
                <c:pt idx="2">
                  <c:v>0.48836111111111108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47-4831-B96F-13D5D97C8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04671"/>
        <c:axId val="55211391"/>
      </c:scatterChart>
      <c:valAx>
        <c:axId val="552046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Úroveň nastavenia faktora X1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5211391"/>
        <c:crosses val="autoZero"/>
        <c:crossBetween val="midCat"/>
      </c:valAx>
      <c:valAx>
        <c:axId val="55211391"/>
        <c:scaling>
          <c:orientation val="minMax"/>
          <c:max val="0.65000000000000013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Priemer odozvy NDVI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5204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Hlavný efekt faktora X2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9D-4161-B38D-D02D07A6B318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28-451E-B200-FB4BDDDC7A80}"/>
              </c:ext>
            </c:extLst>
          </c:dPt>
          <c:xVal>
            <c:numRef>
              <c:f>NDVI!$A$600:$A$602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-1</c:v>
                </c:pt>
              </c:numCache>
            </c:numRef>
          </c:xVal>
          <c:yVal>
            <c:numRef>
              <c:f>NDVI!$C$600:$C$602</c:f>
              <c:numCache>
                <c:formatCode>General</c:formatCode>
                <c:ptCount val="3"/>
                <c:pt idx="0">
                  <c:v>0.59718333333333329</c:v>
                </c:pt>
                <c:pt idx="1">
                  <c:v>0.63179444444444455</c:v>
                </c:pt>
                <c:pt idx="2">
                  <c:v>0.47000000000000003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9D-4161-B38D-D02D07A6B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2991135"/>
        <c:axId val="1852991615"/>
      </c:scatterChart>
      <c:valAx>
        <c:axId val="1852991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Úroveň nastavenia faktora X2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52991615"/>
        <c:crosses val="autoZero"/>
        <c:crossBetween val="midCat"/>
      </c:valAx>
      <c:valAx>
        <c:axId val="1852991615"/>
        <c:scaling>
          <c:orientation val="minMax"/>
          <c:max val="0.65000000000000013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Priemer odozvy NDVI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52991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Hlavný efekt faktora X3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NDVI!$A$600:$A$602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-1</c:v>
                </c:pt>
              </c:numCache>
            </c:numRef>
          </c:xVal>
          <c:yVal>
            <c:numRef>
              <c:f>NDVI!$D$600:$D$602</c:f>
              <c:numCache>
                <c:formatCode>General</c:formatCode>
                <c:ptCount val="3"/>
                <c:pt idx="0">
                  <c:v>0.55346666666666666</c:v>
                </c:pt>
                <c:pt idx="1">
                  <c:v>0.58736111111111111</c:v>
                </c:pt>
                <c:pt idx="2">
                  <c:v>0.55814999999999992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45-46B5-A8D7-EDAF44D3E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16671"/>
        <c:axId val="55209951"/>
      </c:scatterChart>
      <c:valAx>
        <c:axId val="552166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Úroveň nastavenia faktora X3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5209951"/>
        <c:crosses val="autoZero"/>
        <c:crossBetween val="midCat"/>
      </c:valAx>
      <c:valAx>
        <c:axId val="55209951"/>
        <c:scaling>
          <c:orientation val="minMax"/>
          <c:max val="0.65000000000000013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Priemer odozvy NDVI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5216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t2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xVal>
            <c:numRef>
              <c:f>NDVI!$A$195:$A$248</c:f>
              <c:numCache>
                <c:formatCode>General</c:formatCode>
                <c:ptCount val="54"/>
                <c:pt idx="0">
                  <c:v>-1</c:v>
                </c:pt>
                <c:pt idx="1">
                  <c:v>-1</c:v>
                </c:pt>
                <c:pt idx="2">
                  <c:v>1</c:v>
                </c:pt>
                <c:pt idx="3">
                  <c:v>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1</c:v>
                </c:pt>
                <c:pt idx="8">
                  <c:v>-1</c:v>
                </c:pt>
                <c:pt idx="9">
                  <c:v>1</c:v>
                </c:pt>
                <c:pt idx="10">
                  <c:v>-1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-1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-1</c:v>
                </c:pt>
                <c:pt idx="29">
                  <c:v>1</c:v>
                </c:pt>
                <c:pt idx="30">
                  <c:v>1</c:v>
                </c:pt>
                <c:pt idx="31">
                  <c:v>-1</c:v>
                </c:pt>
                <c:pt idx="32">
                  <c:v>-1</c:v>
                </c:pt>
                <c:pt idx="33">
                  <c:v>1</c:v>
                </c:pt>
                <c:pt idx="34">
                  <c:v>1</c:v>
                </c:pt>
                <c:pt idx="35">
                  <c:v>-1</c:v>
                </c:pt>
                <c:pt idx="36">
                  <c:v>1</c:v>
                </c:pt>
                <c:pt idx="37">
                  <c:v>-1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-1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xVal>
          <c:yVal>
            <c:numRef>
              <c:f>NDVI!$C$397:$C$450</c:f>
              <c:numCache>
                <c:formatCode>General</c:formatCode>
                <c:ptCount val="54"/>
                <c:pt idx="0">
                  <c:v>-0.11393425925925921</c:v>
                </c:pt>
                <c:pt idx="1">
                  <c:v>-0.1457342592592592</c:v>
                </c:pt>
                <c:pt idx="2">
                  <c:v>-0.2006175925925926</c:v>
                </c:pt>
                <c:pt idx="3">
                  <c:v>2.8582407407407362E-2</c:v>
                </c:pt>
                <c:pt idx="4">
                  <c:v>-8.7034259259259172E-2</c:v>
                </c:pt>
                <c:pt idx="5">
                  <c:v>-0.21403425925925917</c:v>
                </c:pt>
                <c:pt idx="6">
                  <c:v>-2.4417592592592574E-2</c:v>
                </c:pt>
                <c:pt idx="7">
                  <c:v>-0.11661759259259263</c:v>
                </c:pt>
                <c:pt idx="8">
                  <c:v>1.6465740740740809E-2</c:v>
                </c:pt>
                <c:pt idx="9">
                  <c:v>7.7782407407407383E-2</c:v>
                </c:pt>
                <c:pt idx="10">
                  <c:v>2.5965740740740761E-2</c:v>
                </c:pt>
                <c:pt idx="11">
                  <c:v>5.5982407407407342E-2</c:v>
                </c:pt>
                <c:pt idx="12">
                  <c:v>-1.7125925925925878E-2</c:v>
                </c:pt>
                <c:pt idx="13">
                  <c:v>0.20807407407407408</c:v>
                </c:pt>
                <c:pt idx="14">
                  <c:v>-0.13322592592592591</c:v>
                </c:pt>
                <c:pt idx="15">
                  <c:v>0.27797407407407415</c:v>
                </c:pt>
                <c:pt idx="16">
                  <c:v>-0.21193425925925918</c:v>
                </c:pt>
                <c:pt idx="17">
                  <c:v>0.13076574074074077</c:v>
                </c:pt>
                <c:pt idx="18">
                  <c:v>-2.1217592592592593E-2</c:v>
                </c:pt>
                <c:pt idx="19">
                  <c:v>-0.2152175925925926</c:v>
                </c:pt>
                <c:pt idx="20">
                  <c:v>-7.5725925925925919E-2</c:v>
                </c:pt>
                <c:pt idx="21">
                  <c:v>4.9674074074074093E-2</c:v>
                </c:pt>
                <c:pt idx="22">
                  <c:v>9.736574074074078E-2</c:v>
                </c:pt>
                <c:pt idx="23">
                  <c:v>0.14098240740740742</c:v>
                </c:pt>
                <c:pt idx="24">
                  <c:v>0.14607407407407413</c:v>
                </c:pt>
                <c:pt idx="25">
                  <c:v>9.9674074074074137E-2</c:v>
                </c:pt>
                <c:pt idx="26">
                  <c:v>8.1274074074074054E-2</c:v>
                </c:pt>
                <c:pt idx="27">
                  <c:v>-9.4234259259259212E-2</c:v>
                </c:pt>
                <c:pt idx="28">
                  <c:v>-0.1457342592592592</c:v>
                </c:pt>
                <c:pt idx="29">
                  <c:v>-0.27041759259259263</c:v>
                </c:pt>
                <c:pt idx="30">
                  <c:v>2.8582407407407362E-2</c:v>
                </c:pt>
                <c:pt idx="31">
                  <c:v>-8.7034259259259172E-2</c:v>
                </c:pt>
                <c:pt idx="32">
                  <c:v>-0.21403425925925917</c:v>
                </c:pt>
                <c:pt idx="33">
                  <c:v>-2.4417592592592574E-2</c:v>
                </c:pt>
                <c:pt idx="34">
                  <c:v>-0.11661759259259263</c:v>
                </c:pt>
                <c:pt idx="35">
                  <c:v>5.7565740740740834E-2</c:v>
                </c:pt>
                <c:pt idx="36">
                  <c:v>1.7082407407407407E-2</c:v>
                </c:pt>
                <c:pt idx="37">
                  <c:v>2.5965740740740761E-2</c:v>
                </c:pt>
                <c:pt idx="38">
                  <c:v>5.5982407407407342E-2</c:v>
                </c:pt>
                <c:pt idx="39">
                  <c:v>-7.9525925925925889E-2</c:v>
                </c:pt>
                <c:pt idx="40">
                  <c:v>0.20807407407407408</c:v>
                </c:pt>
                <c:pt idx="41">
                  <c:v>-0.13322592592592591</c:v>
                </c:pt>
                <c:pt idx="42">
                  <c:v>0.27797407407407415</c:v>
                </c:pt>
                <c:pt idx="43">
                  <c:v>0.11506574074074083</c:v>
                </c:pt>
                <c:pt idx="44">
                  <c:v>0.13076574074074077</c:v>
                </c:pt>
                <c:pt idx="45">
                  <c:v>1.4082407407407405E-2</c:v>
                </c:pt>
                <c:pt idx="46">
                  <c:v>-0.2152175925925926</c:v>
                </c:pt>
                <c:pt idx="47">
                  <c:v>4.1574074074074097E-2</c:v>
                </c:pt>
                <c:pt idx="48">
                  <c:v>4.9674074074074093E-2</c:v>
                </c:pt>
                <c:pt idx="49">
                  <c:v>0.12456574074074078</c:v>
                </c:pt>
                <c:pt idx="50">
                  <c:v>0.19648240740740741</c:v>
                </c:pt>
                <c:pt idx="51">
                  <c:v>0.13187407407407414</c:v>
                </c:pt>
                <c:pt idx="52">
                  <c:v>9.9674074074074137E-2</c:v>
                </c:pt>
                <c:pt idx="53">
                  <c:v>-5.4325925925925889E-2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5B-49E7-8365-EDCAC1897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107215"/>
        <c:axId val="896102895"/>
      </c:scatterChart>
      <c:valAx>
        <c:axId val="8961072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t2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6102895"/>
        <c:crosses val="autoZero"/>
        <c:crossBetween val="midCat"/>
      </c:valAx>
      <c:valAx>
        <c:axId val="8961028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6107215"/>
        <c:crosses val="autoZero"/>
        <c:crossBetween val="midCat"/>
      </c:valAx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t2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38100">
              <a:noFill/>
            </a:ln>
          </c:spPr>
          <c:xVal>
            <c:numRef>
              <c:f>NDVI!$A$195:$A$248</c:f>
              <c:numCache>
                <c:formatCode>General</c:formatCode>
                <c:ptCount val="54"/>
                <c:pt idx="0">
                  <c:v>-1</c:v>
                </c:pt>
                <c:pt idx="1">
                  <c:v>-1</c:v>
                </c:pt>
                <c:pt idx="2">
                  <c:v>1</c:v>
                </c:pt>
                <c:pt idx="3">
                  <c:v>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1</c:v>
                </c:pt>
                <c:pt idx="8">
                  <c:v>-1</c:v>
                </c:pt>
                <c:pt idx="9">
                  <c:v>1</c:v>
                </c:pt>
                <c:pt idx="10">
                  <c:v>-1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-1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-1</c:v>
                </c:pt>
                <c:pt idx="29">
                  <c:v>1</c:v>
                </c:pt>
                <c:pt idx="30">
                  <c:v>1</c:v>
                </c:pt>
                <c:pt idx="31">
                  <c:v>-1</c:v>
                </c:pt>
                <c:pt idx="32">
                  <c:v>-1</c:v>
                </c:pt>
                <c:pt idx="33">
                  <c:v>1</c:v>
                </c:pt>
                <c:pt idx="34">
                  <c:v>1</c:v>
                </c:pt>
                <c:pt idx="35">
                  <c:v>-1</c:v>
                </c:pt>
                <c:pt idx="36">
                  <c:v>1</c:v>
                </c:pt>
                <c:pt idx="37">
                  <c:v>-1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-1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xVal>
          <c:yVal>
            <c:numRef>
              <c:f>NDVI!$B$195:$B$248</c:f>
              <c:numCache>
                <c:formatCode>General</c:formatCode>
                <c:ptCount val="54"/>
                <c:pt idx="0">
                  <c:v>0.38879999999999998</c:v>
                </c:pt>
                <c:pt idx="1">
                  <c:v>0.35699999999999998</c:v>
                </c:pt>
                <c:pt idx="2">
                  <c:v>0.42930000000000001</c:v>
                </c:pt>
                <c:pt idx="3">
                  <c:v>0.65849999999999997</c:v>
                </c:pt>
                <c:pt idx="4">
                  <c:v>0.41570000000000001</c:v>
                </c:pt>
                <c:pt idx="5">
                  <c:v>0.28870000000000001</c:v>
                </c:pt>
                <c:pt idx="6">
                  <c:v>0.60550000000000004</c:v>
                </c:pt>
                <c:pt idx="7">
                  <c:v>0.51329999999999998</c:v>
                </c:pt>
                <c:pt idx="8">
                  <c:v>0.51919999999999999</c:v>
                </c:pt>
                <c:pt idx="9">
                  <c:v>0.7077</c:v>
                </c:pt>
                <c:pt idx="10">
                  <c:v>0.52869999999999995</c:v>
                </c:pt>
                <c:pt idx="11">
                  <c:v>0.68589999999999995</c:v>
                </c:pt>
                <c:pt idx="12">
                  <c:v>0.54920000000000002</c:v>
                </c:pt>
                <c:pt idx="13">
                  <c:v>0.77439999999999998</c:v>
                </c:pt>
                <c:pt idx="14">
                  <c:v>0.43309999999999998</c:v>
                </c:pt>
                <c:pt idx="15">
                  <c:v>0.84430000000000005</c:v>
                </c:pt>
                <c:pt idx="16">
                  <c:v>0.2908</c:v>
                </c:pt>
                <c:pt idx="17">
                  <c:v>0.63349999999999995</c:v>
                </c:pt>
                <c:pt idx="18">
                  <c:v>0.60870000000000002</c:v>
                </c:pt>
                <c:pt idx="19">
                  <c:v>0.41470000000000001</c:v>
                </c:pt>
                <c:pt idx="20">
                  <c:v>0.49059999999999998</c:v>
                </c:pt>
                <c:pt idx="21">
                  <c:v>0.61599999999999999</c:v>
                </c:pt>
                <c:pt idx="22">
                  <c:v>0.60009999999999997</c:v>
                </c:pt>
                <c:pt idx="23">
                  <c:v>0.77090000000000003</c:v>
                </c:pt>
                <c:pt idx="24">
                  <c:v>0.71240000000000003</c:v>
                </c:pt>
                <c:pt idx="25">
                  <c:v>0.66600000000000004</c:v>
                </c:pt>
                <c:pt idx="26">
                  <c:v>0.64759999999999995</c:v>
                </c:pt>
                <c:pt idx="27">
                  <c:v>0.40849999999999997</c:v>
                </c:pt>
                <c:pt idx="28">
                  <c:v>0.35699999999999998</c:v>
                </c:pt>
                <c:pt idx="29">
                  <c:v>0.35949999999999999</c:v>
                </c:pt>
                <c:pt idx="30">
                  <c:v>0.65849999999999997</c:v>
                </c:pt>
                <c:pt idx="31">
                  <c:v>0.41570000000000001</c:v>
                </c:pt>
                <c:pt idx="32">
                  <c:v>0.28870000000000001</c:v>
                </c:pt>
                <c:pt idx="33">
                  <c:v>0.60550000000000004</c:v>
                </c:pt>
                <c:pt idx="34">
                  <c:v>0.51329999999999998</c:v>
                </c:pt>
                <c:pt idx="35">
                  <c:v>0.56030000000000002</c:v>
                </c:pt>
                <c:pt idx="36">
                  <c:v>0.64700000000000002</c:v>
                </c:pt>
                <c:pt idx="37">
                  <c:v>0.52869999999999995</c:v>
                </c:pt>
                <c:pt idx="38">
                  <c:v>0.68589999999999995</c:v>
                </c:pt>
                <c:pt idx="39">
                  <c:v>0.48680000000000001</c:v>
                </c:pt>
                <c:pt idx="40">
                  <c:v>0.77439999999999998</c:v>
                </c:pt>
                <c:pt idx="41">
                  <c:v>0.43309999999999998</c:v>
                </c:pt>
                <c:pt idx="42">
                  <c:v>0.84430000000000005</c:v>
                </c:pt>
                <c:pt idx="43">
                  <c:v>0.61780000000000002</c:v>
                </c:pt>
                <c:pt idx="44">
                  <c:v>0.63349999999999995</c:v>
                </c:pt>
                <c:pt idx="45">
                  <c:v>0.64400000000000002</c:v>
                </c:pt>
                <c:pt idx="46">
                  <c:v>0.41470000000000001</c:v>
                </c:pt>
                <c:pt idx="47">
                  <c:v>0.6079</c:v>
                </c:pt>
                <c:pt idx="48">
                  <c:v>0.61599999999999999</c:v>
                </c:pt>
                <c:pt idx="49">
                  <c:v>0.62729999999999997</c:v>
                </c:pt>
                <c:pt idx="50">
                  <c:v>0.82640000000000002</c:v>
                </c:pt>
                <c:pt idx="51">
                  <c:v>0.69820000000000004</c:v>
                </c:pt>
                <c:pt idx="52">
                  <c:v>0.66600000000000004</c:v>
                </c:pt>
                <c:pt idx="53">
                  <c:v>0.51200000000000001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20-4846-9160-F36248B6F12B}"/>
            </c:ext>
          </c:extLst>
        </c:ser>
        <c:ser>
          <c:idx val="1"/>
          <c:order val="1"/>
          <c:tx>
            <c:v>Predicted y</c:v>
          </c:tx>
          <c:spPr>
            <a:ln w="38100">
              <a:noFill/>
            </a:ln>
          </c:spPr>
          <c:xVal>
            <c:numRef>
              <c:f>NDVI!$A$195:$A$248</c:f>
              <c:numCache>
                <c:formatCode>General</c:formatCode>
                <c:ptCount val="54"/>
                <c:pt idx="0">
                  <c:v>-1</c:v>
                </c:pt>
                <c:pt idx="1">
                  <c:v>-1</c:v>
                </c:pt>
                <c:pt idx="2">
                  <c:v>1</c:v>
                </c:pt>
                <c:pt idx="3">
                  <c:v>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1</c:v>
                </c:pt>
                <c:pt idx="8">
                  <c:v>-1</c:v>
                </c:pt>
                <c:pt idx="9">
                  <c:v>1</c:v>
                </c:pt>
                <c:pt idx="10">
                  <c:v>-1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-1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-1</c:v>
                </c:pt>
                <c:pt idx="29">
                  <c:v>1</c:v>
                </c:pt>
                <c:pt idx="30">
                  <c:v>1</c:v>
                </c:pt>
                <c:pt idx="31">
                  <c:v>-1</c:v>
                </c:pt>
                <c:pt idx="32">
                  <c:v>-1</c:v>
                </c:pt>
                <c:pt idx="33">
                  <c:v>1</c:v>
                </c:pt>
                <c:pt idx="34">
                  <c:v>1</c:v>
                </c:pt>
                <c:pt idx="35">
                  <c:v>-1</c:v>
                </c:pt>
                <c:pt idx="36">
                  <c:v>1</c:v>
                </c:pt>
                <c:pt idx="37">
                  <c:v>-1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-1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xVal>
          <c:yVal>
            <c:numRef>
              <c:f>NDVI!$B$397:$B$450</c:f>
              <c:numCache>
                <c:formatCode>General</c:formatCode>
                <c:ptCount val="54"/>
                <c:pt idx="0">
                  <c:v>0.50273425925925919</c:v>
                </c:pt>
                <c:pt idx="1">
                  <c:v>0.50273425925925919</c:v>
                </c:pt>
                <c:pt idx="2">
                  <c:v>0.62991759259259261</c:v>
                </c:pt>
                <c:pt idx="3">
                  <c:v>0.62991759259259261</c:v>
                </c:pt>
                <c:pt idx="4">
                  <c:v>0.50273425925925919</c:v>
                </c:pt>
                <c:pt idx="5">
                  <c:v>0.50273425925925919</c:v>
                </c:pt>
                <c:pt idx="6">
                  <c:v>0.62991759259259261</c:v>
                </c:pt>
                <c:pt idx="7">
                  <c:v>0.62991759259259261</c:v>
                </c:pt>
                <c:pt idx="8">
                  <c:v>0.50273425925925919</c:v>
                </c:pt>
                <c:pt idx="9">
                  <c:v>0.62991759259259261</c:v>
                </c:pt>
                <c:pt idx="10">
                  <c:v>0.50273425925925919</c:v>
                </c:pt>
                <c:pt idx="11">
                  <c:v>0.62991759259259261</c:v>
                </c:pt>
                <c:pt idx="12">
                  <c:v>0.5663259259259259</c:v>
                </c:pt>
                <c:pt idx="13">
                  <c:v>0.5663259259259259</c:v>
                </c:pt>
                <c:pt idx="14">
                  <c:v>0.5663259259259259</c:v>
                </c:pt>
                <c:pt idx="15">
                  <c:v>0.5663259259259259</c:v>
                </c:pt>
                <c:pt idx="16">
                  <c:v>0.50273425925925919</c:v>
                </c:pt>
                <c:pt idx="17">
                  <c:v>0.50273425925925919</c:v>
                </c:pt>
                <c:pt idx="18">
                  <c:v>0.62991759259259261</c:v>
                </c:pt>
                <c:pt idx="19">
                  <c:v>0.62991759259259261</c:v>
                </c:pt>
                <c:pt idx="20">
                  <c:v>0.5663259259259259</c:v>
                </c:pt>
                <c:pt idx="21">
                  <c:v>0.5663259259259259</c:v>
                </c:pt>
                <c:pt idx="22">
                  <c:v>0.50273425925925919</c:v>
                </c:pt>
                <c:pt idx="23">
                  <c:v>0.62991759259259261</c:v>
                </c:pt>
                <c:pt idx="24">
                  <c:v>0.5663259259259259</c:v>
                </c:pt>
                <c:pt idx="25">
                  <c:v>0.5663259259259259</c:v>
                </c:pt>
                <c:pt idx="26">
                  <c:v>0.5663259259259259</c:v>
                </c:pt>
                <c:pt idx="27">
                  <c:v>0.50273425925925919</c:v>
                </c:pt>
                <c:pt idx="28">
                  <c:v>0.50273425925925919</c:v>
                </c:pt>
                <c:pt idx="29">
                  <c:v>0.62991759259259261</c:v>
                </c:pt>
                <c:pt idx="30">
                  <c:v>0.62991759259259261</c:v>
                </c:pt>
                <c:pt idx="31">
                  <c:v>0.50273425925925919</c:v>
                </c:pt>
                <c:pt idx="32">
                  <c:v>0.50273425925925919</c:v>
                </c:pt>
                <c:pt idx="33">
                  <c:v>0.62991759259259261</c:v>
                </c:pt>
                <c:pt idx="34">
                  <c:v>0.62991759259259261</c:v>
                </c:pt>
                <c:pt idx="35">
                  <c:v>0.50273425925925919</c:v>
                </c:pt>
                <c:pt idx="36">
                  <c:v>0.62991759259259261</c:v>
                </c:pt>
                <c:pt idx="37">
                  <c:v>0.50273425925925919</c:v>
                </c:pt>
                <c:pt idx="38">
                  <c:v>0.62991759259259261</c:v>
                </c:pt>
                <c:pt idx="39">
                  <c:v>0.5663259259259259</c:v>
                </c:pt>
                <c:pt idx="40">
                  <c:v>0.5663259259259259</c:v>
                </c:pt>
                <c:pt idx="41">
                  <c:v>0.5663259259259259</c:v>
                </c:pt>
                <c:pt idx="42">
                  <c:v>0.5663259259259259</c:v>
                </c:pt>
                <c:pt idx="43">
                  <c:v>0.50273425925925919</c:v>
                </c:pt>
                <c:pt idx="44">
                  <c:v>0.50273425925925919</c:v>
                </c:pt>
                <c:pt idx="45">
                  <c:v>0.62991759259259261</c:v>
                </c:pt>
                <c:pt idx="46">
                  <c:v>0.62991759259259261</c:v>
                </c:pt>
                <c:pt idx="47">
                  <c:v>0.5663259259259259</c:v>
                </c:pt>
                <c:pt idx="48">
                  <c:v>0.5663259259259259</c:v>
                </c:pt>
                <c:pt idx="49">
                  <c:v>0.50273425925925919</c:v>
                </c:pt>
                <c:pt idx="50">
                  <c:v>0.62991759259259261</c:v>
                </c:pt>
                <c:pt idx="51">
                  <c:v>0.5663259259259259</c:v>
                </c:pt>
                <c:pt idx="52">
                  <c:v>0.5663259259259259</c:v>
                </c:pt>
                <c:pt idx="53">
                  <c:v>0.5663259259259259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20-4846-9160-F36248B6F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121615"/>
        <c:axId val="896122095"/>
      </c:scatterChart>
      <c:valAx>
        <c:axId val="8961216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t2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6122095"/>
        <c:crosses val="autoZero"/>
        <c:crossBetween val="midCat"/>
      </c:valAx>
      <c:valAx>
        <c:axId val="8961220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612161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image" Target="../media/image5.png"/><Relationship Id="rId26" Type="http://schemas.openxmlformats.org/officeDocument/2006/relationships/image" Target="../media/image13.png"/><Relationship Id="rId3" Type="http://schemas.openxmlformats.org/officeDocument/2006/relationships/chart" Target="../charts/chart3.xml"/><Relationship Id="rId21" Type="http://schemas.openxmlformats.org/officeDocument/2006/relationships/image" Target="../media/image8.png"/><Relationship Id="rId34" Type="http://schemas.openxmlformats.org/officeDocument/2006/relationships/image" Target="../media/image21.png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image" Target="../media/image4.png"/><Relationship Id="rId25" Type="http://schemas.openxmlformats.org/officeDocument/2006/relationships/image" Target="../media/image12.png"/><Relationship Id="rId33" Type="http://schemas.openxmlformats.org/officeDocument/2006/relationships/image" Target="../media/image20.png"/><Relationship Id="rId2" Type="http://schemas.openxmlformats.org/officeDocument/2006/relationships/chart" Target="../charts/chart2.xml"/><Relationship Id="rId16" Type="http://schemas.openxmlformats.org/officeDocument/2006/relationships/image" Target="../media/image3.png"/><Relationship Id="rId20" Type="http://schemas.openxmlformats.org/officeDocument/2006/relationships/image" Target="../media/image7.png"/><Relationship Id="rId29" Type="http://schemas.openxmlformats.org/officeDocument/2006/relationships/image" Target="../media/image16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image" Target="../media/image11.png"/><Relationship Id="rId32" Type="http://schemas.openxmlformats.org/officeDocument/2006/relationships/image" Target="../media/image19.png"/><Relationship Id="rId5" Type="http://schemas.openxmlformats.org/officeDocument/2006/relationships/chart" Target="../charts/chart5.xml"/><Relationship Id="rId15" Type="http://schemas.openxmlformats.org/officeDocument/2006/relationships/image" Target="../media/image2.png"/><Relationship Id="rId23" Type="http://schemas.openxmlformats.org/officeDocument/2006/relationships/image" Target="../media/image10.png"/><Relationship Id="rId28" Type="http://schemas.openxmlformats.org/officeDocument/2006/relationships/image" Target="../media/image15.png"/><Relationship Id="rId10" Type="http://schemas.openxmlformats.org/officeDocument/2006/relationships/chart" Target="../charts/chart10.xml"/><Relationship Id="rId19" Type="http://schemas.openxmlformats.org/officeDocument/2006/relationships/image" Target="../media/image6.png"/><Relationship Id="rId31" Type="http://schemas.openxmlformats.org/officeDocument/2006/relationships/image" Target="../media/image18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1.png"/><Relationship Id="rId22" Type="http://schemas.openxmlformats.org/officeDocument/2006/relationships/image" Target="../media/image9.png"/><Relationship Id="rId27" Type="http://schemas.openxmlformats.org/officeDocument/2006/relationships/image" Target="../media/image14.png"/><Relationship Id="rId30" Type="http://schemas.openxmlformats.org/officeDocument/2006/relationships/image" Target="../media/image17.png"/><Relationship Id="rId35" Type="http://schemas.openxmlformats.org/officeDocument/2006/relationships/image" Target="../media/image22.png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395</xdr:row>
      <xdr:rowOff>76200</xdr:rowOff>
    </xdr:from>
    <xdr:to>
      <xdr:col>19</xdr:col>
      <xdr:colOff>381000</xdr:colOff>
      <xdr:row>415</xdr:row>
      <xdr:rowOff>45720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8D72848B-6657-0C71-E9C9-2ACB897D83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30480</xdr:colOff>
      <xdr:row>443</xdr:row>
      <xdr:rowOff>152400</xdr:rowOff>
    </xdr:from>
    <xdr:to>
      <xdr:col>19</xdr:col>
      <xdr:colOff>281940</xdr:colOff>
      <xdr:row>463</xdr:row>
      <xdr:rowOff>60960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1F43E6C1-2AF8-DAC2-BA4D-397CD41E8C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76201</xdr:colOff>
      <xdr:row>416</xdr:row>
      <xdr:rowOff>76200</xdr:rowOff>
    </xdr:from>
    <xdr:to>
      <xdr:col>19</xdr:col>
      <xdr:colOff>243841</xdr:colOff>
      <xdr:row>442</xdr:row>
      <xdr:rowOff>17417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60516170-7E7E-4464-B022-E9A334DA0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548640</xdr:colOff>
      <xdr:row>485</xdr:row>
      <xdr:rowOff>22860</xdr:rowOff>
    </xdr:from>
    <xdr:to>
      <xdr:col>18</xdr:col>
      <xdr:colOff>571500</xdr:colOff>
      <xdr:row>504</xdr:row>
      <xdr:rowOff>76200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E4F89B0A-D6C0-DD81-AFFE-AA193AF82E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45720</xdr:colOff>
      <xdr:row>606</xdr:row>
      <xdr:rowOff>68580</xdr:rowOff>
    </xdr:from>
    <xdr:to>
      <xdr:col>4</xdr:col>
      <xdr:colOff>822960</xdr:colOff>
      <xdr:row>621</xdr:row>
      <xdr:rowOff>68580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386F6ABA-A411-90CB-BD9E-FF05791C58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30480</xdr:colOff>
      <xdr:row>606</xdr:row>
      <xdr:rowOff>45720</xdr:rowOff>
    </xdr:from>
    <xdr:to>
      <xdr:col>11</xdr:col>
      <xdr:colOff>487680</xdr:colOff>
      <xdr:row>621</xdr:row>
      <xdr:rowOff>45720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3817D55C-E23C-E1C8-F033-E9F7787BB8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45720</xdr:colOff>
      <xdr:row>621</xdr:row>
      <xdr:rowOff>175260</xdr:rowOff>
    </xdr:from>
    <xdr:to>
      <xdr:col>4</xdr:col>
      <xdr:colOff>822960</xdr:colOff>
      <xdr:row>636</xdr:row>
      <xdr:rowOff>175260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14889C37-1F6A-4841-28EE-ABBA50BD21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32</xdr:col>
      <xdr:colOff>76200</xdr:colOff>
      <xdr:row>447</xdr:row>
      <xdr:rowOff>76200</xdr:rowOff>
    </xdr:from>
    <xdr:to>
      <xdr:col>38</xdr:col>
      <xdr:colOff>449580</xdr:colOff>
      <xdr:row>464</xdr:row>
      <xdr:rowOff>160020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3F6485BA-826C-420E-ABD2-8C355A3E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160020</xdr:colOff>
      <xdr:row>447</xdr:row>
      <xdr:rowOff>60960</xdr:rowOff>
    </xdr:from>
    <xdr:to>
      <xdr:col>46</xdr:col>
      <xdr:colOff>121920</xdr:colOff>
      <xdr:row>465</xdr:row>
      <xdr:rowOff>60960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3AF0F96B-49EC-4B03-A44F-450370065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137160</xdr:colOff>
      <xdr:row>427</xdr:row>
      <xdr:rowOff>76200</xdr:rowOff>
    </xdr:from>
    <xdr:to>
      <xdr:col>50</xdr:col>
      <xdr:colOff>213360</xdr:colOff>
      <xdr:row>444</xdr:row>
      <xdr:rowOff>45720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BEC163A1-5473-49C8-817B-152EC1589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32</xdr:col>
      <xdr:colOff>53340</xdr:colOff>
      <xdr:row>427</xdr:row>
      <xdr:rowOff>60960</xdr:rowOff>
    </xdr:from>
    <xdr:to>
      <xdr:col>42</xdr:col>
      <xdr:colOff>487680</xdr:colOff>
      <xdr:row>446</xdr:row>
      <xdr:rowOff>38100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60D9FFDE-AD91-485C-9A72-E009F182B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388620</xdr:colOff>
      <xdr:row>641</xdr:row>
      <xdr:rowOff>30480</xdr:rowOff>
    </xdr:from>
    <xdr:to>
      <xdr:col>14</xdr:col>
      <xdr:colOff>335280</xdr:colOff>
      <xdr:row>658</xdr:row>
      <xdr:rowOff>167640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5B6E39CC-3943-68BE-0AC0-72E66A69BE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297180</xdr:colOff>
      <xdr:row>641</xdr:row>
      <xdr:rowOff>38100</xdr:rowOff>
    </xdr:from>
    <xdr:to>
      <xdr:col>24</xdr:col>
      <xdr:colOff>541020</xdr:colOff>
      <xdr:row>658</xdr:row>
      <xdr:rowOff>175260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29BC2527-8017-4863-9730-035B0FCBF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99060</xdr:colOff>
      <xdr:row>702</xdr:row>
      <xdr:rowOff>68580</xdr:rowOff>
    </xdr:from>
    <xdr:to>
      <xdr:col>7</xdr:col>
      <xdr:colOff>464820</xdr:colOff>
      <xdr:row>727</xdr:row>
      <xdr:rowOff>68580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111B791-B343-28F2-B10D-B4D24725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060" y="128960880"/>
          <a:ext cx="6858000" cy="45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91520</xdr:colOff>
      <xdr:row>729</xdr:row>
      <xdr:rowOff>60959</xdr:rowOff>
    </xdr:from>
    <xdr:to>
      <xdr:col>3</xdr:col>
      <xdr:colOff>236219</xdr:colOff>
      <xdr:row>753</xdr:row>
      <xdr:rowOff>6156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30819279-6FEE-3E53-C5C6-B36659C2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520" y="133891019"/>
          <a:ext cx="3078399" cy="4345203"/>
        </a:xfrm>
        <a:prstGeom prst="rect">
          <a:avLst/>
        </a:prstGeom>
      </xdr:spPr>
    </xdr:pic>
    <xdr:clientData/>
  </xdr:twoCellAnchor>
  <xdr:twoCellAnchor editAs="oneCell">
    <xdr:from>
      <xdr:col>3</xdr:col>
      <xdr:colOff>480060</xdr:colOff>
      <xdr:row>729</xdr:row>
      <xdr:rowOff>38101</xdr:rowOff>
    </xdr:from>
    <xdr:to>
      <xdr:col>7</xdr:col>
      <xdr:colOff>114300</xdr:colOff>
      <xdr:row>741</xdr:row>
      <xdr:rowOff>23977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DCF822C7-CE7F-478D-BBB0-AEB9CA9F3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13760" y="133868161"/>
          <a:ext cx="3192780" cy="2180435"/>
        </a:xfrm>
        <a:prstGeom prst="rect">
          <a:avLst/>
        </a:prstGeom>
      </xdr:spPr>
    </xdr:pic>
    <xdr:clientData/>
  </xdr:twoCellAnchor>
  <xdr:twoCellAnchor editAs="oneCell">
    <xdr:from>
      <xdr:col>8</xdr:col>
      <xdr:colOff>337458</xdr:colOff>
      <xdr:row>720</xdr:row>
      <xdr:rowOff>145869</xdr:rowOff>
    </xdr:from>
    <xdr:to>
      <xdr:col>18</xdr:col>
      <xdr:colOff>459378</xdr:colOff>
      <xdr:row>743</xdr:row>
      <xdr:rowOff>82732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1ADB165F-7DFD-6AFB-D4C1-D3D1F0224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445829" y="134236098"/>
          <a:ext cx="6217920" cy="41931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760</xdr:row>
      <xdr:rowOff>0</xdr:rowOff>
    </xdr:from>
    <xdr:to>
      <xdr:col>4</xdr:col>
      <xdr:colOff>404751</xdr:colOff>
      <xdr:row>784</xdr:row>
      <xdr:rowOff>0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id="{727D1FA6-4826-9FA9-C386-1E61F3679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" y="139499340"/>
          <a:ext cx="4199510" cy="4389120"/>
        </a:xfrm>
        <a:prstGeom prst="rect">
          <a:avLst/>
        </a:prstGeom>
      </xdr:spPr>
    </xdr:pic>
    <xdr:clientData/>
  </xdr:twoCellAnchor>
  <xdr:twoCellAnchor editAs="oneCell">
    <xdr:from>
      <xdr:col>4</xdr:col>
      <xdr:colOff>548640</xdr:colOff>
      <xdr:row>759</xdr:row>
      <xdr:rowOff>167641</xdr:rowOff>
    </xdr:from>
    <xdr:to>
      <xdr:col>8</xdr:col>
      <xdr:colOff>570961</xdr:colOff>
      <xdr:row>776</xdr:row>
      <xdr:rowOff>15241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9486E30E-8A82-82D3-015B-161E87229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43400" y="139484101"/>
          <a:ext cx="3329401" cy="2956560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</xdr:colOff>
      <xdr:row>759</xdr:row>
      <xdr:rowOff>38100</xdr:rowOff>
    </xdr:from>
    <xdr:to>
      <xdr:col>18</xdr:col>
      <xdr:colOff>190500</xdr:colOff>
      <xdr:row>779</xdr:row>
      <xdr:rowOff>106680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id="{682552D7-A73D-7908-A886-87407A870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799070" y="139354560"/>
          <a:ext cx="5589270" cy="37261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789</xdr:row>
      <xdr:rowOff>22860</xdr:rowOff>
    </xdr:from>
    <xdr:to>
      <xdr:col>3</xdr:col>
      <xdr:colOff>402537</xdr:colOff>
      <xdr:row>811</xdr:row>
      <xdr:rowOff>118964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id="{B21D613B-B93B-2333-7715-B4414DB10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" y="144825720"/>
          <a:ext cx="3298137" cy="4119464"/>
        </a:xfrm>
        <a:prstGeom prst="rect">
          <a:avLst/>
        </a:prstGeom>
      </xdr:spPr>
    </xdr:pic>
    <xdr:clientData/>
  </xdr:twoCellAnchor>
  <xdr:twoCellAnchor editAs="oneCell">
    <xdr:from>
      <xdr:col>3</xdr:col>
      <xdr:colOff>594360</xdr:colOff>
      <xdr:row>789</xdr:row>
      <xdr:rowOff>0</xdr:rowOff>
    </xdr:from>
    <xdr:to>
      <xdr:col>7</xdr:col>
      <xdr:colOff>556260</xdr:colOff>
      <xdr:row>817</xdr:row>
      <xdr:rowOff>153197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DC88CFB5-9798-B57F-19DE-8F92451AB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28060" y="144802860"/>
          <a:ext cx="3520440" cy="52738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821</xdr:row>
      <xdr:rowOff>0</xdr:rowOff>
    </xdr:from>
    <xdr:to>
      <xdr:col>7</xdr:col>
      <xdr:colOff>365760</xdr:colOff>
      <xdr:row>846</xdr:row>
      <xdr:rowOff>0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id="{C262EA8D-0CF5-C01C-64FE-6C3F97BD7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50655020"/>
          <a:ext cx="6858000" cy="457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821</xdr:row>
      <xdr:rowOff>0</xdr:rowOff>
    </xdr:from>
    <xdr:to>
      <xdr:col>19</xdr:col>
      <xdr:colOff>152400</xdr:colOff>
      <xdr:row>846</xdr:row>
      <xdr:rowOff>0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6FC7678D-8D2F-5A6B-3BCB-4EEA1EE06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01840" y="150655020"/>
          <a:ext cx="6858000" cy="457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71280</xdr:colOff>
      <xdr:row>327</xdr:row>
      <xdr:rowOff>48986</xdr:rowOff>
    </xdr:from>
    <xdr:to>
      <xdr:col>22</xdr:col>
      <xdr:colOff>391886</xdr:colOff>
      <xdr:row>350</xdr:row>
      <xdr:rowOff>149014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4ADA5F3-73BD-2AFF-2C89-57B7D4001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6851" y="60900129"/>
          <a:ext cx="4587806" cy="4392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576942</xdr:colOff>
      <xdr:row>179</xdr:row>
      <xdr:rowOff>33415</xdr:rowOff>
    </xdr:from>
    <xdr:to>
      <xdr:col>54</xdr:col>
      <xdr:colOff>348343</xdr:colOff>
      <xdr:row>216</xdr:row>
      <xdr:rowOff>78510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F6028BF9-31FE-04E6-8862-C7A251034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799" y="33278386"/>
          <a:ext cx="8305801" cy="6979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174173</xdr:colOff>
      <xdr:row>304</xdr:row>
      <xdr:rowOff>83444</xdr:rowOff>
    </xdr:from>
    <xdr:to>
      <xdr:col>22</xdr:col>
      <xdr:colOff>457201</xdr:colOff>
      <xdr:row>326</xdr:row>
      <xdr:rowOff>160451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7B50579C-953F-2F9D-1B06-37F504DF9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9744" y="56634730"/>
          <a:ext cx="4550228" cy="4180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613455</xdr:colOff>
      <xdr:row>348</xdr:row>
      <xdr:rowOff>114300</xdr:rowOff>
    </xdr:from>
    <xdr:to>
      <xdr:col>11</xdr:col>
      <xdr:colOff>261207</xdr:colOff>
      <xdr:row>370</xdr:row>
      <xdr:rowOff>75727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BD45C462-92F1-FA81-E7AB-B5F06C19B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95" y="64023240"/>
          <a:ext cx="3762552" cy="4006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121984</xdr:colOff>
      <xdr:row>371</xdr:row>
      <xdr:rowOff>106681</xdr:rowOff>
    </xdr:from>
    <xdr:to>
      <xdr:col>49</xdr:col>
      <xdr:colOff>266700</xdr:colOff>
      <xdr:row>393</xdr:row>
      <xdr:rowOff>152400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8E7B61F3-2772-FE2A-3274-E8EB8212A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1844" y="68229481"/>
          <a:ext cx="6850316" cy="411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105984</xdr:colOff>
      <xdr:row>395</xdr:row>
      <xdr:rowOff>15240</xdr:rowOff>
    </xdr:from>
    <xdr:to>
      <xdr:col>47</xdr:col>
      <xdr:colOff>213359</xdr:colOff>
      <xdr:row>419</xdr:row>
      <xdr:rowOff>60960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A69D1BB1-9BB2-72F0-17A4-4117E73A9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5844" y="72580500"/>
          <a:ext cx="5593775" cy="445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832679</xdr:colOff>
      <xdr:row>514</xdr:row>
      <xdr:rowOff>110836</xdr:rowOff>
    </xdr:from>
    <xdr:to>
      <xdr:col>14</xdr:col>
      <xdr:colOff>359524</xdr:colOff>
      <xdr:row>545</xdr:row>
      <xdr:rowOff>29096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id="{E563B13A-5F38-ECBC-15B0-C8218D0D9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4061" y="93476618"/>
          <a:ext cx="5470445" cy="554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87085</xdr:colOff>
      <xdr:row>797</xdr:row>
      <xdr:rowOff>141514</xdr:rowOff>
    </xdr:from>
    <xdr:to>
      <xdr:col>15</xdr:col>
      <xdr:colOff>20410</xdr:colOff>
      <xdr:row>810</xdr:row>
      <xdr:rowOff>50346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5DC4D364-383C-0C23-94EF-189707EA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805056" y="148513800"/>
          <a:ext cx="3590925" cy="2314575"/>
        </a:xfrm>
        <a:prstGeom prst="rect">
          <a:avLst/>
        </a:prstGeom>
      </xdr:spPr>
    </xdr:pic>
    <xdr:clientData/>
  </xdr:twoCellAnchor>
  <xdr:twoCellAnchor editAs="oneCell">
    <xdr:from>
      <xdr:col>38</xdr:col>
      <xdr:colOff>364354</xdr:colOff>
      <xdr:row>466</xdr:row>
      <xdr:rowOff>54428</xdr:rowOff>
    </xdr:from>
    <xdr:to>
      <xdr:col>48</xdr:col>
      <xdr:colOff>263433</xdr:colOff>
      <xdr:row>492</xdr:row>
      <xdr:rowOff>17416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id="{7F15CC9D-86E7-39C7-16CB-96CA4C53F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4011" y="86846228"/>
          <a:ext cx="5995079" cy="481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32764</xdr:colOff>
      <xdr:row>1</xdr:row>
      <xdr:rowOff>46383</xdr:rowOff>
    </xdr:from>
    <xdr:to>
      <xdr:col>13</xdr:col>
      <xdr:colOff>114664</xdr:colOff>
      <xdr:row>23</xdr:row>
      <xdr:rowOff>159026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A2C80022-804C-FE9C-8A66-B7F145B9D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4694" y="231913"/>
          <a:ext cx="4561135" cy="419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170330</xdr:colOff>
      <xdr:row>1</xdr:row>
      <xdr:rowOff>17931</xdr:rowOff>
    </xdr:from>
    <xdr:to>
      <xdr:col>22</xdr:col>
      <xdr:colOff>419549</xdr:colOff>
      <xdr:row>23</xdr:row>
      <xdr:rowOff>131164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62CBF928-A1CA-4CBD-F9E9-BE88200B8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7577" y="197225"/>
          <a:ext cx="4516419" cy="4057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848"/>
  <sheetViews>
    <sheetView tabSelected="1" zoomScale="85" zoomScaleNormal="85" workbookViewId="0">
      <selection activeCell="Y841" sqref="Y841"/>
    </sheetView>
  </sheetViews>
  <sheetFormatPr defaultRowHeight="14.25"/>
  <cols>
    <col min="1" max="1" width="14.625" customWidth="1"/>
    <col min="2" max="2" width="16.5" customWidth="1"/>
    <col min="3" max="3" width="11.625" customWidth="1"/>
    <col min="4" max="4" width="12.5" customWidth="1"/>
    <col min="5" max="5" width="14.875" customWidth="1"/>
    <col min="6" max="6" width="12.5" customWidth="1"/>
    <col min="7" max="7" width="12" bestFit="1" customWidth="1"/>
    <col min="23" max="23" width="11.25" bestFit="1" customWidth="1"/>
  </cols>
  <sheetData>
    <row r="1" spans="1:15" ht="15">
      <c r="A1" s="1" t="s">
        <v>16</v>
      </c>
      <c r="B1" s="2" t="s">
        <v>17</v>
      </c>
      <c r="C1" s="2" t="s">
        <v>18</v>
      </c>
      <c r="D1" s="2" t="s">
        <v>19</v>
      </c>
      <c r="E1" s="3" t="s">
        <v>20</v>
      </c>
      <c r="G1" s="56" t="s">
        <v>26</v>
      </c>
      <c r="H1" s="57"/>
      <c r="I1" s="57"/>
      <c r="J1" s="57"/>
      <c r="K1" s="57"/>
      <c r="L1" s="57"/>
      <c r="M1" s="57"/>
      <c r="N1" s="57"/>
      <c r="O1" s="57"/>
    </row>
    <row r="2" spans="1:15">
      <c r="A2" s="4" t="s">
        <v>8</v>
      </c>
      <c r="B2" t="s">
        <v>9</v>
      </c>
      <c r="E2" s="5"/>
      <c r="G2" s="57"/>
      <c r="H2" s="57"/>
      <c r="I2" s="57"/>
      <c r="J2" s="57"/>
      <c r="K2" s="57"/>
      <c r="L2" s="57"/>
      <c r="M2" s="57"/>
      <c r="N2" s="57"/>
    </row>
    <row r="3" spans="1:15">
      <c r="A3" s="4" t="s">
        <v>10</v>
      </c>
      <c r="B3" t="s">
        <v>11</v>
      </c>
      <c r="C3">
        <v>300</v>
      </c>
      <c r="D3">
        <v>600</v>
      </c>
      <c r="E3" s="5">
        <v>900</v>
      </c>
      <c r="G3" s="57"/>
      <c r="H3" s="57"/>
      <c r="I3" s="57"/>
      <c r="J3" s="57"/>
      <c r="K3" s="57"/>
      <c r="L3" s="57"/>
      <c r="M3" s="57"/>
      <c r="N3" s="57"/>
      <c r="O3" s="57"/>
    </row>
    <row r="4" spans="1:15">
      <c r="A4" s="4" t="s">
        <v>12</v>
      </c>
      <c r="B4" t="s">
        <v>13</v>
      </c>
      <c r="C4" t="s">
        <v>21</v>
      </c>
      <c r="D4" t="s">
        <v>22</v>
      </c>
      <c r="E4" s="5" t="s">
        <v>23</v>
      </c>
      <c r="G4" s="57"/>
      <c r="H4" s="57"/>
      <c r="I4" s="57"/>
      <c r="J4" s="57"/>
      <c r="K4" s="57"/>
      <c r="L4" s="57"/>
      <c r="M4" s="57"/>
      <c r="N4" s="57"/>
      <c r="O4" s="57"/>
    </row>
    <row r="5" spans="1:15">
      <c r="A5" s="4" t="s">
        <v>14</v>
      </c>
      <c r="B5" t="s">
        <v>15</v>
      </c>
      <c r="C5">
        <v>2.5</v>
      </c>
      <c r="D5">
        <v>7.5</v>
      </c>
      <c r="E5" s="5">
        <v>12.5</v>
      </c>
      <c r="G5" s="57"/>
      <c r="H5" s="57"/>
      <c r="I5" s="57"/>
      <c r="J5" s="57"/>
      <c r="K5" s="57"/>
      <c r="L5" s="57"/>
      <c r="M5" s="57"/>
      <c r="N5" s="57"/>
      <c r="O5" s="57"/>
    </row>
    <row r="6" spans="1:15">
      <c r="A6" s="4" t="s">
        <v>34</v>
      </c>
      <c r="B6">
        <v>2</v>
      </c>
      <c r="E6" s="5"/>
      <c r="G6" s="57"/>
      <c r="H6" s="57"/>
      <c r="I6" s="57"/>
      <c r="J6" s="57"/>
      <c r="K6" s="57"/>
      <c r="L6" s="57"/>
      <c r="M6" s="57"/>
      <c r="N6" s="57"/>
      <c r="O6" s="57"/>
    </row>
    <row r="7" spans="1:15">
      <c r="A7" s="4" t="s">
        <v>24</v>
      </c>
      <c r="B7">
        <v>0.05</v>
      </c>
      <c r="E7" s="5"/>
      <c r="G7" s="57"/>
      <c r="H7" s="57"/>
      <c r="I7" s="57"/>
      <c r="J7" s="57"/>
      <c r="K7" s="57"/>
      <c r="L7" s="57"/>
      <c r="M7" s="57"/>
      <c r="N7" s="57"/>
      <c r="O7" s="57"/>
    </row>
    <row r="8" spans="1:15">
      <c r="A8" s="4"/>
      <c r="E8" s="5"/>
      <c r="G8" s="57"/>
      <c r="H8" s="57"/>
      <c r="I8" s="57"/>
      <c r="J8" s="57"/>
      <c r="K8" s="57"/>
      <c r="L8" s="57"/>
      <c r="M8" s="57"/>
      <c r="N8" s="57"/>
      <c r="O8" s="57"/>
    </row>
    <row r="9" spans="1:15">
      <c r="A9" s="4" t="s">
        <v>0</v>
      </c>
      <c r="B9" t="s">
        <v>1</v>
      </c>
      <c r="C9" t="s">
        <v>2</v>
      </c>
      <c r="D9" t="s">
        <v>25</v>
      </c>
      <c r="E9" s="5"/>
      <c r="G9" s="57"/>
      <c r="H9" s="57"/>
      <c r="I9" s="57"/>
      <c r="J9" s="57"/>
      <c r="K9" s="57"/>
      <c r="L9" s="57"/>
      <c r="M9" s="57"/>
      <c r="N9" s="57"/>
      <c r="O9" s="57"/>
    </row>
    <row r="10" spans="1:15">
      <c r="A10" s="4">
        <v>-1</v>
      </c>
      <c r="B10">
        <v>-1</v>
      </c>
      <c r="C10">
        <v>-1</v>
      </c>
      <c r="D10">
        <v>0.38879999999999998</v>
      </c>
      <c r="E10" s="5"/>
      <c r="G10" s="57"/>
      <c r="H10" s="57"/>
      <c r="I10" s="57"/>
      <c r="J10" s="57"/>
      <c r="K10" s="57"/>
      <c r="L10" s="57"/>
      <c r="M10" s="57"/>
      <c r="N10" s="57"/>
      <c r="O10" s="57"/>
    </row>
    <row r="11" spans="1:15">
      <c r="A11" s="4">
        <v>1</v>
      </c>
      <c r="B11">
        <v>-1</v>
      </c>
      <c r="C11">
        <v>-1</v>
      </c>
      <c r="D11">
        <v>0.35699999999999998</v>
      </c>
      <c r="E11" s="5"/>
      <c r="G11" s="57"/>
      <c r="H11" s="57"/>
      <c r="I11" s="57"/>
      <c r="J11" s="57"/>
      <c r="K11" s="57"/>
      <c r="L11" s="57"/>
      <c r="M11" s="57"/>
      <c r="N11" s="57"/>
      <c r="O11" s="57"/>
    </row>
    <row r="12" spans="1:15">
      <c r="A12" s="4">
        <v>-1</v>
      </c>
      <c r="B12">
        <v>1</v>
      </c>
      <c r="C12">
        <v>-1</v>
      </c>
      <c r="D12">
        <v>0.42930000000000001</v>
      </c>
      <c r="E12" s="5"/>
      <c r="G12" s="57"/>
      <c r="H12" s="57"/>
      <c r="I12" s="57"/>
      <c r="J12" s="57"/>
      <c r="K12" s="57"/>
      <c r="L12" s="57"/>
      <c r="M12" s="57"/>
      <c r="N12" s="57"/>
      <c r="O12" s="57" t="s">
        <v>87</v>
      </c>
    </row>
    <row r="13" spans="1:15">
      <c r="A13" s="4">
        <v>1</v>
      </c>
      <c r="B13">
        <v>1</v>
      </c>
      <c r="C13">
        <v>-1</v>
      </c>
      <c r="D13">
        <v>0.65849999999999997</v>
      </c>
      <c r="E13" s="5"/>
      <c r="G13" s="57"/>
      <c r="H13" s="57"/>
      <c r="I13" s="57"/>
      <c r="J13" s="57"/>
      <c r="K13" s="57"/>
      <c r="L13" s="57"/>
      <c r="M13" s="57"/>
      <c r="N13" s="57"/>
      <c r="O13" s="57"/>
    </row>
    <row r="14" spans="1:15">
      <c r="A14" s="4">
        <v>-1</v>
      </c>
      <c r="B14">
        <v>-1</v>
      </c>
      <c r="C14">
        <v>1</v>
      </c>
      <c r="D14">
        <v>0.41570000000000001</v>
      </c>
      <c r="E14" s="5"/>
      <c r="G14" s="57"/>
      <c r="H14" s="57"/>
      <c r="I14" s="57"/>
      <c r="J14" s="57"/>
      <c r="K14" s="57"/>
      <c r="L14" s="57"/>
      <c r="M14" s="57"/>
      <c r="N14" s="57"/>
      <c r="O14" s="57"/>
    </row>
    <row r="15" spans="1:15">
      <c r="A15" s="4">
        <v>1</v>
      </c>
      <c r="B15">
        <v>-1</v>
      </c>
      <c r="C15">
        <v>1</v>
      </c>
      <c r="D15">
        <v>0.28870000000000001</v>
      </c>
      <c r="E15" s="5"/>
      <c r="G15" s="57"/>
      <c r="H15" s="57"/>
      <c r="I15" s="57"/>
      <c r="J15" s="57"/>
      <c r="K15" s="57"/>
      <c r="L15" s="57"/>
      <c r="M15" s="57"/>
      <c r="N15" s="57"/>
      <c r="O15" s="57"/>
    </row>
    <row r="16" spans="1:15">
      <c r="A16" s="4">
        <v>-1</v>
      </c>
      <c r="B16">
        <v>1</v>
      </c>
      <c r="C16">
        <v>1</v>
      </c>
      <c r="D16">
        <v>0.60550000000000004</v>
      </c>
      <c r="E16" s="5"/>
      <c r="G16" s="57"/>
      <c r="H16" s="57"/>
      <c r="I16" s="57"/>
      <c r="J16" s="57"/>
      <c r="K16" s="57"/>
      <c r="L16" s="57"/>
      <c r="M16" s="57"/>
      <c r="N16" s="57"/>
      <c r="O16" s="57"/>
    </row>
    <row r="17" spans="1:15">
      <c r="A17" s="4">
        <v>1</v>
      </c>
      <c r="B17">
        <v>1</v>
      </c>
      <c r="C17">
        <v>1</v>
      </c>
      <c r="D17">
        <v>0.51329999999999998</v>
      </c>
      <c r="E17" s="5"/>
      <c r="G17" s="57"/>
      <c r="H17" s="57"/>
      <c r="I17" s="57"/>
      <c r="J17" s="57"/>
      <c r="K17" s="57"/>
      <c r="L17" s="57"/>
      <c r="M17" s="57"/>
      <c r="N17" s="57"/>
      <c r="O17" s="57"/>
    </row>
    <row r="18" spans="1:15">
      <c r="A18" s="4">
        <v>0</v>
      </c>
      <c r="B18">
        <v>-1</v>
      </c>
      <c r="C18">
        <v>-1</v>
      </c>
      <c r="D18">
        <v>0.51919999999999999</v>
      </c>
      <c r="E18" s="5"/>
      <c r="G18" s="57"/>
      <c r="H18" s="57"/>
      <c r="I18" s="57"/>
      <c r="J18" s="57"/>
      <c r="K18" s="57"/>
      <c r="L18" s="57"/>
      <c r="M18" s="57"/>
      <c r="N18" s="57"/>
      <c r="O18" s="57"/>
    </row>
    <row r="19" spans="1:15">
      <c r="A19" s="4">
        <v>0</v>
      </c>
      <c r="B19">
        <v>1</v>
      </c>
      <c r="C19">
        <v>-1</v>
      </c>
      <c r="D19">
        <v>0.7077</v>
      </c>
      <c r="E19" s="5"/>
      <c r="G19" s="57"/>
      <c r="H19" s="57"/>
      <c r="I19" s="57"/>
      <c r="J19" s="57"/>
      <c r="K19" s="57"/>
      <c r="L19" s="57"/>
      <c r="M19" s="57"/>
      <c r="N19" s="57"/>
      <c r="O19" s="57"/>
    </row>
    <row r="20" spans="1:15">
      <c r="A20" s="4">
        <v>0</v>
      </c>
      <c r="B20">
        <v>-1</v>
      </c>
      <c r="C20">
        <v>1</v>
      </c>
      <c r="D20">
        <v>0.52869999999999995</v>
      </c>
      <c r="E20" s="5"/>
      <c r="G20" s="57"/>
      <c r="H20" s="57"/>
      <c r="I20" s="57"/>
      <c r="J20" s="57"/>
      <c r="K20" s="57"/>
      <c r="L20" s="57"/>
      <c r="M20" s="57"/>
      <c r="N20" s="57"/>
      <c r="O20" s="57"/>
    </row>
    <row r="21" spans="1:15">
      <c r="A21" s="4">
        <v>0</v>
      </c>
      <c r="B21">
        <v>1</v>
      </c>
      <c r="C21">
        <v>1</v>
      </c>
      <c r="D21">
        <v>0.68589999999999995</v>
      </c>
      <c r="E21" s="5"/>
      <c r="G21" s="57"/>
      <c r="H21" s="57"/>
      <c r="I21" s="57"/>
      <c r="J21" s="57"/>
      <c r="K21" s="57"/>
      <c r="L21" s="57"/>
      <c r="M21" s="57"/>
      <c r="N21" s="57"/>
      <c r="O21" s="57"/>
    </row>
    <row r="22" spans="1:15">
      <c r="A22" s="4">
        <v>-1</v>
      </c>
      <c r="B22">
        <v>0</v>
      </c>
      <c r="C22">
        <v>-1</v>
      </c>
      <c r="D22">
        <v>0.54920000000000002</v>
      </c>
      <c r="E22" s="5"/>
      <c r="G22" s="57"/>
      <c r="H22" s="57"/>
      <c r="I22" s="57"/>
      <c r="J22" s="57"/>
      <c r="K22" s="57"/>
      <c r="L22" s="57"/>
      <c r="M22" s="57"/>
      <c r="N22" s="57"/>
      <c r="O22" s="57"/>
    </row>
    <row r="23" spans="1:15">
      <c r="A23" s="4">
        <v>1</v>
      </c>
      <c r="B23">
        <v>0</v>
      </c>
      <c r="C23">
        <v>-1</v>
      </c>
      <c r="D23">
        <v>0.77439999999999998</v>
      </c>
      <c r="E23" s="5"/>
      <c r="G23" s="57"/>
      <c r="H23" s="57"/>
      <c r="I23" s="57"/>
      <c r="J23" s="57"/>
      <c r="K23" s="57"/>
      <c r="L23" s="57"/>
      <c r="M23" s="57"/>
      <c r="N23" s="57"/>
      <c r="O23" s="57"/>
    </row>
    <row r="24" spans="1:15">
      <c r="A24" s="4">
        <v>-1</v>
      </c>
      <c r="B24">
        <v>0</v>
      </c>
      <c r="C24">
        <v>1</v>
      </c>
      <c r="D24">
        <v>0.43309999999999998</v>
      </c>
      <c r="E24" s="5"/>
      <c r="G24" s="57"/>
      <c r="H24" s="57"/>
      <c r="I24" s="57"/>
      <c r="J24" s="57"/>
      <c r="K24" s="57"/>
      <c r="L24" s="57"/>
      <c r="M24" s="57"/>
      <c r="N24" s="57"/>
      <c r="O24" s="57"/>
    </row>
    <row r="25" spans="1:15">
      <c r="A25" s="4">
        <v>1</v>
      </c>
      <c r="B25">
        <v>0</v>
      </c>
      <c r="C25">
        <v>1</v>
      </c>
      <c r="D25">
        <v>0.84430000000000005</v>
      </c>
      <c r="E25" s="5"/>
      <c r="G25" s="57"/>
      <c r="H25" s="57"/>
      <c r="I25" s="57"/>
      <c r="J25" s="57"/>
      <c r="K25" s="57"/>
      <c r="L25" s="57"/>
      <c r="M25" s="57"/>
      <c r="N25" s="57"/>
      <c r="O25" s="57"/>
    </row>
    <row r="26" spans="1:15">
      <c r="A26" s="4">
        <v>-1</v>
      </c>
      <c r="B26">
        <v>-1</v>
      </c>
      <c r="C26">
        <v>0</v>
      </c>
      <c r="D26">
        <v>0.2908</v>
      </c>
      <c r="E26" s="5"/>
    </row>
    <row r="27" spans="1:15">
      <c r="A27" s="4">
        <v>1</v>
      </c>
      <c r="B27">
        <v>-1</v>
      </c>
      <c r="C27">
        <v>0</v>
      </c>
      <c r="D27">
        <v>0.63349999999999995</v>
      </c>
      <c r="E27" s="5"/>
    </row>
    <row r="28" spans="1:15">
      <c r="A28" s="4">
        <v>-1</v>
      </c>
      <c r="B28">
        <v>1</v>
      </c>
      <c r="C28">
        <v>0</v>
      </c>
      <c r="D28">
        <v>0.60870000000000002</v>
      </c>
      <c r="E28" s="5"/>
    </row>
    <row r="29" spans="1:15">
      <c r="A29" s="4">
        <v>1</v>
      </c>
      <c r="B29">
        <v>1</v>
      </c>
      <c r="C29">
        <v>0</v>
      </c>
      <c r="D29">
        <v>0.41470000000000001</v>
      </c>
      <c r="E29" s="5"/>
    </row>
    <row r="30" spans="1:15">
      <c r="A30" s="4">
        <v>-1</v>
      </c>
      <c r="B30">
        <v>0</v>
      </c>
      <c r="C30">
        <v>0</v>
      </c>
      <c r="D30">
        <v>0.49059999999999998</v>
      </c>
      <c r="E30" s="5"/>
    </row>
    <row r="31" spans="1:15">
      <c r="A31" s="4">
        <v>1</v>
      </c>
      <c r="B31">
        <v>0</v>
      </c>
      <c r="C31">
        <v>0</v>
      </c>
      <c r="D31">
        <v>0.61599999999999999</v>
      </c>
      <c r="E31" s="5"/>
    </row>
    <row r="32" spans="1:15">
      <c r="A32" s="4">
        <v>0</v>
      </c>
      <c r="B32">
        <v>-1</v>
      </c>
      <c r="C32">
        <v>0</v>
      </c>
      <c r="D32">
        <v>0.60009999999999997</v>
      </c>
      <c r="E32" s="5"/>
    </row>
    <row r="33" spans="1:5">
      <c r="A33" s="4">
        <v>0</v>
      </c>
      <c r="B33">
        <v>1</v>
      </c>
      <c r="C33">
        <v>0</v>
      </c>
      <c r="D33">
        <v>0.77090000000000003</v>
      </c>
      <c r="E33" s="5"/>
    </row>
    <row r="34" spans="1:5">
      <c r="A34" s="4">
        <v>0</v>
      </c>
      <c r="B34">
        <v>0</v>
      </c>
      <c r="C34">
        <v>-1</v>
      </c>
      <c r="D34">
        <v>0.71240000000000003</v>
      </c>
      <c r="E34" s="5"/>
    </row>
    <row r="35" spans="1:5">
      <c r="A35" s="4">
        <v>0</v>
      </c>
      <c r="B35">
        <v>0</v>
      </c>
      <c r="C35">
        <v>1</v>
      </c>
      <c r="D35">
        <v>0.66600000000000004</v>
      </c>
      <c r="E35" s="5"/>
    </row>
    <row r="36" spans="1:5">
      <c r="A36" s="4">
        <v>0</v>
      </c>
      <c r="B36">
        <v>0</v>
      </c>
      <c r="C36">
        <v>0</v>
      </c>
      <c r="D36">
        <v>0.64759999999999995</v>
      </c>
      <c r="E36" s="5"/>
    </row>
    <row r="37" spans="1:5">
      <c r="A37" s="4">
        <v>-1</v>
      </c>
      <c r="B37">
        <v>-1</v>
      </c>
      <c r="C37">
        <v>-1</v>
      </c>
      <c r="D37">
        <v>0.40849999999999997</v>
      </c>
      <c r="E37" s="5"/>
    </row>
    <row r="38" spans="1:5">
      <c r="A38" s="4">
        <v>1</v>
      </c>
      <c r="B38">
        <v>-1</v>
      </c>
      <c r="C38">
        <v>-1</v>
      </c>
      <c r="D38">
        <v>0.35699999999999998</v>
      </c>
      <c r="E38" s="5"/>
    </row>
    <row r="39" spans="1:5">
      <c r="A39" s="4">
        <v>-1</v>
      </c>
      <c r="B39">
        <v>1</v>
      </c>
      <c r="C39">
        <v>-1</v>
      </c>
      <c r="D39">
        <v>0.35949999999999999</v>
      </c>
      <c r="E39" s="5"/>
    </row>
    <row r="40" spans="1:5">
      <c r="A40" s="4">
        <v>1</v>
      </c>
      <c r="B40">
        <v>1</v>
      </c>
      <c r="C40">
        <v>-1</v>
      </c>
      <c r="D40">
        <v>0.65849999999999997</v>
      </c>
      <c r="E40" s="5"/>
    </row>
    <row r="41" spans="1:5">
      <c r="A41" s="4">
        <v>-1</v>
      </c>
      <c r="B41">
        <v>-1</v>
      </c>
      <c r="C41">
        <v>1</v>
      </c>
      <c r="D41">
        <v>0.41570000000000001</v>
      </c>
      <c r="E41" s="5"/>
    </row>
    <row r="42" spans="1:5">
      <c r="A42" s="4">
        <v>1</v>
      </c>
      <c r="B42">
        <v>-1</v>
      </c>
      <c r="C42">
        <v>1</v>
      </c>
      <c r="D42">
        <v>0.28870000000000001</v>
      </c>
      <c r="E42" s="5"/>
    </row>
    <row r="43" spans="1:5">
      <c r="A43" s="4">
        <v>-1</v>
      </c>
      <c r="B43">
        <v>1</v>
      </c>
      <c r="C43">
        <v>1</v>
      </c>
      <c r="D43">
        <v>0.60550000000000004</v>
      </c>
      <c r="E43" s="5"/>
    </row>
    <row r="44" spans="1:5">
      <c r="A44" s="4">
        <v>1</v>
      </c>
      <c r="B44">
        <v>1</v>
      </c>
      <c r="C44">
        <v>1</v>
      </c>
      <c r="D44">
        <v>0.51329999999999998</v>
      </c>
      <c r="E44" s="5"/>
    </row>
    <row r="45" spans="1:5">
      <c r="A45" s="4">
        <v>0</v>
      </c>
      <c r="B45">
        <v>-1</v>
      </c>
      <c r="C45">
        <v>-1</v>
      </c>
      <c r="D45">
        <v>0.56030000000000002</v>
      </c>
      <c r="E45" s="5"/>
    </row>
    <row r="46" spans="1:5">
      <c r="A46" s="4">
        <v>0</v>
      </c>
      <c r="B46">
        <v>1</v>
      </c>
      <c r="C46">
        <v>-1</v>
      </c>
      <c r="D46">
        <v>0.64700000000000002</v>
      </c>
      <c r="E46" s="5"/>
    </row>
    <row r="47" spans="1:5">
      <c r="A47" s="4">
        <v>0</v>
      </c>
      <c r="B47">
        <v>-1</v>
      </c>
      <c r="C47">
        <v>1</v>
      </c>
      <c r="D47">
        <v>0.52869999999999995</v>
      </c>
      <c r="E47" s="5"/>
    </row>
    <row r="48" spans="1:5">
      <c r="A48" s="4">
        <v>0</v>
      </c>
      <c r="B48">
        <v>1</v>
      </c>
      <c r="C48">
        <v>1</v>
      </c>
      <c r="D48">
        <v>0.68589999999999995</v>
      </c>
      <c r="E48" s="5"/>
    </row>
    <row r="49" spans="1:5">
      <c r="A49" s="4">
        <v>-1</v>
      </c>
      <c r="B49">
        <v>0</v>
      </c>
      <c r="C49">
        <v>-1</v>
      </c>
      <c r="D49">
        <v>0.48680000000000001</v>
      </c>
      <c r="E49" s="5"/>
    </row>
    <row r="50" spans="1:5">
      <c r="A50" s="4">
        <v>1</v>
      </c>
      <c r="B50">
        <v>0</v>
      </c>
      <c r="C50">
        <v>-1</v>
      </c>
      <c r="D50">
        <v>0.77439999999999998</v>
      </c>
      <c r="E50" s="5"/>
    </row>
    <row r="51" spans="1:5">
      <c r="A51" s="4">
        <v>-1</v>
      </c>
      <c r="B51">
        <v>0</v>
      </c>
      <c r="C51">
        <v>1</v>
      </c>
      <c r="D51">
        <v>0.43309999999999998</v>
      </c>
      <c r="E51" s="5"/>
    </row>
    <row r="52" spans="1:5">
      <c r="A52" s="4">
        <v>1</v>
      </c>
      <c r="B52">
        <v>0</v>
      </c>
      <c r="C52">
        <v>1</v>
      </c>
      <c r="D52">
        <v>0.84430000000000005</v>
      </c>
      <c r="E52" s="5"/>
    </row>
    <row r="53" spans="1:5">
      <c r="A53" s="4">
        <v>-1</v>
      </c>
      <c r="B53">
        <v>-1</v>
      </c>
      <c r="C53">
        <v>0</v>
      </c>
      <c r="D53">
        <v>0.61780000000000002</v>
      </c>
      <c r="E53" s="5"/>
    </row>
    <row r="54" spans="1:5">
      <c r="A54" s="4">
        <v>1</v>
      </c>
      <c r="B54">
        <v>-1</v>
      </c>
      <c r="C54">
        <v>0</v>
      </c>
      <c r="D54">
        <v>0.63349999999999995</v>
      </c>
      <c r="E54" s="5"/>
    </row>
    <row r="55" spans="1:5">
      <c r="A55" s="4">
        <v>-1</v>
      </c>
      <c r="B55">
        <v>1</v>
      </c>
      <c r="C55">
        <v>0</v>
      </c>
      <c r="D55">
        <v>0.64400000000000002</v>
      </c>
      <c r="E55" s="5"/>
    </row>
    <row r="56" spans="1:5">
      <c r="A56" s="4">
        <v>1</v>
      </c>
      <c r="B56">
        <v>1</v>
      </c>
      <c r="C56">
        <v>0</v>
      </c>
      <c r="D56">
        <v>0.41470000000000001</v>
      </c>
      <c r="E56" s="5"/>
    </row>
    <row r="57" spans="1:5">
      <c r="A57" s="4">
        <v>-1</v>
      </c>
      <c r="B57">
        <v>0</v>
      </c>
      <c r="C57">
        <v>0</v>
      </c>
      <c r="D57">
        <v>0.6079</v>
      </c>
      <c r="E57" s="5"/>
    </row>
    <row r="58" spans="1:5">
      <c r="A58" s="4">
        <v>1</v>
      </c>
      <c r="B58">
        <v>0</v>
      </c>
      <c r="C58">
        <v>0</v>
      </c>
      <c r="D58">
        <v>0.61599999999999999</v>
      </c>
      <c r="E58" s="5"/>
    </row>
    <row r="59" spans="1:5">
      <c r="A59" s="4">
        <v>0</v>
      </c>
      <c r="B59">
        <v>-1</v>
      </c>
      <c r="C59">
        <v>0</v>
      </c>
      <c r="D59">
        <v>0.62729999999999997</v>
      </c>
      <c r="E59" s="5"/>
    </row>
    <row r="60" spans="1:5">
      <c r="A60" s="4">
        <v>0</v>
      </c>
      <c r="B60">
        <v>1</v>
      </c>
      <c r="C60">
        <v>0</v>
      </c>
      <c r="D60">
        <v>0.82640000000000002</v>
      </c>
      <c r="E60" s="5"/>
    </row>
    <row r="61" spans="1:5">
      <c r="A61" s="4">
        <v>0</v>
      </c>
      <c r="B61">
        <v>0</v>
      </c>
      <c r="C61">
        <v>-1</v>
      </c>
      <c r="D61">
        <v>0.69820000000000004</v>
      </c>
      <c r="E61" s="5"/>
    </row>
    <row r="62" spans="1:5">
      <c r="A62" s="4">
        <v>0</v>
      </c>
      <c r="B62">
        <v>0</v>
      </c>
      <c r="C62">
        <v>1</v>
      </c>
      <c r="D62">
        <v>0.66600000000000004</v>
      </c>
      <c r="E62" s="5"/>
    </row>
    <row r="63" spans="1:5" ht="15" thickBot="1">
      <c r="A63" s="6">
        <v>0</v>
      </c>
      <c r="B63" s="7">
        <v>0</v>
      </c>
      <c r="C63" s="7">
        <v>0</v>
      </c>
      <c r="D63" s="7">
        <v>0.51200000000000001</v>
      </c>
      <c r="E63" s="8"/>
    </row>
    <row r="64" spans="1:5" ht="15" thickBot="1"/>
    <row r="65" spans="1:54" ht="15">
      <c r="A65" s="9" t="s">
        <v>32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3"/>
    </row>
    <row r="66" spans="1:54">
      <c r="A66" s="4"/>
      <c r="B66" t="s">
        <v>0</v>
      </c>
      <c r="C66" t="s">
        <v>1</v>
      </c>
      <c r="D66" t="s">
        <v>2</v>
      </c>
      <c r="E66" t="s">
        <v>122</v>
      </c>
      <c r="F66" t="s">
        <v>123</v>
      </c>
      <c r="G66" t="s">
        <v>124</v>
      </c>
      <c r="H66" t="s">
        <v>125</v>
      </c>
      <c r="BB66" s="5"/>
    </row>
    <row r="67" spans="1:54">
      <c r="A67" s="4" t="s">
        <v>6</v>
      </c>
      <c r="B67" t="s">
        <v>3</v>
      </c>
      <c r="C67" t="s">
        <v>4</v>
      </c>
      <c r="D67" t="s">
        <v>5</v>
      </c>
      <c r="E67" t="s">
        <v>27</v>
      </c>
      <c r="F67" t="s">
        <v>28</v>
      </c>
      <c r="G67" t="s">
        <v>29</v>
      </c>
      <c r="H67" t="s">
        <v>30</v>
      </c>
      <c r="I67" t="s">
        <v>25</v>
      </c>
      <c r="J67" t="s">
        <v>150</v>
      </c>
      <c r="K67" t="s">
        <v>149</v>
      </c>
      <c r="L67" t="s">
        <v>151</v>
      </c>
      <c r="M67" t="s">
        <v>333</v>
      </c>
      <c r="N67" t="s">
        <v>160</v>
      </c>
      <c r="O67" t="s">
        <v>334</v>
      </c>
      <c r="P67" t="s">
        <v>335</v>
      </c>
      <c r="BB67" s="5"/>
    </row>
    <row r="68" spans="1:54">
      <c r="A68" s="4">
        <v>1</v>
      </c>
      <c r="B68">
        <v>-1</v>
      </c>
      <c r="C68">
        <v>-1</v>
      </c>
      <c r="D68">
        <v>-1</v>
      </c>
      <c r="E68">
        <f>B68*C68</f>
        <v>1</v>
      </c>
      <c r="F68">
        <f>B68*D68</f>
        <v>1</v>
      </c>
      <c r="G68">
        <f>C68*D68</f>
        <v>1</v>
      </c>
      <c r="H68">
        <f>B68*C68*D68</f>
        <v>-1</v>
      </c>
      <c r="I68" s="31">
        <v>0.38879999999999998</v>
      </c>
      <c r="J68">
        <v>1</v>
      </c>
      <c r="K68" s="31">
        <f>AVERAGE(I68,I95)</f>
        <v>0.39864999999999995</v>
      </c>
      <c r="L68" s="31">
        <f>(I68-K68)^2</f>
        <v>9.7022499999999405E-5</v>
      </c>
      <c r="M68">
        <f t="shared" ref="M68:M94" si="0">DEVSQ(I68,I95)</f>
        <v>1.9404499999999989E-4</v>
      </c>
      <c r="N68" s="31"/>
      <c r="O68" s="31">
        <f>AVERAGE(I90:I91,I94,I117:I118,I121)</f>
        <v>0.66405000000000003</v>
      </c>
      <c r="P68">
        <f>DEVSQ(I90:I91,I94,I117:I118,I121)</f>
        <v>6.6604415000000014E-2</v>
      </c>
      <c r="R68" s="31"/>
      <c r="BB68" s="5"/>
    </row>
    <row r="69" spans="1:54">
      <c r="A69" s="4">
        <v>1</v>
      </c>
      <c r="B69">
        <v>1</v>
      </c>
      <c r="C69">
        <v>-1</v>
      </c>
      <c r="D69">
        <v>-1</v>
      </c>
      <c r="E69">
        <f t="shared" ref="E69:E121" si="1">B69*C69</f>
        <v>-1</v>
      </c>
      <c r="F69">
        <f t="shared" ref="F69:F121" si="2">B69*D69</f>
        <v>-1</v>
      </c>
      <c r="G69">
        <f t="shared" ref="G69:G121" si="3">C69*D69</f>
        <v>1</v>
      </c>
      <c r="H69">
        <f t="shared" ref="H69:H121" si="4">B69*C69*D69</f>
        <v>1</v>
      </c>
      <c r="I69" s="31">
        <v>0.35699999999999998</v>
      </c>
      <c r="J69">
        <v>2</v>
      </c>
      <c r="K69" s="31">
        <f t="shared" ref="K69:K93" si="5">AVERAGE(I69,I96)</f>
        <v>0.35699999999999998</v>
      </c>
      <c r="L69" s="31">
        <f t="shared" ref="L69:L121" si="6">(I69-K69)^2</f>
        <v>0</v>
      </c>
      <c r="M69">
        <f t="shared" si="0"/>
        <v>0</v>
      </c>
      <c r="N69" s="31"/>
      <c r="BB69" s="5"/>
    </row>
    <row r="70" spans="1:54">
      <c r="A70" s="4">
        <v>1</v>
      </c>
      <c r="B70">
        <v>-1</v>
      </c>
      <c r="C70">
        <v>1</v>
      </c>
      <c r="D70">
        <v>-1</v>
      </c>
      <c r="E70">
        <f t="shared" si="1"/>
        <v>-1</v>
      </c>
      <c r="F70">
        <f t="shared" si="2"/>
        <v>1</v>
      </c>
      <c r="G70">
        <f t="shared" si="3"/>
        <v>-1</v>
      </c>
      <c r="H70">
        <f t="shared" si="4"/>
        <v>1</v>
      </c>
      <c r="I70" s="31">
        <v>0.42930000000000001</v>
      </c>
      <c r="J70">
        <v>3</v>
      </c>
      <c r="K70" s="31">
        <f t="shared" si="5"/>
        <v>0.39439999999999997</v>
      </c>
      <c r="L70" s="31">
        <f t="shared" si="6"/>
        <v>1.2180100000000029E-3</v>
      </c>
      <c r="M70">
        <f t="shared" si="0"/>
        <v>2.4360200000000018E-3</v>
      </c>
      <c r="N70" s="31"/>
      <c r="BB70" s="5"/>
    </row>
    <row r="71" spans="1:54">
      <c r="A71" s="4">
        <v>1</v>
      </c>
      <c r="B71">
        <v>1</v>
      </c>
      <c r="C71">
        <v>1</v>
      </c>
      <c r="D71">
        <v>-1</v>
      </c>
      <c r="E71">
        <f t="shared" si="1"/>
        <v>1</v>
      </c>
      <c r="F71">
        <f t="shared" si="2"/>
        <v>-1</v>
      </c>
      <c r="G71">
        <f t="shared" si="3"/>
        <v>-1</v>
      </c>
      <c r="H71">
        <f t="shared" si="4"/>
        <v>-1</v>
      </c>
      <c r="I71" s="31">
        <v>0.65849999999999997</v>
      </c>
      <c r="J71">
        <v>4</v>
      </c>
      <c r="K71" s="31">
        <f t="shared" si="5"/>
        <v>0.65849999999999997</v>
      </c>
      <c r="L71" s="31">
        <f t="shared" si="6"/>
        <v>0</v>
      </c>
      <c r="M71">
        <f t="shared" si="0"/>
        <v>0</v>
      </c>
      <c r="N71" s="31"/>
      <c r="BB71" s="5"/>
    </row>
    <row r="72" spans="1:54">
      <c r="A72" s="4">
        <v>1</v>
      </c>
      <c r="B72">
        <v>-1</v>
      </c>
      <c r="C72">
        <v>-1</v>
      </c>
      <c r="D72">
        <v>1</v>
      </c>
      <c r="E72">
        <f t="shared" si="1"/>
        <v>1</v>
      </c>
      <c r="F72">
        <f t="shared" si="2"/>
        <v>-1</v>
      </c>
      <c r="G72">
        <f t="shared" si="3"/>
        <v>-1</v>
      </c>
      <c r="H72">
        <f t="shared" si="4"/>
        <v>1</v>
      </c>
      <c r="I72" s="31">
        <v>0.41570000000000001</v>
      </c>
      <c r="J72">
        <v>5</v>
      </c>
      <c r="K72" s="31">
        <f t="shared" si="5"/>
        <v>0.41570000000000001</v>
      </c>
      <c r="L72" s="31">
        <f t="shared" si="6"/>
        <v>0</v>
      </c>
      <c r="M72">
        <f t="shared" si="0"/>
        <v>0</v>
      </c>
      <c r="N72" s="31"/>
      <c r="BB72" s="5"/>
    </row>
    <row r="73" spans="1:54">
      <c r="A73" s="4">
        <v>1</v>
      </c>
      <c r="B73">
        <v>1</v>
      </c>
      <c r="C73">
        <v>-1</v>
      </c>
      <c r="D73">
        <v>1</v>
      </c>
      <c r="E73">
        <f t="shared" si="1"/>
        <v>-1</v>
      </c>
      <c r="F73">
        <f t="shared" si="2"/>
        <v>1</v>
      </c>
      <c r="G73">
        <f t="shared" si="3"/>
        <v>-1</v>
      </c>
      <c r="H73">
        <f t="shared" si="4"/>
        <v>-1</v>
      </c>
      <c r="I73" s="31">
        <v>0.28870000000000001</v>
      </c>
      <c r="J73">
        <v>6</v>
      </c>
      <c r="K73" s="31">
        <f t="shared" si="5"/>
        <v>0.28870000000000001</v>
      </c>
      <c r="L73" s="31">
        <f t="shared" si="6"/>
        <v>0</v>
      </c>
      <c r="M73">
        <f t="shared" si="0"/>
        <v>0</v>
      </c>
      <c r="N73" s="31"/>
      <c r="BB73" s="5"/>
    </row>
    <row r="74" spans="1:54">
      <c r="A74" s="4">
        <v>1</v>
      </c>
      <c r="B74">
        <v>-1</v>
      </c>
      <c r="C74">
        <v>1</v>
      </c>
      <c r="D74">
        <v>1</v>
      </c>
      <c r="E74">
        <f t="shared" si="1"/>
        <v>-1</v>
      </c>
      <c r="F74">
        <f t="shared" si="2"/>
        <v>-1</v>
      </c>
      <c r="G74">
        <f t="shared" si="3"/>
        <v>1</v>
      </c>
      <c r="H74">
        <f t="shared" si="4"/>
        <v>-1</v>
      </c>
      <c r="I74" s="31">
        <v>0.60550000000000004</v>
      </c>
      <c r="J74">
        <v>7</v>
      </c>
      <c r="K74" s="31">
        <f t="shared" si="5"/>
        <v>0.60550000000000004</v>
      </c>
      <c r="L74" s="31">
        <f t="shared" si="6"/>
        <v>0</v>
      </c>
      <c r="M74">
        <f t="shared" si="0"/>
        <v>0</v>
      </c>
      <c r="N74" s="31"/>
      <c r="BB74" s="5"/>
    </row>
    <row r="75" spans="1:54">
      <c r="A75" s="4">
        <v>1</v>
      </c>
      <c r="B75">
        <v>1</v>
      </c>
      <c r="C75">
        <v>1</v>
      </c>
      <c r="D75">
        <v>1</v>
      </c>
      <c r="E75">
        <f t="shared" si="1"/>
        <v>1</v>
      </c>
      <c r="F75">
        <f t="shared" si="2"/>
        <v>1</v>
      </c>
      <c r="G75">
        <f t="shared" si="3"/>
        <v>1</v>
      </c>
      <c r="H75">
        <f t="shared" si="4"/>
        <v>1</v>
      </c>
      <c r="I75" s="31">
        <v>0.51329999999999998</v>
      </c>
      <c r="J75">
        <v>8</v>
      </c>
      <c r="K75" s="31">
        <f t="shared" si="5"/>
        <v>0.51329999999999998</v>
      </c>
      <c r="L75" s="31">
        <f t="shared" si="6"/>
        <v>0</v>
      </c>
      <c r="M75">
        <f t="shared" si="0"/>
        <v>0</v>
      </c>
      <c r="N75" s="31"/>
      <c r="BB75" s="5"/>
    </row>
    <row r="76" spans="1:54">
      <c r="A76" s="4">
        <v>1</v>
      </c>
      <c r="B76">
        <v>0</v>
      </c>
      <c r="C76">
        <v>-1</v>
      </c>
      <c r="D76">
        <v>-1</v>
      </c>
      <c r="E76">
        <f t="shared" si="1"/>
        <v>0</v>
      </c>
      <c r="F76">
        <f t="shared" si="2"/>
        <v>0</v>
      </c>
      <c r="G76">
        <f t="shared" si="3"/>
        <v>1</v>
      </c>
      <c r="H76">
        <f t="shared" si="4"/>
        <v>0</v>
      </c>
      <c r="I76" s="31">
        <v>0.51919999999999999</v>
      </c>
      <c r="J76">
        <v>9</v>
      </c>
      <c r="K76" s="31">
        <f t="shared" si="5"/>
        <v>0.53974999999999995</v>
      </c>
      <c r="L76" s="31">
        <f t="shared" si="6"/>
        <v>4.2230249999999822E-4</v>
      </c>
      <c r="M76">
        <f t="shared" si="0"/>
        <v>8.4460500000000109E-4</v>
      </c>
      <c r="N76" s="31"/>
      <c r="BB76" s="5"/>
    </row>
    <row r="77" spans="1:54">
      <c r="A77" s="4">
        <v>1</v>
      </c>
      <c r="B77">
        <v>0</v>
      </c>
      <c r="C77">
        <v>1</v>
      </c>
      <c r="D77">
        <v>-1</v>
      </c>
      <c r="E77">
        <f t="shared" si="1"/>
        <v>0</v>
      </c>
      <c r="F77">
        <f t="shared" si="2"/>
        <v>0</v>
      </c>
      <c r="G77">
        <f t="shared" si="3"/>
        <v>-1</v>
      </c>
      <c r="H77">
        <f t="shared" si="4"/>
        <v>0</v>
      </c>
      <c r="I77" s="31">
        <v>0.7077</v>
      </c>
      <c r="J77">
        <v>10</v>
      </c>
      <c r="K77" s="31">
        <f t="shared" si="5"/>
        <v>0.67735000000000001</v>
      </c>
      <c r="L77" s="31">
        <f t="shared" si="6"/>
        <v>9.2112249999999932E-4</v>
      </c>
      <c r="M77">
        <f t="shared" si="0"/>
        <v>1.8422449999999986E-3</v>
      </c>
      <c r="N77" s="31"/>
      <c r="BB77" s="5"/>
    </row>
    <row r="78" spans="1:54">
      <c r="A78" s="4">
        <v>1</v>
      </c>
      <c r="B78">
        <v>0</v>
      </c>
      <c r="C78">
        <v>-1</v>
      </c>
      <c r="D78">
        <v>1</v>
      </c>
      <c r="E78">
        <f t="shared" si="1"/>
        <v>0</v>
      </c>
      <c r="F78">
        <f t="shared" si="2"/>
        <v>0</v>
      </c>
      <c r="G78">
        <f t="shared" si="3"/>
        <v>-1</v>
      </c>
      <c r="H78">
        <f t="shared" si="4"/>
        <v>0</v>
      </c>
      <c r="I78" s="31">
        <v>0.52869999999999995</v>
      </c>
      <c r="J78">
        <v>11</v>
      </c>
      <c r="K78" s="31">
        <f t="shared" si="5"/>
        <v>0.52869999999999995</v>
      </c>
      <c r="L78" s="31">
        <f t="shared" si="6"/>
        <v>0</v>
      </c>
      <c r="M78">
        <f t="shared" si="0"/>
        <v>0</v>
      </c>
      <c r="N78" s="31"/>
      <c r="BB78" s="5"/>
    </row>
    <row r="79" spans="1:54">
      <c r="A79" s="4">
        <v>1</v>
      </c>
      <c r="B79">
        <v>0</v>
      </c>
      <c r="C79">
        <v>1</v>
      </c>
      <c r="D79">
        <v>1</v>
      </c>
      <c r="E79">
        <f t="shared" si="1"/>
        <v>0</v>
      </c>
      <c r="F79">
        <f t="shared" si="2"/>
        <v>0</v>
      </c>
      <c r="G79">
        <f t="shared" si="3"/>
        <v>1</v>
      </c>
      <c r="H79">
        <f t="shared" si="4"/>
        <v>0</v>
      </c>
      <c r="I79" s="31">
        <v>0.68589999999999995</v>
      </c>
      <c r="J79">
        <v>12</v>
      </c>
      <c r="K79" s="31">
        <f t="shared" si="5"/>
        <v>0.68589999999999995</v>
      </c>
      <c r="L79" s="31">
        <f t="shared" si="6"/>
        <v>0</v>
      </c>
      <c r="M79">
        <f t="shared" si="0"/>
        <v>0</v>
      </c>
      <c r="N79" s="31"/>
      <c r="BB79" s="5"/>
    </row>
    <row r="80" spans="1:54">
      <c r="A80" s="4">
        <v>1</v>
      </c>
      <c r="B80">
        <v>-1</v>
      </c>
      <c r="C80">
        <v>0</v>
      </c>
      <c r="D80">
        <v>-1</v>
      </c>
      <c r="E80">
        <f t="shared" si="1"/>
        <v>0</v>
      </c>
      <c r="F80">
        <f t="shared" si="2"/>
        <v>1</v>
      </c>
      <c r="G80">
        <f t="shared" si="3"/>
        <v>0</v>
      </c>
      <c r="H80">
        <f t="shared" si="4"/>
        <v>0</v>
      </c>
      <c r="I80" s="31">
        <v>0.54920000000000002</v>
      </c>
      <c r="J80">
        <v>13</v>
      </c>
      <c r="K80" s="31">
        <f t="shared" si="5"/>
        <v>0.51800000000000002</v>
      </c>
      <c r="L80" s="31">
        <f t="shared" si="6"/>
        <v>9.7344000000000033E-4</v>
      </c>
      <c r="M80">
        <f t="shared" si="0"/>
        <v>1.9468800000000007E-3</v>
      </c>
      <c r="N80" s="31"/>
      <c r="BB80" s="5"/>
    </row>
    <row r="81" spans="1:54">
      <c r="A81" s="4">
        <v>1</v>
      </c>
      <c r="B81">
        <v>1</v>
      </c>
      <c r="C81">
        <v>0</v>
      </c>
      <c r="D81">
        <v>-1</v>
      </c>
      <c r="E81">
        <f t="shared" si="1"/>
        <v>0</v>
      </c>
      <c r="F81">
        <f t="shared" si="2"/>
        <v>-1</v>
      </c>
      <c r="G81">
        <f t="shared" si="3"/>
        <v>0</v>
      </c>
      <c r="H81">
        <f t="shared" si="4"/>
        <v>0</v>
      </c>
      <c r="I81" s="31">
        <v>0.77439999999999998</v>
      </c>
      <c r="J81">
        <v>14</v>
      </c>
      <c r="K81" s="31">
        <f t="shared" si="5"/>
        <v>0.77439999999999998</v>
      </c>
      <c r="L81" s="31">
        <f t="shared" si="6"/>
        <v>0</v>
      </c>
      <c r="M81">
        <f t="shared" si="0"/>
        <v>0</v>
      </c>
      <c r="N81" s="31"/>
      <c r="BB81" s="5"/>
    </row>
    <row r="82" spans="1:54">
      <c r="A82" s="4">
        <v>1</v>
      </c>
      <c r="B82">
        <v>-1</v>
      </c>
      <c r="C82">
        <v>0</v>
      </c>
      <c r="D82">
        <v>1</v>
      </c>
      <c r="E82">
        <f t="shared" si="1"/>
        <v>0</v>
      </c>
      <c r="F82">
        <f t="shared" si="2"/>
        <v>-1</v>
      </c>
      <c r="G82">
        <f t="shared" si="3"/>
        <v>0</v>
      </c>
      <c r="H82">
        <f t="shared" si="4"/>
        <v>0</v>
      </c>
      <c r="I82" s="31">
        <v>0.43309999999999998</v>
      </c>
      <c r="J82">
        <v>15</v>
      </c>
      <c r="K82" s="31">
        <f t="shared" si="5"/>
        <v>0.43309999999999998</v>
      </c>
      <c r="L82" s="31">
        <f t="shared" si="6"/>
        <v>0</v>
      </c>
      <c r="M82">
        <f t="shared" si="0"/>
        <v>0</v>
      </c>
      <c r="N82" s="31"/>
      <c r="BB82" s="5"/>
    </row>
    <row r="83" spans="1:54">
      <c r="A83" s="4">
        <v>1</v>
      </c>
      <c r="B83">
        <v>1</v>
      </c>
      <c r="C83">
        <v>0</v>
      </c>
      <c r="D83">
        <v>1</v>
      </c>
      <c r="E83">
        <f t="shared" si="1"/>
        <v>0</v>
      </c>
      <c r="F83">
        <f t="shared" si="2"/>
        <v>1</v>
      </c>
      <c r="G83">
        <f t="shared" si="3"/>
        <v>0</v>
      </c>
      <c r="H83">
        <f t="shared" si="4"/>
        <v>0</v>
      </c>
      <c r="I83" s="31">
        <v>0.84430000000000005</v>
      </c>
      <c r="J83">
        <v>16</v>
      </c>
      <c r="K83" s="31">
        <f t="shared" si="5"/>
        <v>0.84430000000000005</v>
      </c>
      <c r="L83" s="31">
        <f t="shared" si="6"/>
        <v>0</v>
      </c>
      <c r="M83">
        <f t="shared" si="0"/>
        <v>0</v>
      </c>
      <c r="N83" s="31"/>
      <c r="BB83" s="5"/>
    </row>
    <row r="84" spans="1:54">
      <c r="A84" s="4">
        <v>1</v>
      </c>
      <c r="B84">
        <v>-1</v>
      </c>
      <c r="C84">
        <v>-1</v>
      </c>
      <c r="D84">
        <v>0</v>
      </c>
      <c r="E84">
        <f t="shared" si="1"/>
        <v>1</v>
      </c>
      <c r="F84">
        <f t="shared" si="2"/>
        <v>0</v>
      </c>
      <c r="G84">
        <f t="shared" si="3"/>
        <v>0</v>
      </c>
      <c r="H84">
        <f t="shared" si="4"/>
        <v>0</v>
      </c>
      <c r="I84" s="31">
        <v>0.2908</v>
      </c>
      <c r="J84">
        <v>17</v>
      </c>
      <c r="K84" s="31">
        <f t="shared" si="5"/>
        <v>0.45430000000000004</v>
      </c>
      <c r="L84" s="31">
        <f t="shared" si="6"/>
        <v>2.6732250000000009E-2</v>
      </c>
      <c r="M84">
        <f t="shared" si="0"/>
        <v>5.3464499999999998E-2</v>
      </c>
      <c r="N84" s="31"/>
      <c r="BB84" s="5"/>
    </row>
    <row r="85" spans="1:54">
      <c r="A85" s="4">
        <v>1</v>
      </c>
      <c r="B85">
        <v>1</v>
      </c>
      <c r="C85">
        <v>-1</v>
      </c>
      <c r="D85">
        <v>0</v>
      </c>
      <c r="E85">
        <f t="shared" si="1"/>
        <v>-1</v>
      </c>
      <c r="F85">
        <f t="shared" si="2"/>
        <v>0</v>
      </c>
      <c r="G85">
        <f t="shared" si="3"/>
        <v>0</v>
      </c>
      <c r="H85">
        <f t="shared" si="4"/>
        <v>0</v>
      </c>
      <c r="I85" s="31">
        <v>0.63349999999999995</v>
      </c>
      <c r="J85">
        <v>18</v>
      </c>
      <c r="K85" s="31">
        <f t="shared" si="5"/>
        <v>0.63349999999999995</v>
      </c>
      <c r="L85" s="31">
        <f t="shared" si="6"/>
        <v>0</v>
      </c>
      <c r="M85">
        <f t="shared" si="0"/>
        <v>0</v>
      </c>
      <c r="N85" s="31"/>
      <c r="BB85" s="5"/>
    </row>
    <row r="86" spans="1:54">
      <c r="A86" s="4">
        <v>1</v>
      </c>
      <c r="B86">
        <v>-1</v>
      </c>
      <c r="C86">
        <v>1</v>
      </c>
      <c r="D86">
        <v>0</v>
      </c>
      <c r="E86">
        <f t="shared" si="1"/>
        <v>-1</v>
      </c>
      <c r="F86">
        <f t="shared" si="2"/>
        <v>0</v>
      </c>
      <c r="G86">
        <f t="shared" si="3"/>
        <v>0</v>
      </c>
      <c r="H86">
        <f t="shared" si="4"/>
        <v>0</v>
      </c>
      <c r="I86" s="31">
        <v>0.60870000000000002</v>
      </c>
      <c r="J86">
        <v>19</v>
      </c>
      <c r="K86" s="31">
        <f t="shared" si="5"/>
        <v>0.62634999999999996</v>
      </c>
      <c r="L86" s="31">
        <f t="shared" si="6"/>
        <v>3.1152249999999801E-4</v>
      </c>
      <c r="M86">
        <f t="shared" si="0"/>
        <v>6.2304499999999991E-4</v>
      </c>
      <c r="N86" s="31"/>
      <c r="BB86" s="5"/>
    </row>
    <row r="87" spans="1:54">
      <c r="A87" s="4">
        <v>1</v>
      </c>
      <c r="B87">
        <v>1</v>
      </c>
      <c r="C87">
        <v>1</v>
      </c>
      <c r="D87">
        <v>0</v>
      </c>
      <c r="E87">
        <f t="shared" si="1"/>
        <v>1</v>
      </c>
      <c r="F87">
        <f t="shared" si="2"/>
        <v>0</v>
      </c>
      <c r="G87">
        <f t="shared" si="3"/>
        <v>0</v>
      </c>
      <c r="H87">
        <f t="shared" si="4"/>
        <v>0</v>
      </c>
      <c r="I87" s="31">
        <v>0.41470000000000001</v>
      </c>
      <c r="J87">
        <v>20</v>
      </c>
      <c r="K87" s="31">
        <f t="shared" si="5"/>
        <v>0.41470000000000001</v>
      </c>
      <c r="L87" s="31">
        <f t="shared" si="6"/>
        <v>0</v>
      </c>
      <c r="M87">
        <f t="shared" si="0"/>
        <v>0</v>
      </c>
      <c r="N87" s="31"/>
      <c r="BB87" s="5"/>
    </row>
    <row r="88" spans="1:54">
      <c r="A88" s="4">
        <v>1</v>
      </c>
      <c r="B88">
        <v>-1</v>
      </c>
      <c r="C88">
        <v>0</v>
      </c>
      <c r="D88">
        <v>0</v>
      </c>
      <c r="E88">
        <f t="shared" si="1"/>
        <v>0</v>
      </c>
      <c r="F88">
        <f t="shared" si="2"/>
        <v>0</v>
      </c>
      <c r="G88">
        <f t="shared" si="3"/>
        <v>0</v>
      </c>
      <c r="H88">
        <f t="shared" si="4"/>
        <v>0</v>
      </c>
      <c r="I88" s="31">
        <v>0.49059999999999998</v>
      </c>
      <c r="J88">
        <v>21</v>
      </c>
      <c r="K88" s="31">
        <f t="shared" si="5"/>
        <v>0.54925000000000002</v>
      </c>
      <c r="L88" s="31">
        <f t="shared" si="6"/>
        <v>3.439822500000004E-3</v>
      </c>
      <c r="M88">
        <f t="shared" si="0"/>
        <v>6.8796450000000019E-3</v>
      </c>
      <c r="N88" s="31"/>
      <c r="BB88" s="5"/>
    </row>
    <row r="89" spans="1:54">
      <c r="A89" s="4">
        <v>1</v>
      </c>
      <c r="B89">
        <v>1</v>
      </c>
      <c r="C89">
        <v>0</v>
      </c>
      <c r="D89">
        <v>0</v>
      </c>
      <c r="E89">
        <f t="shared" si="1"/>
        <v>0</v>
      </c>
      <c r="F89">
        <f t="shared" si="2"/>
        <v>0</v>
      </c>
      <c r="G89">
        <f t="shared" si="3"/>
        <v>0</v>
      </c>
      <c r="H89">
        <f t="shared" si="4"/>
        <v>0</v>
      </c>
      <c r="I89" s="31">
        <v>0.61599999999999999</v>
      </c>
      <c r="J89">
        <v>22</v>
      </c>
      <c r="K89" s="31">
        <f t="shared" si="5"/>
        <v>0.61599999999999999</v>
      </c>
      <c r="L89" s="31">
        <f t="shared" si="6"/>
        <v>0</v>
      </c>
      <c r="M89">
        <f t="shared" si="0"/>
        <v>0</v>
      </c>
      <c r="N89" s="31"/>
      <c r="BB89" s="5"/>
    </row>
    <row r="90" spans="1:54">
      <c r="A90" s="4">
        <v>1</v>
      </c>
      <c r="B90">
        <v>0</v>
      </c>
      <c r="C90">
        <v>-1</v>
      </c>
      <c r="D90">
        <v>0</v>
      </c>
      <c r="E90">
        <f t="shared" si="1"/>
        <v>0</v>
      </c>
      <c r="F90">
        <f t="shared" si="2"/>
        <v>0</v>
      </c>
      <c r="G90">
        <f t="shared" si="3"/>
        <v>0</v>
      </c>
      <c r="H90">
        <f t="shared" si="4"/>
        <v>0</v>
      </c>
      <c r="I90" s="31">
        <v>0.60009999999999997</v>
      </c>
      <c r="J90">
        <v>23</v>
      </c>
      <c r="K90" s="31">
        <f t="shared" si="5"/>
        <v>0.61369999999999991</v>
      </c>
      <c r="L90" s="31">
        <f t="shared" si="6"/>
        <v>1.8495999999999853E-4</v>
      </c>
      <c r="M90">
        <f t="shared" si="0"/>
        <v>3.6992000000000004E-4</v>
      </c>
      <c r="N90" s="31">
        <f>(I90-$O$68)^2</f>
        <v>4.0896025000000079E-3</v>
      </c>
      <c r="BB90" s="5"/>
    </row>
    <row r="91" spans="1:54">
      <c r="A91" s="4">
        <v>1</v>
      </c>
      <c r="B91">
        <v>0</v>
      </c>
      <c r="C91">
        <v>1</v>
      </c>
      <c r="D91">
        <v>0</v>
      </c>
      <c r="E91">
        <f t="shared" si="1"/>
        <v>0</v>
      </c>
      <c r="F91">
        <f t="shared" si="2"/>
        <v>0</v>
      </c>
      <c r="G91">
        <f t="shared" si="3"/>
        <v>0</v>
      </c>
      <c r="H91">
        <f t="shared" si="4"/>
        <v>0</v>
      </c>
      <c r="I91" s="31">
        <v>0.77090000000000003</v>
      </c>
      <c r="J91">
        <v>24</v>
      </c>
      <c r="K91" s="31">
        <f t="shared" si="5"/>
        <v>0.79865000000000008</v>
      </c>
      <c r="L91" s="31">
        <f t="shared" si="6"/>
        <v>7.7006250000000295E-4</v>
      </c>
      <c r="M91">
        <f t="shared" si="0"/>
        <v>1.5401249999999998E-3</v>
      </c>
      <c r="N91" s="31">
        <f>(I91-$O$68)^2</f>
        <v>1.1416922500000001E-2</v>
      </c>
      <c r="BB91" s="5"/>
    </row>
    <row r="92" spans="1:54">
      <c r="A92" s="4">
        <v>1</v>
      </c>
      <c r="B92">
        <v>0</v>
      </c>
      <c r="C92">
        <v>0</v>
      </c>
      <c r="D92">
        <v>-1</v>
      </c>
      <c r="E92">
        <f t="shared" si="1"/>
        <v>0</v>
      </c>
      <c r="F92">
        <f t="shared" si="2"/>
        <v>0</v>
      </c>
      <c r="G92">
        <f t="shared" si="3"/>
        <v>0</v>
      </c>
      <c r="H92">
        <f t="shared" si="4"/>
        <v>0</v>
      </c>
      <c r="I92" s="31">
        <v>0.71240000000000003</v>
      </c>
      <c r="J92">
        <v>25</v>
      </c>
      <c r="K92" s="31">
        <f t="shared" si="5"/>
        <v>0.70530000000000004</v>
      </c>
      <c r="L92" s="31">
        <f t="shared" si="6"/>
        <v>5.0409999999999932E-5</v>
      </c>
      <c r="M92">
        <f t="shared" si="0"/>
        <v>1.0081999999999986E-4</v>
      </c>
      <c r="N92" s="31"/>
      <c r="BB92" s="5"/>
    </row>
    <row r="93" spans="1:54">
      <c r="A93" s="4">
        <v>1</v>
      </c>
      <c r="B93">
        <v>0</v>
      </c>
      <c r="C93">
        <v>0</v>
      </c>
      <c r="D93">
        <v>1</v>
      </c>
      <c r="E93">
        <f t="shared" si="1"/>
        <v>0</v>
      </c>
      <c r="F93">
        <f t="shared" si="2"/>
        <v>0</v>
      </c>
      <c r="G93">
        <f t="shared" si="3"/>
        <v>0</v>
      </c>
      <c r="H93">
        <f t="shared" si="4"/>
        <v>0</v>
      </c>
      <c r="I93" s="31">
        <v>0.66600000000000004</v>
      </c>
      <c r="J93">
        <v>26</v>
      </c>
      <c r="K93" s="31">
        <f t="shared" si="5"/>
        <v>0.66600000000000004</v>
      </c>
      <c r="L93" s="31">
        <f t="shared" si="6"/>
        <v>0</v>
      </c>
      <c r="M93">
        <f t="shared" si="0"/>
        <v>0</v>
      </c>
      <c r="N93" s="31"/>
      <c r="BB93" s="5"/>
    </row>
    <row r="94" spans="1:54">
      <c r="A94" s="4">
        <v>1</v>
      </c>
      <c r="B94">
        <v>0</v>
      </c>
      <c r="C94">
        <v>0</v>
      </c>
      <c r="D94">
        <v>0</v>
      </c>
      <c r="E94">
        <f t="shared" si="1"/>
        <v>0</v>
      </c>
      <c r="F94">
        <f t="shared" si="2"/>
        <v>0</v>
      </c>
      <c r="G94">
        <f t="shared" si="3"/>
        <v>0</v>
      </c>
      <c r="H94">
        <f t="shared" si="4"/>
        <v>0</v>
      </c>
      <c r="I94" s="31">
        <v>0.64759999999999995</v>
      </c>
      <c r="J94">
        <v>27</v>
      </c>
      <c r="K94" s="31">
        <f>AVERAGE(I94,I121)</f>
        <v>0.57979999999999998</v>
      </c>
      <c r="L94" s="31">
        <f t="shared" si="6"/>
        <v>4.5968399999999961E-3</v>
      </c>
      <c r="M94">
        <f t="shared" si="0"/>
        <v>9.1936799999999923E-3</v>
      </c>
      <c r="N94" s="31">
        <f>(I94-$O$68)^2</f>
        <v>2.706025000000025E-4</v>
      </c>
      <c r="BB94" s="5"/>
    </row>
    <row r="95" spans="1:54">
      <c r="A95" s="4">
        <v>1</v>
      </c>
      <c r="B95">
        <v>-1</v>
      </c>
      <c r="C95">
        <v>-1</v>
      </c>
      <c r="D95">
        <v>-1</v>
      </c>
      <c r="E95">
        <f t="shared" si="1"/>
        <v>1</v>
      </c>
      <c r="F95">
        <f t="shared" si="2"/>
        <v>1</v>
      </c>
      <c r="G95">
        <f t="shared" si="3"/>
        <v>1</v>
      </c>
      <c r="H95">
        <f t="shared" si="4"/>
        <v>-1</v>
      </c>
      <c r="I95" s="31">
        <v>0.40849999999999997</v>
      </c>
      <c r="J95">
        <v>1</v>
      </c>
      <c r="K95" s="31">
        <v>0.39864999999999995</v>
      </c>
      <c r="L95" s="31">
        <f t="shared" si="6"/>
        <v>9.7022500000000503E-5</v>
      </c>
      <c r="BB95" s="5"/>
    </row>
    <row r="96" spans="1:54">
      <c r="A96" s="4">
        <v>1</v>
      </c>
      <c r="B96">
        <v>1</v>
      </c>
      <c r="C96">
        <v>-1</v>
      </c>
      <c r="D96">
        <v>-1</v>
      </c>
      <c r="E96">
        <f t="shared" si="1"/>
        <v>-1</v>
      </c>
      <c r="F96">
        <f t="shared" si="2"/>
        <v>-1</v>
      </c>
      <c r="G96">
        <f t="shared" si="3"/>
        <v>1</v>
      </c>
      <c r="H96">
        <f t="shared" si="4"/>
        <v>1</v>
      </c>
      <c r="I96" s="31">
        <v>0.35699999999999998</v>
      </c>
      <c r="J96">
        <v>2</v>
      </c>
      <c r="K96" s="31">
        <v>0.35699999999999998</v>
      </c>
      <c r="L96" s="31">
        <f t="shared" si="6"/>
        <v>0</v>
      </c>
      <c r="BB96" s="5"/>
    </row>
    <row r="97" spans="1:54">
      <c r="A97" s="4">
        <v>1</v>
      </c>
      <c r="B97">
        <v>-1</v>
      </c>
      <c r="C97">
        <v>1</v>
      </c>
      <c r="D97">
        <v>-1</v>
      </c>
      <c r="E97">
        <f t="shared" si="1"/>
        <v>-1</v>
      </c>
      <c r="F97">
        <f t="shared" si="2"/>
        <v>1</v>
      </c>
      <c r="G97">
        <f t="shared" si="3"/>
        <v>-1</v>
      </c>
      <c r="H97">
        <f t="shared" si="4"/>
        <v>1</v>
      </c>
      <c r="I97" s="31">
        <v>0.35949999999999999</v>
      </c>
      <c r="J97">
        <v>3</v>
      </c>
      <c r="K97" s="31">
        <v>0.39439999999999997</v>
      </c>
      <c r="L97" s="31">
        <f t="shared" si="6"/>
        <v>1.218009999999999E-3</v>
      </c>
      <c r="BB97" s="5"/>
    </row>
    <row r="98" spans="1:54">
      <c r="A98" s="4">
        <v>1</v>
      </c>
      <c r="B98">
        <v>1</v>
      </c>
      <c r="C98">
        <v>1</v>
      </c>
      <c r="D98">
        <v>-1</v>
      </c>
      <c r="E98">
        <f t="shared" si="1"/>
        <v>1</v>
      </c>
      <c r="F98">
        <f t="shared" si="2"/>
        <v>-1</v>
      </c>
      <c r="G98">
        <f t="shared" si="3"/>
        <v>-1</v>
      </c>
      <c r="H98">
        <f t="shared" si="4"/>
        <v>-1</v>
      </c>
      <c r="I98" s="31">
        <v>0.65849999999999997</v>
      </c>
      <c r="J98">
        <v>4</v>
      </c>
      <c r="K98" s="31">
        <v>0.65849999999999997</v>
      </c>
      <c r="L98" s="31">
        <f t="shared" si="6"/>
        <v>0</v>
      </c>
      <c r="BB98" s="5"/>
    </row>
    <row r="99" spans="1:54">
      <c r="A99" s="4">
        <v>1</v>
      </c>
      <c r="B99">
        <v>-1</v>
      </c>
      <c r="C99">
        <v>-1</v>
      </c>
      <c r="D99">
        <v>1</v>
      </c>
      <c r="E99">
        <f t="shared" si="1"/>
        <v>1</v>
      </c>
      <c r="F99">
        <f t="shared" si="2"/>
        <v>-1</v>
      </c>
      <c r="G99">
        <f t="shared" si="3"/>
        <v>-1</v>
      </c>
      <c r="H99">
        <f t="shared" si="4"/>
        <v>1</v>
      </c>
      <c r="I99" s="31">
        <v>0.41570000000000001</v>
      </c>
      <c r="J99">
        <v>5</v>
      </c>
      <c r="K99" s="31">
        <v>0.41570000000000001</v>
      </c>
      <c r="L99" s="31">
        <f t="shared" si="6"/>
        <v>0</v>
      </c>
      <c r="BB99" s="5"/>
    </row>
    <row r="100" spans="1:54">
      <c r="A100" s="4">
        <v>1</v>
      </c>
      <c r="B100">
        <v>1</v>
      </c>
      <c r="C100">
        <v>-1</v>
      </c>
      <c r="D100">
        <v>1</v>
      </c>
      <c r="E100">
        <f t="shared" si="1"/>
        <v>-1</v>
      </c>
      <c r="F100">
        <f t="shared" si="2"/>
        <v>1</v>
      </c>
      <c r="G100">
        <f t="shared" si="3"/>
        <v>-1</v>
      </c>
      <c r="H100">
        <f t="shared" si="4"/>
        <v>-1</v>
      </c>
      <c r="I100" s="31">
        <v>0.28870000000000001</v>
      </c>
      <c r="J100">
        <v>6</v>
      </c>
      <c r="K100" s="31">
        <v>0.28870000000000001</v>
      </c>
      <c r="L100" s="31">
        <f t="shared" si="6"/>
        <v>0</v>
      </c>
      <c r="BB100" s="5"/>
    </row>
    <row r="101" spans="1:54">
      <c r="A101" s="4">
        <v>1</v>
      </c>
      <c r="B101">
        <v>-1</v>
      </c>
      <c r="C101">
        <v>1</v>
      </c>
      <c r="D101">
        <v>1</v>
      </c>
      <c r="E101">
        <f t="shared" si="1"/>
        <v>-1</v>
      </c>
      <c r="F101">
        <f t="shared" si="2"/>
        <v>-1</v>
      </c>
      <c r="G101">
        <f t="shared" si="3"/>
        <v>1</v>
      </c>
      <c r="H101">
        <f t="shared" si="4"/>
        <v>-1</v>
      </c>
      <c r="I101" s="31">
        <v>0.60550000000000004</v>
      </c>
      <c r="J101">
        <v>7</v>
      </c>
      <c r="K101" s="31">
        <v>0.60550000000000004</v>
      </c>
      <c r="L101" s="31">
        <f t="shared" si="6"/>
        <v>0</v>
      </c>
      <c r="BB101" s="5"/>
    </row>
    <row r="102" spans="1:54">
      <c r="A102" s="4">
        <v>1</v>
      </c>
      <c r="B102">
        <v>1</v>
      </c>
      <c r="C102">
        <v>1</v>
      </c>
      <c r="D102">
        <v>1</v>
      </c>
      <c r="E102">
        <f t="shared" si="1"/>
        <v>1</v>
      </c>
      <c r="F102">
        <f t="shared" si="2"/>
        <v>1</v>
      </c>
      <c r="G102">
        <f t="shared" si="3"/>
        <v>1</v>
      </c>
      <c r="H102">
        <f t="shared" si="4"/>
        <v>1</v>
      </c>
      <c r="I102" s="31">
        <v>0.51329999999999998</v>
      </c>
      <c r="J102">
        <v>8</v>
      </c>
      <c r="K102" s="31">
        <v>0.51329999999999998</v>
      </c>
      <c r="L102" s="31">
        <f t="shared" si="6"/>
        <v>0</v>
      </c>
      <c r="BB102" s="5"/>
    </row>
    <row r="103" spans="1:54">
      <c r="A103" s="4">
        <v>1</v>
      </c>
      <c r="B103">
        <v>0</v>
      </c>
      <c r="C103">
        <v>-1</v>
      </c>
      <c r="D103">
        <v>-1</v>
      </c>
      <c r="E103">
        <f t="shared" si="1"/>
        <v>0</v>
      </c>
      <c r="F103">
        <f t="shared" si="2"/>
        <v>0</v>
      </c>
      <c r="G103">
        <f t="shared" si="3"/>
        <v>1</v>
      </c>
      <c r="H103">
        <f t="shared" si="4"/>
        <v>0</v>
      </c>
      <c r="I103" s="31">
        <v>0.56030000000000002</v>
      </c>
      <c r="J103">
        <v>9</v>
      </c>
      <c r="K103" s="31">
        <v>0.53974999999999995</v>
      </c>
      <c r="L103" s="31">
        <f t="shared" si="6"/>
        <v>4.2230250000000282E-4</v>
      </c>
      <c r="BB103" s="5"/>
    </row>
    <row r="104" spans="1:54">
      <c r="A104" s="4">
        <v>1</v>
      </c>
      <c r="B104">
        <v>0</v>
      </c>
      <c r="C104">
        <v>1</v>
      </c>
      <c r="D104">
        <v>-1</v>
      </c>
      <c r="E104">
        <f t="shared" si="1"/>
        <v>0</v>
      </c>
      <c r="F104">
        <f t="shared" si="2"/>
        <v>0</v>
      </c>
      <c r="G104">
        <f t="shared" si="3"/>
        <v>-1</v>
      </c>
      <c r="H104">
        <f t="shared" si="4"/>
        <v>0</v>
      </c>
      <c r="I104" s="31">
        <v>0.64700000000000002</v>
      </c>
      <c r="J104">
        <v>10</v>
      </c>
      <c r="K104" s="31">
        <v>0.67735000000000001</v>
      </c>
      <c r="L104" s="31">
        <f t="shared" si="6"/>
        <v>9.2112249999999932E-4</v>
      </c>
      <c r="BB104" s="5"/>
    </row>
    <row r="105" spans="1:54">
      <c r="A105" s="4">
        <v>1</v>
      </c>
      <c r="B105">
        <v>0</v>
      </c>
      <c r="C105">
        <v>-1</v>
      </c>
      <c r="D105">
        <v>1</v>
      </c>
      <c r="E105">
        <f t="shared" si="1"/>
        <v>0</v>
      </c>
      <c r="F105">
        <f t="shared" si="2"/>
        <v>0</v>
      </c>
      <c r="G105">
        <f t="shared" si="3"/>
        <v>-1</v>
      </c>
      <c r="H105">
        <f t="shared" si="4"/>
        <v>0</v>
      </c>
      <c r="I105" s="31">
        <v>0.52869999999999995</v>
      </c>
      <c r="J105">
        <v>11</v>
      </c>
      <c r="K105" s="31">
        <v>0.52869999999999995</v>
      </c>
      <c r="L105" s="31">
        <f t="shared" si="6"/>
        <v>0</v>
      </c>
      <c r="BB105" s="5"/>
    </row>
    <row r="106" spans="1:54">
      <c r="A106" s="4">
        <v>1</v>
      </c>
      <c r="B106">
        <v>0</v>
      </c>
      <c r="C106">
        <v>1</v>
      </c>
      <c r="D106">
        <v>1</v>
      </c>
      <c r="E106">
        <f t="shared" si="1"/>
        <v>0</v>
      </c>
      <c r="F106">
        <f t="shared" si="2"/>
        <v>0</v>
      </c>
      <c r="G106">
        <f t="shared" si="3"/>
        <v>1</v>
      </c>
      <c r="H106">
        <f t="shared" si="4"/>
        <v>0</v>
      </c>
      <c r="I106" s="31">
        <v>0.68589999999999995</v>
      </c>
      <c r="J106">
        <v>12</v>
      </c>
      <c r="K106" s="31">
        <v>0.68589999999999995</v>
      </c>
      <c r="L106" s="31">
        <f t="shared" si="6"/>
        <v>0</v>
      </c>
      <c r="BB106" s="5"/>
    </row>
    <row r="107" spans="1:54">
      <c r="A107" s="4">
        <v>1</v>
      </c>
      <c r="B107">
        <v>-1</v>
      </c>
      <c r="C107">
        <v>0</v>
      </c>
      <c r="D107">
        <v>-1</v>
      </c>
      <c r="E107">
        <f t="shared" si="1"/>
        <v>0</v>
      </c>
      <c r="F107">
        <f t="shared" si="2"/>
        <v>1</v>
      </c>
      <c r="G107">
        <f t="shared" si="3"/>
        <v>0</v>
      </c>
      <c r="H107">
        <f t="shared" si="4"/>
        <v>0</v>
      </c>
      <c r="I107" s="31">
        <v>0.48680000000000001</v>
      </c>
      <c r="J107">
        <v>13</v>
      </c>
      <c r="K107" s="31">
        <v>0.51800000000000002</v>
      </c>
      <c r="L107" s="31">
        <f t="shared" si="6"/>
        <v>9.7344000000000033E-4</v>
      </c>
      <c r="BB107" s="5"/>
    </row>
    <row r="108" spans="1:54">
      <c r="A108" s="4">
        <v>1</v>
      </c>
      <c r="B108">
        <v>1</v>
      </c>
      <c r="C108">
        <v>0</v>
      </c>
      <c r="D108">
        <v>-1</v>
      </c>
      <c r="E108">
        <f t="shared" si="1"/>
        <v>0</v>
      </c>
      <c r="F108">
        <f t="shared" si="2"/>
        <v>-1</v>
      </c>
      <c r="G108">
        <f t="shared" si="3"/>
        <v>0</v>
      </c>
      <c r="H108">
        <f t="shared" si="4"/>
        <v>0</v>
      </c>
      <c r="I108" s="31">
        <v>0.77439999999999998</v>
      </c>
      <c r="J108">
        <v>14</v>
      </c>
      <c r="K108" s="31">
        <v>0.77439999999999998</v>
      </c>
      <c r="L108" s="31">
        <f t="shared" si="6"/>
        <v>0</v>
      </c>
      <c r="BB108" s="5"/>
    </row>
    <row r="109" spans="1:54">
      <c r="A109" s="4">
        <v>1</v>
      </c>
      <c r="B109">
        <v>-1</v>
      </c>
      <c r="C109">
        <v>0</v>
      </c>
      <c r="D109">
        <v>1</v>
      </c>
      <c r="E109">
        <f t="shared" si="1"/>
        <v>0</v>
      </c>
      <c r="F109">
        <f t="shared" si="2"/>
        <v>-1</v>
      </c>
      <c r="G109">
        <f t="shared" si="3"/>
        <v>0</v>
      </c>
      <c r="H109">
        <f t="shared" si="4"/>
        <v>0</v>
      </c>
      <c r="I109" s="31">
        <v>0.43309999999999998</v>
      </c>
      <c r="J109">
        <v>15</v>
      </c>
      <c r="K109" s="31">
        <v>0.43309999999999998</v>
      </c>
      <c r="L109" s="31">
        <f t="shared" si="6"/>
        <v>0</v>
      </c>
      <c r="BB109" s="5"/>
    </row>
    <row r="110" spans="1:54">
      <c r="A110" s="4">
        <v>1</v>
      </c>
      <c r="B110">
        <v>1</v>
      </c>
      <c r="C110">
        <v>0</v>
      </c>
      <c r="D110">
        <v>1</v>
      </c>
      <c r="E110">
        <f t="shared" si="1"/>
        <v>0</v>
      </c>
      <c r="F110">
        <f t="shared" si="2"/>
        <v>1</v>
      </c>
      <c r="G110">
        <f t="shared" si="3"/>
        <v>0</v>
      </c>
      <c r="H110">
        <f t="shared" si="4"/>
        <v>0</v>
      </c>
      <c r="I110" s="31">
        <v>0.84430000000000005</v>
      </c>
      <c r="J110">
        <v>16</v>
      </c>
      <c r="K110" s="31">
        <v>0.84430000000000005</v>
      </c>
      <c r="L110" s="31">
        <f t="shared" si="6"/>
        <v>0</v>
      </c>
      <c r="BB110" s="5"/>
    </row>
    <row r="111" spans="1:54">
      <c r="A111" s="4">
        <v>1</v>
      </c>
      <c r="B111">
        <v>-1</v>
      </c>
      <c r="C111">
        <v>-1</v>
      </c>
      <c r="D111">
        <v>0</v>
      </c>
      <c r="E111">
        <f t="shared" si="1"/>
        <v>1</v>
      </c>
      <c r="F111">
        <f t="shared" si="2"/>
        <v>0</v>
      </c>
      <c r="G111">
        <f t="shared" si="3"/>
        <v>0</v>
      </c>
      <c r="H111">
        <f t="shared" si="4"/>
        <v>0</v>
      </c>
      <c r="I111" s="31">
        <v>0.61780000000000002</v>
      </c>
      <c r="J111">
        <v>17</v>
      </c>
      <c r="K111" s="31">
        <v>0.45430000000000004</v>
      </c>
      <c r="L111" s="31">
        <f t="shared" si="6"/>
        <v>2.6732249999999992E-2</v>
      </c>
      <c r="BB111" s="5"/>
    </row>
    <row r="112" spans="1:54">
      <c r="A112" s="4">
        <v>1</v>
      </c>
      <c r="B112">
        <v>1</v>
      </c>
      <c r="C112">
        <v>-1</v>
      </c>
      <c r="D112">
        <v>0</v>
      </c>
      <c r="E112">
        <f t="shared" si="1"/>
        <v>-1</v>
      </c>
      <c r="F112">
        <f t="shared" si="2"/>
        <v>0</v>
      </c>
      <c r="G112">
        <f t="shared" si="3"/>
        <v>0</v>
      </c>
      <c r="H112">
        <f t="shared" si="4"/>
        <v>0</v>
      </c>
      <c r="I112" s="31">
        <v>0.63349999999999995</v>
      </c>
      <c r="J112">
        <v>18</v>
      </c>
      <c r="K112" s="31">
        <v>0.63349999999999995</v>
      </c>
      <c r="L112" s="31">
        <f t="shared" si="6"/>
        <v>0</v>
      </c>
      <c r="BB112" s="5"/>
    </row>
    <row r="113" spans="1:54">
      <c r="A113" s="4">
        <v>1</v>
      </c>
      <c r="B113">
        <v>-1</v>
      </c>
      <c r="C113">
        <v>1</v>
      </c>
      <c r="D113">
        <v>0</v>
      </c>
      <c r="E113">
        <f t="shared" si="1"/>
        <v>-1</v>
      </c>
      <c r="F113">
        <f t="shared" si="2"/>
        <v>0</v>
      </c>
      <c r="G113">
        <f t="shared" si="3"/>
        <v>0</v>
      </c>
      <c r="H113">
        <f t="shared" si="4"/>
        <v>0</v>
      </c>
      <c r="I113" s="31">
        <v>0.64400000000000002</v>
      </c>
      <c r="J113">
        <v>19</v>
      </c>
      <c r="K113" s="31">
        <v>0.62634999999999996</v>
      </c>
      <c r="L113" s="31">
        <f t="shared" si="6"/>
        <v>3.1152250000000191E-4</v>
      </c>
      <c r="BB113" s="5"/>
    </row>
    <row r="114" spans="1:54">
      <c r="A114" s="4">
        <v>1</v>
      </c>
      <c r="B114">
        <v>1</v>
      </c>
      <c r="C114">
        <v>1</v>
      </c>
      <c r="D114">
        <v>0</v>
      </c>
      <c r="E114">
        <f t="shared" si="1"/>
        <v>1</v>
      </c>
      <c r="F114">
        <f t="shared" si="2"/>
        <v>0</v>
      </c>
      <c r="G114">
        <f t="shared" si="3"/>
        <v>0</v>
      </c>
      <c r="H114">
        <f t="shared" si="4"/>
        <v>0</v>
      </c>
      <c r="I114" s="31">
        <v>0.41470000000000001</v>
      </c>
      <c r="J114">
        <v>20</v>
      </c>
      <c r="K114" s="31">
        <v>0.41470000000000001</v>
      </c>
      <c r="L114" s="31">
        <f t="shared" si="6"/>
        <v>0</v>
      </c>
      <c r="BB114" s="5"/>
    </row>
    <row r="115" spans="1:54">
      <c r="A115" s="4">
        <v>1</v>
      </c>
      <c r="B115">
        <v>-1</v>
      </c>
      <c r="C115">
        <v>0</v>
      </c>
      <c r="D115">
        <v>0</v>
      </c>
      <c r="E115">
        <f t="shared" si="1"/>
        <v>0</v>
      </c>
      <c r="F115">
        <f t="shared" si="2"/>
        <v>0</v>
      </c>
      <c r="G115">
        <f t="shared" si="3"/>
        <v>0</v>
      </c>
      <c r="H115">
        <f t="shared" si="4"/>
        <v>0</v>
      </c>
      <c r="I115" s="31">
        <v>0.6079</v>
      </c>
      <c r="J115">
        <v>21</v>
      </c>
      <c r="K115" s="31">
        <v>0.54925000000000002</v>
      </c>
      <c r="L115" s="31">
        <f t="shared" si="6"/>
        <v>3.4398224999999975E-3</v>
      </c>
      <c r="BB115" s="5"/>
    </row>
    <row r="116" spans="1:54">
      <c r="A116" s="4">
        <v>1</v>
      </c>
      <c r="B116">
        <v>1</v>
      </c>
      <c r="C116">
        <v>0</v>
      </c>
      <c r="D116">
        <v>0</v>
      </c>
      <c r="E116">
        <f t="shared" si="1"/>
        <v>0</v>
      </c>
      <c r="F116">
        <f t="shared" si="2"/>
        <v>0</v>
      </c>
      <c r="G116">
        <f t="shared" si="3"/>
        <v>0</v>
      </c>
      <c r="H116">
        <f t="shared" si="4"/>
        <v>0</v>
      </c>
      <c r="I116" s="31">
        <v>0.61599999999999999</v>
      </c>
      <c r="J116">
        <v>22</v>
      </c>
      <c r="K116" s="31">
        <v>0.61599999999999999</v>
      </c>
      <c r="L116" s="31">
        <f t="shared" si="6"/>
        <v>0</v>
      </c>
      <c r="BB116" s="5"/>
    </row>
    <row r="117" spans="1:54">
      <c r="A117" s="4">
        <v>1</v>
      </c>
      <c r="B117">
        <v>0</v>
      </c>
      <c r="C117">
        <v>-1</v>
      </c>
      <c r="D117">
        <v>0</v>
      </c>
      <c r="E117">
        <f t="shared" si="1"/>
        <v>0</v>
      </c>
      <c r="F117">
        <f t="shared" si="2"/>
        <v>0</v>
      </c>
      <c r="G117">
        <f t="shared" si="3"/>
        <v>0</v>
      </c>
      <c r="H117">
        <f t="shared" si="4"/>
        <v>0</v>
      </c>
      <c r="I117" s="31">
        <v>0.62729999999999997</v>
      </c>
      <c r="J117">
        <v>23</v>
      </c>
      <c r="K117" s="31">
        <v>0.61369999999999991</v>
      </c>
      <c r="L117" s="31">
        <f t="shared" si="6"/>
        <v>1.8496000000000154E-4</v>
      </c>
      <c r="N117" s="31">
        <f>(I117-$O$68)^2</f>
        <v>1.3505625000000045E-3</v>
      </c>
      <c r="BB117" s="5"/>
    </row>
    <row r="118" spans="1:54">
      <c r="A118" s="4">
        <v>1</v>
      </c>
      <c r="B118">
        <v>0</v>
      </c>
      <c r="C118">
        <v>1</v>
      </c>
      <c r="D118">
        <v>0</v>
      </c>
      <c r="E118">
        <f t="shared" si="1"/>
        <v>0</v>
      </c>
      <c r="F118">
        <f t="shared" si="2"/>
        <v>0</v>
      </c>
      <c r="G118">
        <f t="shared" si="3"/>
        <v>0</v>
      </c>
      <c r="H118">
        <f t="shared" si="4"/>
        <v>0</v>
      </c>
      <c r="I118" s="31">
        <v>0.82640000000000002</v>
      </c>
      <c r="J118">
        <v>24</v>
      </c>
      <c r="K118" s="31">
        <v>0.79865000000000008</v>
      </c>
      <c r="L118" s="31">
        <f t="shared" si="6"/>
        <v>7.7006249999999677E-4</v>
      </c>
      <c r="N118" s="31">
        <f>(I118-$O$68)^2</f>
        <v>2.6357522499999998E-2</v>
      </c>
      <c r="BB118" s="5"/>
    </row>
    <row r="119" spans="1:54">
      <c r="A119" s="4">
        <v>1</v>
      </c>
      <c r="B119">
        <v>0</v>
      </c>
      <c r="C119">
        <v>0</v>
      </c>
      <c r="D119">
        <v>-1</v>
      </c>
      <c r="E119">
        <f t="shared" si="1"/>
        <v>0</v>
      </c>
      <c r="F119">
        <f t="shared" si="2"/>
        <v>0</v>
      </c>
      <c r="G119">
        <f t="shared" si="3"/>
        <v>0</v>
      </c>
      <c r="H119">
        <f t="shared" si="4"/>
        <v>0</v>
      </c>
      <c r="I119" s="31">
        <v>0.69820000000000004</v>
      </c>
      <c r="J119">
        <v>25</v>
      </c>
      <c r="K119" s="31">
        <v>0.70530000000000004</v>
      </c>
      <c r="L119" s="31">
        <f t="shared" si="6"/>
        <v>5.0409999999999932E-5</v>
      </c>
      <c r="N119" s="31"/>
      <c r="BB119" s="5"/>
    </row>
    <row r="120" spans="1:54">
      <c r="A120" s="4">
        <v>1</v>
      </c>
      <c r="B120">
        <v>0</v>
      </c>
      <c r="C120">
        <v>0</v>
      </c>
      <c r="D120">
        <v>1</v>
      </c>
      <c r="E120">
        <f t="shared" si="1"/>
        <v>0</v>
      </c>
      <c r="F120">
        <f t="shared" si="2"/>
        <v>0</v>
      </c>
      <c r="G120">
        <f t="shared" si="3"/>
        <v>0</v>
      </c>
      <c r="H120">
        <f t="shared" si="4"/>
        <v>0</v>
      </c>
      <c r="I120" s="31">
        <v>0.66600000000000004</v>
      </c>
      <c r="J120">
        <v>26</v>
      </c>
      <c r="K120" s="31">
        <v>0.66600000000000004</v>
      </c>
      <c r="L120" s="31">
        <f t="shared" si="6"/>
        <v>0</v>
      </c>
      <c r="N120" s="31"/>
      <c r="BB120" s="5"/>
    </row>
    <row r="121" spans="1:54">
      <c r="A121" s="4">
        <v>1</v>
      </c>
      <c r="B121">
        <v>0</v>
      </c>
      <c r="C121">
        <v>0</v>
      </c>
      <c r="D121">
        <v>0</v>
      </c>
      <c r="E121">
        <f t="shared" si="1"/>
        <v>0</v>
      </c>
      <c r="F121">
        <f t="shared" si="2"/>
        <v>0</v>
      </c>
      <c r="G121">
        <f t="shared" si="3"/>
        <v>0</v>
      </c>
      <c r="H121">
        <f t="shared" si="4"/>
        <v>0</v>
      </c>
      <c r="I121" s="31">
        <v>0.51200000000000001</v>
      </c>
      <c r="J121">
        <v>27</v>
      </c>
      <c r="K121" s="31">
        <v>0.57979999999999998</v>
      </c>
      <c r="L121" s="31">
        <f t="shared" si="6"/>
        <v>4.5968399999999961E-3</v>
      </c>
      <c r="N121" s="31">
        <f t="shared" ref="N121" si="7">(I121-$O$68)^2</f>
        <v>2.3119202500000005E-2</v>
      </c>
      <c r="BB121" s="5"/>
    </row>
    <row r="122" spans="1:54">
      <c r="A122" s="4"/>
      <c r="L122" s="31">
        <f>SUM(L68:L121)</f>
        <v>7.9435530000000004E-2</v>
      </c>
      <c r="M122">
        <f>SUM(M68:M94)</f>
        <v>7.9435530000000004E-2</v>
      </c>
      <c r="N122" s="31">
        <f>SUM(N68:N121)</f>
        <v>6.6604415000000014E-2</v>
      </c>
      <c r="BB122" s="5"/>
    </row>
    <row r="123" spans="1:54">
      <c r="A123" s="4" t="s">
        <v>31</v>
      </c>
      <c r="BB123" s="5"/>
    </row>
    <row r="124" spans="1:54">
      <c r="A124" s="4" cm="1">
        <f t="array" ref="A124:BB131">TRANSPOSE(A68:H121)</f>
        <v>1</v>
      </c>
      <c r="B124">
        <v>1</v>
      </c>
      <c r="C124">
        <v>1</v>
      </c>
      <c r="D124">
        <v>1</v>
      </c>
      <c r="E124">
        <v>1</v>
      </c>
      <c r="F124">
        <v>1</v>
      </c>
      <c r="G124">
        <v>1</v>
      </c>
      <c r="H124">
        <v>1</v>
      </c>
      <c r="I124">
        <v>1</v>
      </c>
      <c r="J124">
        <v>1</v>
      </c>
      <c r="K124">
        <v>1</v>
      </c>
      <c r="L124">
        <v>1</v>
      </c>
      <c r="M124">
        <v>1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1</v>
      </c>
      <c r="AD124">
        <v>1</v>
      </c>
      <c r="AE124">
        <v>1</v>
      </c>
      <c r="AF124">
        <v>1</v>
      </c>
      <c r="AG124">
        <v>1</v>
      </c>
      <c r="AH124">
        <v>1</v>
      </c>
      <c r="AI124">
        <v>1</v>
      </c>
      <c r="AJ124">
        <v>1</v>
      </c>
      <c r="AK124">
        <v>1</v>
      </c>
      <c r="AL124">
        <v>1</v>
      </c>
      <c r="AM124">
        <v>1</v>
      </c>
      <c r="AN124">
        <v>1</v>
      </c>
      <c r="AO124">
        <v>1</v>
      </c>
      <c r="AP124">
        <v>1</v>
      </c>
      <c r="AQ124">
        <v>1</v>
      </c>
      <c r="AR124">
        <v>1</v>
      </c>
      <c r="AS124">
        <v>1</v>
      </c>
      <c r="AT124">
        <v>1</v>
      </c>
      <c r="AU124">
        <v>1</v>
      </c>
      <c r="AV124">
        <v>1</v>
      </c>
      <c r="AW124">
        <v>1</v>
      </c>
      <c r="AX124">
        <v>1</v>
      </c>
      <c r="AY124">
        <v>1</v>
      </c>
      <c r="AZ124">
        <v>1</v>
      </c>
      <c r="BA124">
        <v>1</v>
      </c>
      <c r="BB124" s="5">
        <v>1</v>
      </c>
    </row>
    <row r="125" spans="1:54">
      <c r="A125" s="4">
        <v>-1</v>
      </c>
      <c r="B125">
        <v>1</v>
      </c>
      <c r="C125">
        <v>-1</v>
      </c>
      <c r="D125">
        <v>1</v>
      </c>
      <c r="E125">
        <v>-1</v>
      </c>
      <c r="F125">
        <v>1</v>
      </c>
      <c r="G125">
        <v>-1</v>
      </c>
      <c r="H125">
        <v>1</v>
      </c>
      <c r="I125">
        <v>0</v>
      </c>
      <c r="J125">
        <v>0</v>
      </c>
      <c r="K125">
        <v>0</v>
      </c>
      <c r="L125">
        <v>0</v>
      </c>
      <c r="M125">
        <v>-1</v>
      </c>
      <c r="N125">
        <v>1</v>
      </c>
      <c r="O125">
        <v>-1</v>
      </c>
      <c r="P125">
        <v>1</v>
      </c>
      <c r="Q125">
        <v>-1</v>
      </c>
      <c r="R125">
        <v>1</v>
      </c>
      <c r="S125">
        <v>-1</v>
      </c>
      <c r="T125">
        <v>1</v>
      </c>
      <c r="U125">
        <v>-1</v>
      </c>
      <c r="V125">
        <v>1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-1</v>
      </c>
      <c r="AC125">
        <v>1</v>
      </c>
      <c r="AD125">
        <v>-1</v>
      </c>
      <c r="AE125">
        <v>1</v>
      </c>
      <c r="AF125">
        <v>-1</v>
      </c>
      <c r="AG125">
        <v>1</v>
      </c>
      <c r="AH125">
        <v>-1</v>
      </c>
      <c r="AI125">
        <v>1</v>
      </c>
      <c r="AJ125">
        <v>0</v>
      </c>
      <c r="AK125">
        <v>0</v>
      </c>
      <c r="AL125">
        <v>0</v>
      </c>
      <c r="AM125">
        <v>0</v>
      </c>
      <c r="AN125">
        <v>-1</v>
      </c>
      <c r="AO125">
        <v>1</v>
      </c>
      <c r="AP125">
        <v>-1</v>
      </c>
      <c r="AQ125">
        <v>1</v>
      </c>
      <c r="AR125">
        <v>-1</v>
      </c>
      <c r="AS125">
        <v>1</v>
      </c>
      <c r="AT125">
        <v>-1</v>
      </c>
      <c r="AU125">
        <v>1</v>
      </c>
      <c r="AV125">
        <v>-1</v>
      </c>
      <c r="AW125">
        <v>1</v>
      </c>
      <c r="AX125">
        <v>0</v>
      </c>
      <c r="AY125">
        <v>0</v>
      </c>
      <c r="AZ125">
        <v>0</v>
      </c>
      <c r="BA125">
        <v>0</v>
      </c>
      <c r="BB125" s="5">
        <v>0</v>
      </c>
    </row>
    <row r="126" spans="1:54">
      <c r="A126" s="4">
        <v>-1</v>
      </c>
      <c r="B126">
        <v>-1</v>
      </c>
      <c r="C126">
        <v>1</v>
      </c>
      <c r="D126">
        <v>1</v>
      </c>
      <c r="E126">
        <v>-1</v>
      </c>
      <c r="F126">
        <v>-1</v>
      </c>
      <c r="G126">
        <v>1</v>
      </c>
      <c r="H126">
        <v>1</v>
      </c>
      <c r="I126">
        <v>-1</v>
      </c>
      <c r="J126">
        <v>1</v>
      </c>
      <c r="K126">
        <v>-1</v>
      </c>
      <c r="L126">
        <v>1</v>
      </c>
      <c r="M126">
        <v>0</v>
      </c>
      <c r="N126">
        <v>0</v>
      </c>
      <c r="O126">
        <v>0</v>
      </c>
      <c r="P126">
        <v>0</v>
      </c>
      <c r="Q126">
        <v>-1</v>
      </c>
      <c r="R126">
        <v>-1</v>
      </c>
      <c r="S126">
        <v>1</v>
      </c>
      <c r="T126">
        <v>1</v>
      </c>
      <c r="U126">
        <v>0</v>
      </c>
      <c r="V126">
        <v>0</v>
      </c>
      <c r="W126">
        <v>-1</v>
      </c>
      <c r="X126">
        <v>1</v>
      </c>
      <c r="Y126">
        <v>0</v>
      </c>
      <c r="Z126">
        <v>0</v>
      </c>
      <c r="AA126">
        <v>0</v>
      </c>
      <c r="AB126">
        <v>-1</v>
      </c>
      <c r="AC126">
        <v>-1</v>
      </c>
      <c r="AD126">
        <v>1</v>
      </c>
      <c r="AE126">
        <v>1</v>
      </c>
      <c r="AF126">
        <v>-1</v>
      </c>
      <c r="AG126">
        <v>-1</v>
      </c>
      <c r="AH126">
        <v>1</v>
      </c>
      <c r="AI126">
        <v>1</v>
      </c>
      <c r="AJ126">
        <v>-1</v>
      </c>
      <c r="AK126">
        <v>1</v>
      </c>
      <c r="AL126">
        <v>-1</v>
      </c>
      <c r="AM126">
        <v>1</v>
      </c>
      <c r="AN126">
        <v>0</v>
      </c>
      <c r="AO126">
        <v>0</v>
      </c>
      <c r="AP126">
        <v>0</v>
      </c>
      <c r="AQ126">
        <v>0</v>
      </c>
      <c r="AR126">
        <v>-1</v>
      </c>
      <c r="AS126">
        <v>-1</v>
      </c>
      <c r="AT126">
        <v>1</v>
      </c>
      <c r="AU126">
        <v>1</v>
      </c>
      <c r="AV126">
        <v>0</v>
      </c>
      <c r="AW126">
        <v>0</v>
      </c>
      <c r="AX126">
        <v>-1</v>
      </c>
      <c r="AY126">
        <v>1</v>
      </c>
      <c r="AZ126">
        <v>0</v>
      </c>
      <c r="BA126">
        <v>0</v>
      </c>
      <c r="BB126" s="5">
        <v>0</v>
      </c>
    </row>
    <row r="127" spans="1:54">
      <c r="A127" s="4">
        <v>-1</v>
      </c>
      <c r="B127">
        <v>-1</v>
      </c>
      <c r="C127">
        <v>-1</v>
      </c>
      <c r="D127">
        <v>-1</v>
      </c>
      <c r="E127">
        <v>1</v>
      </c>
      <c r="F127">
        <v>1</v>
      </c>
      <c r="G127">
        <v>1</v>
      </c>
      <c r="H127">
        <v>1</v>
      </c>
      <c r="I127">
        <v>-1</v>
      </c>
      <c r="J127">
        <v>-1</v>
      </c>
      <c r="K127">
        <v>1</v>
      </c>
      <c r="L127">
        <v>1</v>
      </c>
      <c r="M127">
        <v>-1</v>
      </c>
      <c r="N127">
        <v>-1</v>
      </c>
      <c r="O127">
        <v>1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-1</v>
      </c>
      <c r="Z127">
        <v>1</v>
      </c>
      <c r="AA127">
        <v>0</v>
      </c>
      <c r="AB127">
        <v>-1</v>
      </c>
      <c r="AC127">
        <v>-1</v>
      </c>
      <c r="AD127">
        <v>-1</v>
      </c>
      <c r="AE127">
        <v>-1</v>
      </c>
      <c r="AF127">
        <v>1</v>
      </c>
      <c r="AG127">
        <v>1</v>
      </c>
      <c r="AH127">
        <v>1</v>
      </c>
      <c r="AI127">
        <v>1</v>
      </c>
      <c r="AJ127">
        <v>-1</v>
      </c>
      <c r="AK127">
        <v>-1</v>
      </c>
      <c r="AL127">
        <v>1</v>
      </c>
      <c r="AM127">
        <v>1</v>
      </c>
      <c r="AN127">
        <v>-1</v>
      </c>
      <c r="AO127">
        <v>-1</v>
      </c>
      <c r="AP127">
        <v>1</v>
      </c>
      <c r="AQ127">
        <v>1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-1</v>
      </c>
      <c r="BA127">
        <v>1</v>
      </c>
      <c r="BB127" s="5">
        <v>0</v>
      </c>
    </row>
    <row r="128" spans="1:54">
      <c r="A128" s="4">
        <v>1</v>
      </c>
      <c r="B128">
        <v>-1</v>
      </c>
      <c r="C128">
        <v>-1</v>
      </c>
      <c r="D128">
        <v>1</v>
      </c>
      <c r="E128">
        <v>1</v>
      </c>
      <c r="F128">
        <v>-1</v>
      </c>
      <c r="G128">
        <v>-1</v>
      </c>
      <c r="H128">
        <v>1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1</v>
      </c>
      <c r="R128">
        <v>-1</v>
      </c>
      <c r="S128">
        <v>-1</v>
      </c>
      <c r="T128">
        <v>1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1</v>
      </c>
      <c r="AC128">
        <v>-1</v>
      </c>
      <c r="AD128">
        <v>-1</v>
      </c>
      <c r="AE128">
        <v>1</v>
      </c>
      <c r="AF128">
        <v>1</v>
      </c>
      <c r="AG128">
        <v>-1</v>
      </c>
      <c r="AH128">
        <v>-1</v>
      </c>
      <c r="AI128">
        <v>1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1</v>
      </c>
      <c r="AS128">
        <v>-1</v>
      </c>
      <c r="AT128">
        <v>-1</v>
      </c>
      <c r="AU128">
        <v>1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 s="5">
        <v>0</v>
      </c>
    </row>
    <row r="129" spans="1:54">
      <c r="A129" s="4">
        <v>1</v>
      </c>
      <c r="B129">
        <v>-1</v>
      </c>
      <c r="C129">
        <v>1</v>
      </c>
      <c r="D129">
        <v>-1</v>
      </c>
      <c r="E129">
        <v>-1</v>
      </c>
      <c r="F129">
        <v>1</v>
      </c>
      <c r="G129">
        <v>-1</v>
      </c>
      <c r="H129">
        <v>1</v>
      </c>
      <c r="I129">
        <v>0</v>
      </c>
      <c r="J129">
        <v>0</v>
      </c>
      <c r="K129">
        <v>0</v>
      </c>
      <c r="L129">
        <v>0</v>
      </c>
      <c r="M129">
        <v>1</v>
      </c>
      <c r="N129">
        <v>-1</v>
      </c>
      <c r="O129">
        <v>-1</v>
      </c>
      <c r="P129">
        <v>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1</v>
      </c>
      <c r="AC129">
        <v>-1</v>
      </c>
      <c r="AD129">
        <v>1</v>
      </c>
      <c r="AE129">
        <v>-1</v>
      </c>
      <c r="AF129">
        <v>-1</v>
      </c>
      <c r="AG129">
        <v>1</v>
      </c>
      <c r="AH129">
        <v>-1</v>
      </c>
      <c r="AI129">
        <v>1</v>
      </c>
      <c r="AJ129">
        <v>0</v>
      </c>
      <c r="AK129">
        <v>0</v>
      </c>
      <c r="AL129">
        <v>0</v>
      </c>
      <c r="AM129">
        <v>0</v>
      </c>
      <c r="AN129">
        <v>1</v>
      </c>
      <c r="AO129">
        <v>-1</v>
      </c>
      <c r="AP129">
        <v>-1</v>
      </c>
      <c r="AQ129">
        <v>1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 s="5">
        <v>0</v>
      </c>
    </row>
    <row r="130" spans="1:54">
      <c r="A130" s="4">
        <v>1</v>
      </c>
      <c r="B130">
        <v>1</v>
      </c>
      <c r="C130">
        <v>-1</v>
      </c>
      <c r="D130">
        <v>-1</v>
      </c>
      <c r="E130">
        <v>-1</v>
      </c>
      <c r="F130">
        <v>-1</v>
      </c>
      <c r="G130">
        <v>1</v>
      </c>
      <c r="H130">
        <v>1</v>
      </c>
      <c r="I130">
        <v>1</v>
      </c>
      <c r="J130">
        <v>-1</v>
      </c>
      <c r="K130">
        <v>-1</v>
      </c>
      <c r="L130">
        <v>1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1</v>
      </c>
      <c r="AC130">
        <v>1</v>
      </c>
      <c r="AD130">
        <v>-1</v>
      </c>
      <c r="AE130">
        <v>-1</v>
      </c>
      <c r="AF130">
        <v>-1</v>
      </c>
      <c r="AG130">
        <v>-1</v>
      </c>
      <c r="AH130">
        <v>1</v>
      </c>
      <c r="AI130">
        <v>1</v>
      </c>
      <c r="AJ130">
        <v>1</v>
      </c>
      <c r="AK130">
        <v>-1</v>
      </c>
      <c r="AL130">
        <v>-1</v>
      </c>
      <c r="AM130">
        <v>1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 s="5">
        <v>0</v>
      </c>
    </row>
    <row r="131" spans="1:54">
      <c r="A131" s="4">
        <v>-1</v>
      </c>
      <c r="B131">
        <v>1</v>
      </c>
      <c r="C131">
        <v>1</v>
      </c>
      <c r="D131">
        <v>-1</v>
      </c>
      <c r="E131">
        <v>1</v>
      </c>
      <c r="F131">
        <v>-1</v>
      </c>
      <c r="G131">
        <v>-1</v>
      </c>
      <c r="H131">
        <v>1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-1</v>
      </c>
      <c r="AC131">
        <v>1</v>
      </c>
      <c r="AD131">
        <v>1</v>
      </c>
      <c r="AE131">
        <v>-1</v>
      </c>
      <c r="AF131">
        <v>1</v>
      </c>
      <c r="AG131">
        <v>-1</v>
      </c>
      <c r="AH131">
        <v>-1</v>
      </c>
      <c r="AI131">
        <v>1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 s="5">
        <v>0</v>
      </c>
    </row>
    <row r="132" spans="1:54">
      <c r="A132" s="4"/>
      <c r="BB132" s="5"/>
    </row>
    <row r="133" spans="1:54">
      <c r="A133" s="4" t="s">
        <v>33</v>
      </c>
      <c r="C133" t="s">
        <v>59</v>
      </c>
      <c r="L133" t="s">
        <v>60</v>
      </c>
      <c r="BB133" s="5"/>
    </row>
    <row r="134" spans="1:54" ht="15">
      <c r="A134" s="4" cm="1">
        <f t="array" ref="A134:A141">MMULT(_xlfn.ANCHORARRAY(A124),I68:I121)</f>
        <v>30.581599999999998</v>
      </c>
      <c r="C134" cm="1">
        <f t="array" ref="C134:J141">MMULT(_xlfn.ANCHORARRAY(A124),A68:H121)</f>
        <v>54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L134" cm="1">
        <f t="array" ref="L134:S141">MINVERSE(_xlfn.ANCHORARRAY(C134))</f>
        <v>1.8518518518518517E-2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U134" t="s">
        <v>6</v>
      </c>
      <c r="V134" cm="1">
        <f t="array" ref="V134:V141">MMULT(_xlfn.ANCHORARRAY(L134),_xlfn.ANCHORARRAY(A134))</f>
        <v>0.5663259259259259</v>
      </c>
      <c r="X134" s="10" t="s">
        <v>62</v>
      </c>
      <c r="BB134" s="5"/>
    </row>
    <row r="135" spans="1:54">
      <c r="A135" s="4">
        <v>1.4102999999999994</v>
      </c>
      <c r="C135">
        <v>0</v>
      </c>
      <c r="D135">
        <v>36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L135">
        <v>0</v>
      </c>
      <c r="M135">
        <v>2.7777777777777776E-2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U135" t="s">
        <v>3</v>
      </c>
      <c r="V135">
        <v>3.9174999999999981E-2</v>
      </c>
      <c r="X135" s="17" t="s">
        <v>70</v>
      </c>
      <c r="Y135" s="16">
        <f>V134</f>
        <v>0.5663259259259259</v>
      </c>
      <c r="Z135" s="16" t="s">
        <v>7</v>
      </c>
      <c r="AA135" s="16">
        <f>V135</f>
        <v>3.9174999999999981E-2</v>
      </c>
      <c r="AB135" s="16" t="s">
        <v>63</v>
      </c>
      <c r="AC135" s="16">
        <f>V136</f>
        <v>6.3591666666666671E-2</v>
      </c>
      <c r="AD135" s="16" t="s">
        <v>64</v>
      </c>
      <c r="AE135" s="16">
        <f>V137</f>
        <v>-2.3416666666666737E-3</v>
      </c>
      <c r="AF135" s="16" t="s">
        <v>65</v>
      </c>
      <c r="AG135" s="16">
        <f>V138</f>
        <v>-4.1916666666666743E-3</v>
      </c>
      <c r="AH135" s="16" t="s">
        <v>66</v>
      </c>
      <c r="AI135" s="16">
        <f>V139</f>
        <v>-2.390416666666666E-2</v>
      </c>
      <c r="AJ135" s="16" t="s">
        <v>67</v>
      </c>
      <c r="AK135" s="16">
        <f>V140</f>
        <v>1.1395833333333336E-2</v>
      </c>
      <c r="AL135" s="16" t="s">
        <v>68</v>
      </c>
      <c r="AM135" s="16">
        <f>V141</f>
        <v>-3.386875000000001E-2</v>
      </c>
      <c r="AN135" s="16" t="s">
        <v>69</v>
      </c>
      <c r="BB135" s="5"/>
    </row>
    <row r="136" spans="1:54">
      <c r="A136" s="4">
        <v>2.2893000000000003</v>
      </c>
      <c r="C136">
        <v>0</v>
      </c>
      <c r="D136">
        <v>0</v>
      </c>
      <c r="E136">
        <v>36</v>
      </c>
      <c r="F136">
        <v>0</v>
      </c>
      <c r="G136">
        <v>0</v>
      </c>
      <c r="H136">
        <v>0</v>
      </c>
      <c r="I136">
        <v>0</v>
      </c>
      <c r="J136">
        <v>0</v>
      </c>
      <c r="L136">
        <v>0</v>
      </c>
      <c r="M136">
        <v>0</v>
      </c>
      <c r="N136">
        <v>2.7777777777777776E-2</v>
      </c>
      <c r="O136">
        <v>0</v>
      </c>
      <c r="P136">
        <v>0</v>
      </c>
      <c r="Q136">
        <v>0</v>
      </c>
      <c r="R136">
        <v>0</v>
      </c>
      <c r="S136">
        <v>0</v>
      </c>
      <c r="U136" t="s">
        <v>4</v>
      </c>
      <c r="V136">
        <v>6.3591666666666671E-2</v>
      </c>
      <c r="BB136" s="5"/>
    </row>
    <row r="137" spans="1:54">
      <c r="A137" s="4">
        <v>-8.4300000000000264E-2</v>
      </c>
      <c r="C137">
        <v>0</v>
      </c>
      <c r="D137">
        <v>0</v>
      </c>
      <c r="E137">
        <v>0</v>
      </c>
      <c r="F137">
        <v>36</v>
      </c>
      <c r="G137">
        <v>0</v>
      </c>
      <c r="H137">
        <v>0</v>
      </c>
      <c r="I137">
        <v>0</v>
      </c>
      <c r="J137">
        <v>0</v>
      </c>
      <c r="L137">
        <v>0</v>
      </c>
      <c r="M137">
        <v>0</v>
      </c>
      <c r="N137">
        <v>0</v>
      </c>
      <c r="O137">
        <v>2.7777777777777776E-2</v>
      </c>
      <c r="P137">
        <v>0</v>
      </c>
      <c r="Q137">
        <v>0</v>
      </c>
      <c r="R137">
        <v>0</v>
      </c>
      <c r="S137">
        <v>0</v>
      </c>
      <c r="U137" t="s">
        <v>5</v>
      </c>
      <c r="V137">
        <v>-2.3416666666666737E-3</v>
      </c>
      <c r="BB137" s="5"/>
    </row>
    <row r="138" spans="1:54">
      <c r="A138" s="4">
        <v>-0.10060000000000019</v>
      </c>
      <c r="C138">
        <v>0</v>
      </c>
      <c r="D138">
        <v>0</v>
      </c>
      <c r="E138">
        <v>0</v>
      </c>
      <c r="F138">
        <v>0</v>
      </c>
      <c r="G138">
        <v>24</v>
      </c>
      <c r="H138">
        <v>0</v>
      </c>
      <c r="I138">
        <v>0</v>
      </c>
      <c r="J138">
        <v>0</v>
      </c>
      <c r="L138">
        <v>0</v>
      </c>
      <c r="M138">
        <v>0</v>
      </c>
      <c r="N138">
        <v>0</v>
      </c>
      <c r="O138">
        <v>0</v>
      </c>
      <c r="P138">
        <v>4.1666666666666664E-2</v>
      </c>
      <c r="Q138">
        <v>0</v>
      </c>
      <c r="R138">
        <v>0</v>
      </c>
      <c r="S138">
        <v>0</v>
      </c>
      <c r="U138" t="s">
        <v>27</v>
      </c>
      <c r="V138">
        <v>-4.1916666666666743E-3</v>
      </c>
      <c r="BB138" s="5"/>
    </row>
    <row r="139" spans="1:54">
      <c r="A139" s="4">
        <v>-0.57369999999999988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24</v>
      </c>
      <c r="I139">
        <v>0</v>
      </c>
      <c r="J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4.1666666666666664E-2</v>
      </c>
      <c r="R139">
        <v>0</v>
      </c>
      <c r="S139">
        <v>0</v>
      </c>
      <c r="U139" t="s">
        <v>28</v>
      </c>
      <c r="V139">
        <v>-2.390416666666666E-2</v>
      </c>
      <c r="BB139" s="5"/>
    </row>
    <row r="140" spans="1:54">
      <c r="A140" s="4">
        <v>0.27350000000000008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24</v>
      </c>
      <c r="J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4.1666666666666664E-2</v>
      </c>
      <c r="S140">
        <v>0</v>
      </c>
      <c r="U140" t="s">
        <v>29</v>
      </c>
      <c r="V140">
        <v>1.1395833333333336E-2</v>
      </c>
      <c r="BB140" s="5"/>
    </row>
    <row r="141" spans="1:54">
      <c r="A141" s="4">
        <v>-0.54190000000000016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16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6.25E-2</v>
      </c>
      <c r="U141" t="s">
        <v>30</v>
      </c>
      <c r="V141">
        <v>-3.386875000000001E-2</v>
      </c>
      <c r="BB141" s="5"/>
    </row>
    <row r="142" spans="1:54">
      <c r="A142" s="4"/>
      <c r="BB142" s="5"/>
    </row>
    <row r="143" spans="1:54">
      <c r="A143" s="4" t="s">
        <v>35</v>
      </c>
      <c r="BB143" s="5"/>
    </row>
    <row r="144" spans="1:54" ht="15" thickBot="1">
      <c r="A144" s="4"/>
      <c r="BB144" s="5"/>
    </row>
    <row r="145" spans="1:54">
      <c r="A145" s="18" t="s">
        <v>36</v>
      </c>
      <c r="B145" s="12"/>
      <c r="BB145" s="5"/>
    </row>
    <row r="146" spans="1:54">
      <c r="A146" s="4" t="s">
        <v>37</v>
      </c>
      <c r="B146">
        <v>0.46160226928483822</v>
      </c>
      <c r="BB146" s="5"/>
    </row>
    <row r="147" spans="1:54">
      <c r="A147" s="4" t="s">
        <v>38</v>
      </c>
      <c r="B147">
        <v>0.21307665500891229</v>
      </c>
      <c r="BB147" s="5"/>
    </row>
    <row r="148" spans="1:54">
      <c r="A148" s="4" t="s">
        <v>39</v>
      </c>
      <c r="B148">
        <v>9.332745033635545E-2</v>
      </c>
      <c r="BB148" s="5"/>
    </row>
    <row r="149" spans="1:54">
      <c r="A149" s="4" t="s">
        <v>40</v>
      </c>
      <c r="B149">
        <v>0.13783393111613826</v>
      </c>
      <c r="BB149" s="5"/>
    </row>
    <row r="150" spans="1:54" ht="15" thickBot="1">
      <c r="A150" s="6" t="s">
        <v>41</v>
      </c>
      <c r="B150" s="7">
        <v>54</v>
      </c>
      <c r="BB150" s="5"/>
    </row>
    <row r="151" spans="1:54">
      <c r="A151" s="4"/>
      <c r="BB151" s="5"/>
    </row>
    <row r="152" spans="1:54" ht="15" thickBot="1">
      <c r="A152" s="4" t="s">
        <v>42</v>
      </c>
      <c r="BB152" s="5"/>
    </row>
    <row r="153" spans="1:54">
      <c r="A153" s="19"/>
      <c r="B153" s="11" t="s">
        <v>47</v>
      </c>
      <c r="C153" s="11" t="s">
        <v>48</v>
      </c>
      <c r="D153" s="11" t="s">
        <v>49</v>
      </c>
      <c r="E153" s="11" t="s">
        <v>50</v>
      </c>
      <c r="F153" s="11" t="s">
        <v>51</v>
      </c>
      <c r="BB153" s="5"/>
    </row>
    <row r="154" spans="1:54">
      <c r="A154" s="4" t="s">
        <v>43</v>
      </c>
      <c r="B154">
        <v>7</v>
      </c>
      <c r="C154">
        <v>0.23663204562499984</v>
      </c>
      <c r="D154">
        <v>3.3804577946428549E-2</v>
      </c>
      <c r="E154">
        <v>1.7793575797981356</v>
      </c>
      <c r="F154">
        <v>0.11448364498989114</v>
      </c>
      <c r="BB154" s="5"/>
    </row>
    <row r="155" spans="1:54">
      <c r="A155" s="4" t="s">
        <v>44</v>
      </c>
      <c r="B155">
        <v>46</v>
      </c>
      <c r="C155">
        <v>0.8739168580787039</v>
      </c>
      <c r="D155">
        <v>1.8998192566928345E-2</v>
      </c>
      <c r="BB155" s="5"/>
    </row>
    <row r="156" spans="1:54" ht="15" thickBot="1">
      <c r="A156" s="6" t="s">
        <v>45</v>
      </c>
      <c r="B156" s="7">
        <v>53</v>
      </c>
      <c r="C156" s="7">
        <v>1.1105489037037037</v>
      </c>
      <c r="D156" s="7"/>
      <c r="E156" s="7"/>
      <c r="F156" s="7"/>
      <c r="BB156" s="5"/>
    </row>
    <row r="157" spans="1:54" ht="15" thickBot="1">
      <c r="A157" s="4"/>
      <c r="BB157" s="5"/>
    </row>
    <row r="158" spans="1:54">
      <c r="A158" s="19"/>
      <c r="B158" s="11" t="s">
        <v>52</v>
      </c>
      <c r="C158" s="11" t="s">
        <v>40</v>
      </c>
      <c r="D158" s="11" t="s">
        <v>53</v>
      </c>
      <c r="E158" s="11" t="s">
        <v>54</v>
      </c>
      <c r="F158" s="11" t="s">
        <v>55</v>
      </c>
      <c r="G158" s="11" t="s">
        <v>56</v>
      </c>
      <c r="H158" s="11" t="s">
        <v>57</v>
      </c>
      <c r="I158" s="11" t="s">
        <v>58</v>
      </c>
      <c r="BB158" s="5"/>
    </row>
    <row r="159" spans="1:54">
      <c r="A159" s="4" t="s">
        <v>46</v>
      </c>
      <c r="B159">
        <v>0.5663259259259259</v>
      </c>
      <c r="C159">
        <v>1.8756822248692431E-2</v>
      </c>
      <c r="D159">
        <v>30.193063538009774</v>
      </c>
      <c r="E159" s="16">
        <v>5.680810692800902E-32</v>
      </c>
      <c r="F159">
        <v>0.52857040097181884</v>
      </c>
      <c r="G159">
        <v>0.60408145088003296</v>
      </c>
      <c r="H159">
        <v>0.52857040097181884</v>
      </c>
      <c r="I159">
        <v>0.60408145088003296</v>
      </c>
      <c r="BB159" s="5"/>
    </row>
    <row r="160" spans="1:54">
      <c r="A160" s="4" t="s">
        <v>3</v>
      </c>
      <c r="B160">
        <v>3.917499999999996E-2</v>
      </c>
      <c r="C160">
        <v>2.2972321852689704E-2</v>
      </c>
      <c r="D160">
        <v>1.7053130393701659</v>
      </c>
      <c r="E160" s="14">
        <v>9.4881332480344222E-2</v>
      </c>
      <c r="F160">
        <v>-7.0658855542397869E-3</v>
      </c>
      <c r="G160">
        <v>8.5415885554239707E-2</v>
      </c>
      <c r="H160">
        <v>-7.0658855542397869E-3</v>
      </c>
      <c r="I160">
        <v>8.5415885554239707E-2</v>
      </c>
      <c r="J160" t="str">
        <f t="shared" ref="J160:J166" si="8">IF(E160&lt;$B$7,"Patrí","Nepatrí")</f>
        <v>Nepatrí</v>
      </c>
      <c r="BB160" s="5"/>
    </row>
    <row r="161" spans="1:55">
      <c r="A161" s="4" t="s">
        <v>4</v>
      </c>
      <c r="B161">
        <v>6.3591666666666713E-2</v>
      </c>
      <c r="C161">
        <v>2.2972321852689711E-2</v>
      </c>
      <c r="D161">
        <v>2.7681863015174972</v>
      </c>
      <c r="E161" s="13">
        <v>8.0963542340119054E-3</v>
      </c>
      <c r="F161">
        <v>1.7350781112426952E-2</v>
      </c>
      <c r="G161">
        <v>0.10983255222090647</v>
      </c>
      <c r="H161">
        <v>1.7350781112426952E-2</v>
      </c>
      <c r="I161">
        <v>0.10983255222090647</v>
      </c>
      <c r="J161" t="str">
        <f t="shared" si="8"/>
        <v>Patrí</v>
      </c>
      <c r="BB161" s="5"/>
    </row>
    <row r="162" spans="1:55">
      <c r="A162" s="4" t="s">
        <v>5</v>
      </c>
      <c r="B162">
        <v>-2.3416666666666525E-3</v>
      </c>
      <c r="C162">
        <v>2.2972321852689704E-2</v>
      </c>
      <c r="D162">
        <v>-0.10193426165986262</v>
      </c>
      <c r="E162" s="14">
        <v>0.91925190557175818</v>
      </c>
      <c r="F162">
        <v>-4.8582552220906398E-2</v>
      </c>
      <c r="G162">
        <v>4.3899218887573095E-2</v>
      </c>
      <c r="H162">
        <v>-4.8582552220906398E-2</v>
      </c>
      <c r="I162">
        <v>4.3899218887573095E-2</v>
      </c>
      <c r="J162" t="str">
        <f t="shared" si="8"/>
        <v>Nepatrí</v>
      </c>
      <c r="BB162" s="5"/>
    </row>
    <row r="163" spans="1:55">
      <c r="A163" s="4" t="s">
        <v>27</v>
      </c>
      <c r="B163">
        <v>-4.1916666666666404E-3</v>
      </c>
      <c r="C163">
        <v>2.8135233373038655E-2</v>
      </c>
      <c r="D163">
        <v>-0.14898282914843058</v>
      </c>
      <c r="E163" s="14">
        <v>0.88221842231763292</v>
      </c>
      <c r="F163">
        <v>-6.0824954097827219E-2</v>
      </c>
      <c r="G163">
        <v>5.2441620764493935E-2</v>
      </c>
      <c r="H163">
        <v>-6.0824954097827219E-2</v>
      </c>
      <c r="I163">
        <v>5.2441620764493935E-2</v>
      </c>
      <c r="J163" t="str">
        <f t="shared" si="8"/>
        <v>Nepatrí</v>
      </c>
      <c r="BB163" s="5"/>
    </row>
    <row r="164" spans="1:55">
      <c r="A164" s="4" t="s">
        <v>28</v>
      </c>
      <c r="B164">
        <v>-2.3904166666666636E-2</v>
      </c>
      <c r="C164">
        <v>2.8135233373038644E-2</v>
      </c>
      <c r="D164">
        <v>-0.84961679008404656</v>
      </c>
      <c r="E164" s="14">
        <v>0.39993853221730569</v>
      </c>
      <c r="F164">
        <v>-8.0537454097827199E-2</v>
      </c>
      <c r="G164">
        <v>3.272912076449392E-2</v>
      </c>
      <c r="H164">
        <v>-8.0537454097827199E-2</v>
      </c>
      <c r="I164">
        <v>3.272912076449392E-2</v>
      </c>
      <c r="J164" t="str">
        <f t="shared" si="8"/>
        <v>Nepatrí</v>
      </c>
      <c r="BB164" s="5"/>
    </row>
    <row r="165" spans="1:55">
      <c r="A165" s="4" t="s">
        <v>29</v>
      </c>
      <c r="B165">
        <v>1.139583333333332E-2</v>
      </c>
      <c r="C165">
        <v>2.8135233373038655E-2</v>
      </c>
      <c r="D165">
        <v>0.4050378108558248</v>
      </c>
      <c r="E165" s="14">
        <v>0.68732724859908978</v>
      </c>
      <c r="F165">
        <v>-4.5237454097827257E-2</v>
      </c>
      <c r="G165">
        <v>6.8029120764493897E-2</v>
      </c>
      <c r="H165">
        <v>-4.5237454097827257E-2</v>
      </c>
      <c r="I165">
        <v>6.8029120764493897E-2</v>
      </c>
      <c r="J165" t="str">
        <f t="shared" si="8"/>
        <v>Nepatrí</v>
      </c>
      <c r="BB165" s="5"/>
    </row>
    <row r="166" spans="1:55" ht="15" thickBot="1">
      <c r="A166" s="6" t="s">
        <v>30</v>
      </c>
      <c r="B166" s="7">
        <v>-3.3868749999999982E-2</v>
      </c>
      <c r="C166" s="7">
        <v>3.4458482779034565E-2</v>
      </c>
      <c r="D166" s="7">
        <v>-0.98288570095159877</v>
      </c>
      <c r="E166" s="15">
        <v>0.33080527676031402</v>
      </c>
      <c r="F166" s="7">
        <v>-0.10323007833135964</v>
      </c>
      <c r="G166" s="7">
        <v>3.5492578331359666E-2</v>
      </c>
      <c r="H166" s="7">
        <v>-0.10323007833135964</v>
      </c>
      <c r="I166" s="7">
        <v>3.5492578331359666E-2</v>
      </c>
      <c r="J166" s="7" t="str">
        <f t="shared" si="8"/>
        <v>Nepatrí</v>
      </c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8"/>
    </row>
    <row r="167" spans="1:55" ht="15" thickBot="1"/>
    <row r="168" spans="1:55" ht="15">
      <c r="A168" s="9" t="s">
        <v>71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3"/>
    </row>
    <row r="169" spans="1:55">
      <c r="A169" s="4" t="s">
        <v>24</v>
      </c>
      <c r="B169">
        <v>0.05</v>
      </c>
      <c r="BC169" s="5"/>
    </row>
    <row r="170" spans="1:55">
      <c r="A170" s="4" t="s">
        <v>47</v>
      </c>
      <c r="B170">
        <f>B155</f>
        <v>46</v>
      </c>
      <c r="BC170" s="5"/>
    </row>
    <row r="171" spans="1:55">
      <c r="A171" s="4" t="s">
        <v>72</v>
      </c>
      <c r="B171">
        <f>_xlfn.T.INV(1-B169/2,B170)</f>
        <v>2.0128955989194299</v>
      </c>
      <c r="BC171" s="5"/>
    </row>
    <row r="172" spans="1:55" ht="15">
      <c r="A172" s="4" t="s">
        <v>73</v>
      </c>
      <c r="B172" s="20" t="s">
        <v>75</v>
      </c>
      <c r="C172">
        <f>-B171</f>
        <v>-2.0128955989194299</v>
      </c>
      <c r="D172" t="s">
        <v>76</v>
      </c>
      <c r="E172" s="21" t="s">
        <v>77</v>
      </c>
      <c r="F172" s="20" t="s">
        <v>74</v>
      </c>
      <c r="G172">
        <f>B171</f>
        <v>2.0128955989194299</v>
      </c>
      <c r="H172" t="s">
        <v>79</v>
      </c>
      <c r="BC172" s="5"/>
    </row>
    <row r="173" spans="1:55">
      <c r="A173" s="4"/>
      <c r="BC173" s="5"/>
    </row>
    <row r="174" spans="1:55">
      <c r="A174" s="4"/>
      <c r="BC174" s="5"/>
    </row>
    <row r="175" spans="1:55" ht="15">
      <c r="A175" s="4" t="s">
        <v>80</v>
      </c>
      <c r="G175" t="s">
        <v>81</v>
      </c>
      <c r="M175" t="s">
        <v>82</v>
      </c>
      <c r="S175" t="s">
        <v>83</v>
      </c>
      <c r="Y175" t="s">
        <v>84</v>
      </c>
      <c r="AE175" t="s">
        <v>85</v>
      </c>
      <c r="AK175" t="s">
        <v>86</v>
      </c>
      <c r="AP175" s="10" t="s">
        <v>327</v>
      </c>
      <c r="BC175" s="5"/>
    </row>
    <row r="176" spans="1:55">
      <c r="A176" s="4" t="s">
        <v>61</v>
      </c>
      <c r="B176">
        <f>D160</f>
        <v>1.7053130393701659</v>
      </c>
      <c r="G176" t="s">
        <v>61</v>
      </c>
      <c r="H176">
        <f>D161</f>
        <v>2.7681863015174972</v>
      </c>
      <c r="M176" t="s">
        <v>61</v>
      </c>
      <c r="N176">
        <f>D162</f>
        <v>-0.10193426165986262</v>
      </c>
      <c r="S176" t="s">
        <v>61</v>
      </c>
      <c r="T176">
        <f>D163</f>
        <v>-0.14898282914843058</v>
      </c>
      <c r="Y176" t="s">
        <v>61</v>
      </c>
      <c r="Z176">
        <f>D164</f>
        <v>-0.84961679008404656</v>
      </c>
      <c r="AE176" t="s">
        <v>61</v>
      </c>
      <c r="AF176">
        <f>D165</f>
        <v>0.4050378108558248</v>
      </c>
      <c r="AK176" t="s">
        <v>61</v>
      </c>
      <c r="AL176">
        <f>D166</f>
        <v>-0.98288570095159877</v>
      </c>
      <c r="AP176" t="s">
        <v>328</v>
      </c>
      <c r="BC176" s="5"/>
    </row>
    <row r="177" spans="1:55">
      <c r="A177" s="22" t="str">
        <f>A176</f>
        <v>t0</v>
      </c>
      <c r="B177" t="str">
        <f>IF(AND(B176&gt;$C$172,B176&lt;$G$172),"∉","∈")</f>
        <v>∉</v>
      </c>
      <c r="C177" s="23" t="s">
        <v>73</v>
      </c>
      <c r="G177" s="23" t="str">
        <f>G176</f>
        <v>t0</v>
      </c>
      <c r="H177" t="str">
        <f>IF(AND(H176&gt;$C$172,H176&lt;$G$172),"∉","∈")</f>
        <v>∈</v>
      </c>
      <c r="I177" s="23" t="s">
        <v>73</v>
      </c>
      <c r="M177" t="s">
        <v>61</v>
      </c>
      <c r="N177" t="str">
        <f>IF(AND(N176&gt;$C$172,N176&lt;$G$172),"∉","∈")</f>
        <v>∉</v>
      </c>
      <c r="O177" s="23" t="s">
        <v>73</v>
      </c>
      <c r="S177" t="s">
        <v>61</v>
      </c>
      <c r="T177" t="str">
        <f>IF(AND(T176&gt;$C$172,T176&lt;$G$172),"∉","∈")</f>
        <v>∉</v>
      </c>
      <c r="U177" s="23" t="s">
        <v>73</v>
      </c>
      <c r="Y177" t="s">
        <v>61</v>
      </c>
      <c r="Z177" t="str">
        <f>IF(AND(Z176&gt;$C$172,Z176&lt;$G$172),"∉","∈")</f>
        <v>∉</v>
      </c>
      <c r="AA177" s="23" t="s">
        <v>73</v>
      </c>
      <c r="AE177" t="s">
        <v>61</v>
      </c>
      <c r="AF177" t="str">
        <f>IF(AND(AF176&gt;$C$172,AF176&lt;$G$172),"∉","∈")</f>
        <v>∉</v>
      </c>
      <c r="AG177" s="23" t="s">
        <v>73</v>
      </c>
      <c r="AK177" t="s">
        <v>61</v>
      </c>
      <c r="AL177" t="str">
        <f>IF(AND(AL176&gt;$C$172,AL176&lt;$G$172),"∉","∈")</f>
        <v>∉</v>
      </c>
      <c r="AM177" s="23" t="s">
        <v>73</v>
      </c>
      <c r="AP177" t="s">
        <v>329</v>
      </c>
      <c r="BC177" s="5"/>
    </row>
    <row r="178" spans="1:55">
      <c r="A178" s="4" t="s">
        <v>87</v>
      </c>
      <c r="B178" t="s">
        <v>88</v>
      </c>
      <c r="C178" t="str">
        <f>IF(AND(B176&gt;$C$172,B176&lt;$G$172),"nezamietam","zamietam")</f>
        <v>nezamietam</v>
      </c>
      <c r="G178" t="s">
        <v>87</v>
      </c>
      <c r="H178" t="s">
        <v>88</v>
      </c>
      <c r="I178" t="str">
        <f>IF(AND(H176&gt;$C$172,H176&lt;$G$172),"nezamietam","zamietam")</f>
        <v>zamietam</v>
      </c>
      <c r="M178" t="s">
        <v>87</v>
      </c>
      <c r="N178" t="s">
        <v>88</v>
      </c>
      <c r="O178" t="str">
        <f>IF(AND(N176&gt;$C$172,N176&lt;$G$172),"nezamietam","zamietam")</f>
        <v>nezamietam</v>
      </c>
      <c r="S178" t="s">
        <v>87</v>
      </c>
      <c r="T178" t="s">
        <v>88</v>
      </c>
      <c r="U178" t="str">
        <f>IF(AND(T176&gt;$C$172,T176&lt;$G$172),"nezamietam","zamietam")</f>
        <v>nezamietam</v>
      </c>
      <c r="Y178" t="s">
        <v>87</v>
      </c>
      <c r="Z178" t="s">
        <v>88</v>
      </c>
      <c r="AA178" t="str">
        <f>IF(AND(Z176&gt;$C$172,Z176&lt;$G$172),"nezamietam","zamietam")</f>
        <v>nezamietam</v>
      </c>
      <c r="AE178" t="s">
        <v>87</v>
      </c>
      <c r="AF178" t="s">
        <v>88</v>
      </c>
      <c r="AG178" t="str">
        <f>IF(AND(AF176&gt;$C$172,AF176&lt;$G$172),"nezamietam","zamietam")</f>
        <v>nezamietam</v>
      </c>
      <c r="AK178" t="s">
        <v>87</v>
      </c>
      <c r="AL178" t="s">
        <v>88</v>
      </c>
      <c r="AM178" t="str">
        <f>IF(AND(AL176&gt;$C$172,AL176&lt;$G$172),"nezamietam","zamietam")</f>
        <v>nezamietam</v>
      </c>
      <c r="AP178" t="s">
        <v>330</v>
      </c>
      <c r="BC178" s="5"/>
    </row>
    <row r="179" spans="1:55">
      <c r="A179" s="4"/>
      <c r="B179" t="s">
        <v>89</v>
      </c>
      <c r="C179" t="str">
        <f>IF(AND(B176&gt;$C$172,B176&lt;$G$172),"zamietam","nezamietam")</f>
        <v>zamietam</v>
      </c>
      <c r="H179" t="s">
        <v>89</v>
      </c>
      <c r="I179" t="str">
        <f>IF(AND(H176&gt;$C$172,H176&lt;$G$172),"zamietam","nezamietam")</f>
        <v>nezamietam</v>
      </c>
      <c r="N179" t="s">
        <v>89</v>
      </c>
      <c r="O179" t="str">
        <f>IF(AND(N176&gt;$C$172,N176&lt;$G$172),"zamietam","nezamietam")</f>
        <v>zamietam</v>
      </c>
      <c r="T179" t="s">
        <v>89</v>
      </c>
      <c r="U179" t="str">
        <f>IF(AND(T176&gt;$C$172,T176&lt;$G$172),"zamietam","nezamietam")</f>
        <v>zamietam</v>
      </c>
      <c r="Z179" t="s">
        <v>89</v>
      </c>
      <c r="AA179" t="str">
        <f>IF(AND(Z176&gt;$C$172,Z176&lt;$G$172),"zamietam","nezamietam")</f>
        <v>zamietam</v>
      </c>
      <c r="AF179" t="s">
        <v>89</v>
      </c>
      <c r="AG179" t="str">
        <f>IF(AND(AF176&gt;$C$172,AF176&lt;$G$172),"zamietam","nezamietam")</f>
        <v>zamietam</v>
      </c>
      <c r="AL179" t="s">
        <v>89</v>
      </c>
      <c r="AM179" t="str">
        <f>IF(AND(AL176&gt;$C$172,AL176&lt;$G$172),"zamietam","nezamietam")</f>
        <v>zamietam</v>
      </c>
      <c r="BC179" s="5"/>
    </row>
    <row r="180" spans="1:55">
      <c r="A180" s="4"/>
      <c r="BC180" s="5"/>
    </row>
    <row r="181" spans="1:55">
      <c r="A181" s="4" t="s">
        <v>90</v>
      </c>
      <c r="B181">
        <f>E160</f>
        <v>9.4881332480344222E-2</v>
      </c>
      <c r="C181">
        <f>2*(1-_xlfn.T.DIST(B176,46,TRUE))</f>
        <v>9.4881332480344138E-2</v>
      </c>
      <c r="G181" t="s">
        <v>90</v>
      </c>
      <c r="H181">
        <f>E161</f>
        <v>8.0963542340119054E-3</v>
      </c>
      <c r="I181">
        <f>2*(1-_xlfn.T.DIST(H176,46,TRUE))</f>
        <v>8.0963542340120043E-3</v>
      </c>
      <c r="M181" t="s">
        <v>90</v>
      </c>
      <c r="N181">
        <f>E162</f>
        <v>0.91925190557175818</v>
      </c>
      <c r="O181">
        <f>2*(_xlfn.T.DIST(N176,46,TRUE))</f>
        <v>0.91925190557175818</v>
      </c>
      <c r="S181" t="s">
        <v>90</v>
      </c>
      <c r="T181">
        <f>E163</f>
        <v>0.88221842231763292</v>
      </c>
      <c r="U181">
        <f>2*(_xlfn.T.DIST(T176,46,TRUE))</f>
        <v>0.88221842231763292</v>
      </c>
      <c r="Y181" t="s">
        <v>90</v>
      </c>
      <c r="Z181">
        <f>E164</f>
        <v>0.39993853221730569</v>
      </c>
      <c r="AA181">
        <f>2*(_xlfn.T.DIST(Z176,46,TRUE))</f>
        <v>0.39993853221730569</v>
      </c>
      <c r="AE181" t="s">
        <v>90</v>
      </c>
      <c r="AF181">
        <f>E165</f>
        <v>0.68732724859908978</v>
      </c>
      <c r="AG181">
        <f>2*(1-_xlfn.T.DIST(AF176,46,TRUE))</f>
        <v>0.68732724859908978</v>
      </c>
      <c r="AK181" t="s">
        <v>90</v>
      </c>
      <c r="AL181">
        <f>E166</f>
        <v>0.33080527676031402</v>
      </c>
      <c r="AM181">
        <f>2*(_xlfn.T.DIST(AL176,46,TRUE))</f>
        <v>0.33080527676031402</v>
      </c>
      <c r="BC181" s="5"/>
    </row>
    <row r="182" spans="1:55">
      <c r="A182" s="4" t="s">
        <v>87</v>
      </c>
      <c r="B182" t="s">
        <v>88</v>
      </c>
      <c r="C182" t="str">
        <f>IF(B181&gt;$B$169,"nezamietam","zamietam")</f>
        <v>nezamietam</v>
      </c>
      <c r="G182" t="s">
        <v>87</v>
      </c>
      <c r="H182" t="s">
        <v>88</v>
      </c>
      <c r="I182" t="str">
        <f>IF(H181&gt;$B$169,"nezamietam","zamietam")</f>
        <v>zamietam</v>
      </c>
      <c r="M182" t="s">
        <v>87</v>
      </c>
      <c r="N182" t="s">
        <v>88</v>
      </c>
      <c r="O182" t="str">
        <f>IF(N181&gt;$B$169,"nezamietam","zamietam")</f>
        <v>nezamietam</v>
      </c>
      <c r="S182" t="s">
        <v>87</v>
      </c>
      <c r="T182" t="s">
        <v>88</v>
      </c>
      <c r="U182" t="str">
        <f>IF(T181&gt;$B$169,"nezamietam","zamietam")</f>
        <v>nezamietam</v>
      </c>
      <c r="Y182" t="s">
        <v>87</v>
      </c>
      <c r="Z182" t="s">
        <v>88</v>
      </c>
      <c r="AA182" t="str">
        <f>IF(Z181&gt;$B$169,"nezamietam","zamietam")</f>
        <v>nezamietam</v>
      </c>
      <c r="AE182" t="s">
        <v>87</v>
      </c>
      <c r="AF182" t="s">
        <v>88</v>
      </c>
      <c r="AG182" t="str">
        <f>IF(AF181&gt;$B$169,"nezamietam","zamietam")</f>
        <v>nezamietam</v>
      </c>
      <c r="AK182" t="s">
        <v>87</v>
      </c>
      <c r="AL182" t="s">
        <v>88</v>
      </c>
      <c r="AM182" t="str">
        <f>IF(AL181&gt;$B$169,"nezamietam","zamietam")</f>
        <v>nezamietam</v>
      </c>
      <c r="BC182" s="5"/>
    </row>
    <row r="183" spans="1:55">
      <c r="A183" s="4"/>
      <c r="B183" t="s">
        <v>89</v>
      </c>
      <c r="C183" t="str">
        <f>IF(B181&lt;$B$169,"nezamietam","zamietam")</f>
        <v>zamietam</v>
      </c>
      <c r="H183" t="s">
        <v>89</v>
      </c>
      <c r="I183" t="str">
        <f>IF(H181&lt;$B$169,"nezamietam","zamietam")</f>
        <v>nezamietam</v>
      </c>
      <c r="N183" t="s">
        <v>89</v>
      </c>
      <c r="O183" t="str">
        <f>IF(N181&lt;$B$169,"nezamietam","zamietam")</f>
        <v>zamietam</v>
      </c>
      <c r="T183" t="s">
        <v>89</v>
      </c>
      <c r="U183" t="str">
        <f>IF(T181&lt;$B$169,"nezamietam","zamietam")</f>
        <v>zamietam</v>
      </c>
      <c r="Z183" t="s">
        <v>89</v>
      </c>
      <c r="AA183" t="str">
        <f>IF(Z181&lt;$B$169,"nezamietam","zamietam")</f>
        <v>zamietam</v>
      </c>
      <c r="AF183" t="s">
        <v>89</v>
      </c>
      <c r="AG183" t="str">
        <f>IF(AF181&lt;$B$169,"nezamietam","zamietam")</f>
        <v>zamietam</v>
      </c>
      <c r="AL183" t="s">
        <v>89</v>
      </c>
      <c r="AM183" t="str">
        <f>IF(AL181&lt;$B$169,"nezamietam","zamietam")</f>
        <v>zamietam</v>
      </c>
      <c r="BC183" s="5"/>
    </row>
    <row r="184" spans="1:55">
      <c r="A184" s="4"/>
      <c r="BC184" s="5"/>
    </row>
    <row r="185" spans="1:55">
      <c r="A185" s="24" t="s">
        <v>91</v>
      </c>
      <c r="G185" s="40" t="s">
        <v>91</v>
      </c>
      <c r="M185" s="40" t="s">
        <v>91</v>
      </c>
      <c r="S185" s="40" t="s">
        <v>91</v>
      </c>
      <c r="Y185" s="40" t="s">
        <v>91</v>
      </c>
      <c r="AE185" s="40" t="s">
        <v>91</v>
      </c>
      <c r="AK185" s="40" t="s">
        <v>91</v>
      </c>
      <c r="BC185" s="5"/>
    </row>
    <row r="186" spans="1:55">
      <c r="A186" s="25" t="s">
        <v>74</v>
      </c>
      <c r="B186">
        <f>F160</f>
        <v>-7.0658855542397869E-3</v>
      </c>
      <c r="C186" t="s">
        <v>78</v>
      </c>
      <c r="D186">
        <f>G160</f>
        <v>8.5415885554239707E-2</v>
      </c>
      <c r="E186" t="s">
        <v>76</v>
      </c>
      <c r="G186" s="20" t="s">
        <v>74</v>
      </c>
      <c r="H186">
        <f>F161</f>
        <v>1.7350781112426952E-2</v>
      </c>
      <c r="I186" t="s">
        <v>78</v>
      </c>
      <c r="J186">
        <f>G161</f>
        <v>0.10983255222090647</v>
      </c>
      <c r="K186" t="s">
        <v>76</v>
      </c>
      <c r="M186" s="20" t="s">
        <v>74</v>
      </c>
      <c r="N186">
        <f>F162</f>
        <v>-4.8582552220906398E-2</v>
      </c>
      <c r="O186" t="s">
        <v>78</v>
      </c>
      <c r="P186">
        <f>G162</f>
        <v>4.3899218887573095E-2</v>
      </c>
      <c r="Q186" t="s">
        <v>76</v>
      </c>
      <c r="S186" s="20" t="s">
        <v>74</v>
      </c>
      <c r="T186">
        <f>F163</f>
        <v>-6.0824954097827219E-2</v>
      </c>
      <c r="U186" t="s">
        <v>78</v>
      </c>
      <c r="V186">
        <f>G163</f>
        <v>5.2441620764493935E-2</v>
      </c>
      <c r="W186" t="s">
        <v>76</v>
      </c>
      <c r="Y186" s="20" t="s">
        <v>74</v>
      </c>
      <c r="Z186">
        <f>F164</f>
        <v>-8.0537454097827199E-2</v>
      </c>
      <c r="AA186" t="s">
        <v>78</v>
      </c>
      <c r="AB186">
        <f>G164</f>
        <v>3.272912076449392E-2</v>
      </c>
      <c r="AC186" t="s">
        <v>76</v>
      </c>
      <c r="AE186" s="20" t="s">
        <v>74</v>
      </c>
      <c r="AF186">
        <f>F165</f>
        <v>-4.5237454097827257E-2</v>
      </c>
      <c r="AG186" t="s">
        <v>78</v>
      </c>
      <c r="AH186">
        <f>G165</f>
        <v>6.8029120764493897E-2</v>
      </c>
      <c r="AI186" t="s">
        <v>76</v>
      </c>
      <c r="AK186" s="20" t="s">
        <v>74</v>
      </c>
      <c r="AL186">
        <f>F166</f>
        <v>-0.10323007833135964</v>
      </c>
      <c r="AM186" t="s">
        <v>78</v>
      </c>
      <c r="AN186">
        <f>G166</f>
        <v>3.5492578331359666E-2</v>
      </c>
      <c r="AO186" t="s">
        <v>76</v>
      </c>
      <c r="BC186" s="5"/>
    </row>
    <row r="187" spans="1:55">
      <c r="A187" s="4" t="s">
        <v>92</v>
      </c>
      <c r="B187" t="str">
        <f>IF(AND(0&gt;B186,0&lt;D186),"∈","∉")</f>
        <v>∈</v>
      </c>
      <c r="C187" t="s">
        <v>91</v>
      </c>
      <c r="G187" t="s">
        <v>93</v>
      </c>
      <c r="H187" t="str">
        <f>IF(AND(0&gt;H186,0&lt;J186),"∈","∉")</f>
        <v>∉</v>
      </c>
      <c r="I187" t="s">
        <v>91</v>
      </c>
      <c r="M187" t="s">
        <v>94</v>
      </c>
      <c r="N187" t="str">
        <f>IF(AND(0&gt;N186,0&lt;P186),"∈","∉")</f>
        <v>∈</v>
      </c>
      <c r="O187" t="s">
        <v>91</v>
      </c>
      <c r="S187" t="s">
        <v>95</v>
      </c>
      <c r="T187" t="str">
        <f>IF(AND(0&gt;T186,0&lt;V186),"∈","∉")</f>
        <v>∈</v>
      </c>
      <c r="U187" t="s">
        <v>91</v>
      </c>
      <c r="Y187" t="s">
        <v>96</v>
      </c>
      <c r="Z187" t="str">
        <f>IF(AND(0&gt;Z186,0&lt;AB186),"∈","∉")</f>
        <v>∈</v>
      </c>
      <c r="AA187" t="s">
        <v>91</v>
      </c>
      <c r="AE187" t="s">
        <v>97</v>
      </c>
      <c r="AF187" t="str">
        <f>IF(AND(0&gt;AF186,0&lt;AH186),"∈","∉")</f>
        <v>∈</v>
      </c>
      <c r="AG187" t="s">
        <v>91</v>
      </c>
      <c r="AK187" t="s">
        <v>98</v>
      </c>
      <c r="AL187" t="str">
        <f>IF(AND(0&gt;AL186,0&lt;AN186),"∈","∉")</f>
        <v>∈</v>
      </c>
      <c r="AM187" t="s">
        <v>91</v>
      </c>
      <c r="BC187" s="5"/>
    </row>
    <row r="188" spans="1:55">
      <c r="A188" s="4" t="s">
        <v>87</v>
      </c>
      <c r="B188" t="s">
        <v>88</v>
      </c>
      <c r="C188" t="str">
        <f>IF(AND(0&gt;B186,0&lt;D186),"nezamietam","zamietam")</f>
        <v>nezamietam</v>
      </c>
      <c r="G188" t="s">
        <v>87</v>
      </c>
      <c r="H188" t="s">
        <v>88</v>
      </c>
      <c r="I188" t="str">
        <f>IF(AND(0&gt;H186,0&lt;J186),"nezamietam","zamietam")</f>
        <v>zamietam</v>
      </c>
      <c r="M188" t="s">
        <v>87</v>
      </c>
      <c r="N188" t="s">
        <v>88</v>
      </c>
      <c r="O188" t="str">
        <f>IF(AND(0&gt;N186,0&lt;P186),"nezamietam","zamietam")</f>
        <v>nezamietam</v>
      </c>
      <c r="S188" t="s">
        <v>87</v>
      </c>
      <c r="T188" t="s">
        <v>88</v>
      </c>
      <c r="U188" t="str">
        <f>IF(AND(0&gt;T186,0&lt;V186),"nezamietam","zamietam")</f>
        <v>nezamietam</v>
      </c>
      <c r="Y188" t="s">
        <v>87</v>
      </c>
      <c r="Z188" t="s">
        <v>88</v>
      </c>
      <c r="AA188" t="str">
        <f>IF(AND(0&gt;Z186,0&lt;AB186),"nezamietam","zamietam")</f>
        <v>nezamietam</v>
      </c>
      <c r="AE188" t="s">
        <v>87</v>
      </c>
      <c r="AF188" t="s">
        <v>88</v>
      </c>
      <c r="AG188" t="str">
        <f>IF(AND(0&gt;AF186,0&lt;AH186),"nezamietam","zamietam")</f>
        <v>nezamietam</v>
      </c>
      <c r="AK188" t="s">
        <v>87</v>
      </c>
      <c r="AL188" t="s">
        <v>88</v>
      </c>
      <c r="AM188" t="str">
        <f>IF(AND(0&gt;AL186,0&lt;AN186),"nezamietam","zamietam")</f>
        <v>nezamietam</v>
      </c>
      <c r="BC188" s="5"/>
    </row>
    <row r="189" spans="1:55" ht="15" thickBot="1">
      <c r="A189" s="6"/>
      <c r="B189" s="7" t="s">
        <v>89</v>
      </c>
      <c r="C189" s="7" t="str">
        <f>IF(AND(0&gt;B186,0&lt;D186),"zamietam","nezamietam")</f>
        <v>zamietam</v>
      </c>
      <c r="D189" s="7"/>
      <c r="E189" s="7"/>
      <c r="F189" s="7"/>
      <c r="G189" s="7"/>
      <c r="H189" s="7" t="s">
        <v>89</v>
      </c>
      <c r="I189" s="7" t="str">
        <f>IF(AND(0&gt;H186,0&lt;J186),"zamietam","nezamietam")</f>
        <v>nezamietam</v>
      </c>
      <c r="J189" s="7"/>
      <c r="K189" s="7"/>
      <c r="L189" s="7"/>
      <c r="M189" s="7"/>
      <c r="N189" s="7" t="s">
        <v>89</v>
      </c>
      <c r="O189" s="7" t="str">
        <f>IF(AND(0&gt;N186,0&lt;P186),"zamietam","nezamietam")</f>
        <v>zamietam</v>
      </c>
      <c r="P189" s="7"/>
      <c r="Q189" s="7"/>
      <c r="R189" s="7"/>
      <c r="S189" s="7"/>
      <c r="T189" s="7" t="s">
        <v>89</v>
      </c>
      <c r="U189" s="7" t="str">
        <f>IF(AND(0&gt;T186,0&lt;V186),"zamietam","nezamietam")</f>
        <v>zamietam</v>
      </c>
      <c r="V189" s="7"/>
      <c r="W189" s="7"/>
      <c r="X189" s="7"/>
      <c r="Y189" s="7"/>
      <c r="Z189" s="7" t="s">
        <v>89</v>
      </c>
      <c r="AA189" s="7" t="str">
        <f>IF(AND(0&gt;Z186,0&lt;AB186),"zamietam","nezamietam")</f>
        <v>zamietam</v>
      </c>
      <c r="AB189" s="7"/>
      <c r="AC189" s="7"/>
      <c r="AD189" s="7"/>
      <c r="AE189" s="7"/>
      <c r="AF189" s="7" t="s">
        <v>89</v>
      </c>
      <c r="AG189" s="7" t="str">
        <f>IF(AND(0&gt;AF186,0&lt;AH186),"zamietam","nezamietam")</f>
        <v>zamietam</v>
      </c>
      <c r="AH189" s="7"/>
      <c r="AI189" s="7"/>
      <c r="AJ189" s="7"/>
      <c r="AK189" s="7"/>
      <c r="AL189" s="7" t="s">
        <v>89</v>
      </c>
      <c r="AM189" s="7" t="str">
        <f>IF(AND(0&gt;AL186,0&lt;AN186),"zamietam","nezamietam")</f>
        <v>zamietam</v>
      </c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8"/>
    </row>
    <row r="190" spans="1:55" ht="15" thickBot="1"/>
    <row r="191" spans="1:55" ht="15">
      <c r="A191" s="9" t="s">
        <v>99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3"/>
    </row>
    <row r="192" spans="1:55">
      <c r="A192" s="4"/>
      <c r="R192" s="5"/>
    </row>
    <row r="193" spans="1:18">
      <c r="R193" s="5"/>
    </row>
    <row r="194" spans="1:18">
      <c r="A194" s="4" t="s">
        <v>1</v>
      </c>
      <c r="B194" t="s">
        <v>25</v>
      </c>
      <c r="R194" s="5"/>
    </row>
    <row r="195" spans="1:18">
      <c r="A195" s="4">
        <v>-1</v>
      </c>
      <c r="B195">
        <v>0.38879999999999998</v>
      </c>
      <c r="D195" t="s">
        <v>35</v>
      </c>
      <c r="R195" s="5"/>
    </row>
    <row r="196" spans="1:18" ht="15" thickBot="1">
      <c r="A196" s="4">
        <v>-1</v>
      </c>
      <c r="B196">
        <v>0.35699999999999998</v>
      </c>
      <c r="R196" s="5"/>
    </row>
    <row r="197" spans="1:18">
      <c r="A197" s="4">
        <v>1</v>
      </c>
      <c r="B197">
        <v>0.42930000000000001</v>
      </c>
      <c r="D197" s="12" t="s">
        <v>36</v>
      </c>
      <c r="E197" s="12"/>
      <c r="M197" s="16"/>
      <c r="N197" s="16"/>
      <c r="O197" s="16"/>
      <c r="P197" s="16"/>
      <c r="Q197" s="16"/>
      <c r="R197" s="5"/>
    </row>
    <row r="198" spans="1:18">
      <c r="A198" s="4">
        <v>1</v>
      </c>
      <c r="B198">
        <v>0.65849999999999997</v>
      </c>
      <c r="D198" t="s">
        <v>37</v>
      </c>
      <c r="E198">
        <v>0.3620617231633152</v>
      </c>
      <c r="R198" s="5"/>
    </row>
    <row r="199" spans="1:18">
      <c r="A199" s="4">
        <v>-1</v>
      </c>
      <c r="B199">
        <v>0.41570000000000001</v>
      </c>
      <c r="D199" t="s">
        <v>38</v>
      </c>
      <c r="E199">
        <v>0.13108869137998908</v>
      </c>
      <c r="R199" s="5"/>
    </row>
    <row r="200" spans="1:18">
      <c r="A200" s="4">
        <v>-1</v>
      </c>
      <c r="B200">
        <v>0.28870000000000001</v>
      </c>
      <c r="D200" t="s">
        <v>39</v>
      </c>
      <c r="E200">
        <v>0.11437885852191194</v>
      </c>
      <c r="R200" s="5"/>
    </row>
    <row r="201" spans="1:18">
      <c r="A201" s="4">
        <v>1</v>
      </c>
      <c r="B201">
        <v>0.60550000000000004</v>
      </c>
      <c r="D201" t="s">
        <v>40</v>
      </c>
      <c r="E201">
        <v>0.13622439782069029</v>
      </c>
      <c r="R201" s="5"/>
    </row>
    <row r="202" spans="1:18" ht="15" thickBot="1">
      <c r="A202" s="4">
        <v>1</v>
      </c>
      <c r="B202">
        <v>0.51329999999999998</v>
      </c>
      <c r="D202" s="7" t="s">
        <v>41</v>
      </c>
      <c r="E202" s="7">
        <v>54</v>
      </c>
      <c r="R202" s="5"/>
    </row>
    <row r="203" spans="1:18">
      <c r="A203" s="4">
        <v>-1</v>
      </c>
      <c r="B203">
        <v>0.51919999999999999</v>
      </c>
      <c r="R203" s="5"/>
    </row>
    <row r="204" spans="1:18" ht="15" thickBot="1">
      <c r="A204" s="4">
        <v>1</v>
      </c>
      <c r="B204">
        <v>0.7077</v>
      </c>
      <c r="D204" t="s">
        <v>42</v>
      </c>
      <c r="R204" s="5"/>
    </row>
    <row r="205" spans="1:18">
      <c r="A205" s="4">
        <v>-1</v>
      </c>
      <c r="B205">
        <v>0.52869999999999995</v>
      </c>
      <c r="D205" s="11"/>
      <c r="E205" s="11" t="s">
        <v>47</v>
      </c>
      <c r="F205" s="11" t="s">
        <v>48</v>
      </c>
      <c r="G205" s="11" t="s">
        <v>49</v>
      </c>
      <c r="H205" s="11" t="s">
        <v>50</v>
      </c>
      <c r="I205" s="11" t="s">
        <v>51</v>
      </c>
      <c r="R205" s="5"/>
    </row>
    <row r="206" spans="1:18">
      <c r="A206" s="4">
        <v>1</v>
      </c>
      <c r="B206">
        <v>0.68589999999999995</v>
      </c>
      <c r="D206" t="s">
        <v>43</v>
      </c>
      <c r="E206">
        <v>1</v>
      </c>
      <c r="F206">
        <v>0.14558040250000004</v>
      </c>
      <c r="G206">
        <v>0.14558040250000004</v>
      </c>
      <c r="H206">
        <v>7.8450031483483063</v>
      </c>
      <c r="I206">
        <v>7.1390534466523334E-3</v>
      </c>
      <c r="R206" s="5"/>
    </row>
    <row r="207" spans="1:18">
      <c r="A207" s="4">
        <v>0</v>
      </c>
      <c r="B207">
        <v>0.54920000000000002</v>
      </c>
      <c r="D207" t="s">
        <v>44</v>
      </c>
      <c r="E207">
        <v>52</v>
      </c>
      <c r="F207">
        <v>0.9649685012037037</v>
      </c>
      <c r="G207">
        <v>1.8557086561609686E-2</v>
      </c>
      <c r="R207" s="5"/>
    </row>
    <row r="208" spans="1:18" ht="15" thickBot="1">
      <c r="A208" s="4">
        <v>0</v>
      </c>
      <c r="B208">
        <v>0.77439999999999998</v>
      </c>
      <c r="D208" s="7" t="s">
        <v>45</v>
      </c>
      <c r="E208" s="7">
        <v>53</v>
      </c>
      <c r="F208" s="7">
        <v>1.1105489037037037</v>
      </c>
      <c r="G208" s="7"/>
      <c r="H208" s="7"/>
      <c r="I208" s="7"/>
      <c r="R208" s="5"/>
    </row>
    <row r="209" spans="1:18" ht="15" thickBot="1">
      <c r="A209" s="4">
        <v>0</v>
      </c>
      <c r="B209">
        <v>0.43309999999999998</v>
      </c>
      <c r="R209" s="5"/>
    </row>
    <row r="210" spans="1:18">
      <c r="A210" s="4">
        <v>0</v>
      </c>
      <c r="B210">
        <v>0.84430000000000005</v>
      </c>
      <c r="D210" s="11"/>
      <c r="E210" s="11" t="s">
        <v>52</v>
      </c>
      <c r="F210" s="11" t="s">
        <v>40</v>
      </c>
      <c r="G210" s="11" t="s">
        <v>53</v>
      </c>
      <c r="H210" s="11" t="s">
        <v>54</v>
      </c>
      <c r="I210" s="11" t="s">
        <v>55</v>
      </c>
      <c r="J210" s="11" t="s">
        <v>56</v>
      </c>
      <c r="K210" s="11" t="s">
        <v>57</v>
      </c>
      <c r="L210" s="11" t="s">
        <v>58</v>
      </c>
      <c r="R210" s="5"/>
    </row>
    <row r="211" spans="1:18">
      <c r="A211" s="4">
        <v>-1</v>
      </c>
      <c r="B211">
        <v>0.2908</v>
      </c>
      <c r="D211" t="s">
        <v>46</v>
      </c>
      <c r="E211">
        <v>0.5663259259259259</v>
      </c>
      <c r="F211">
        <v>1.8537792509921998E-2</v>
      </c>
      <c r="G211">
        <v>30.549803900481184</v>
      </c>
      <c r="H211">
        <v>6.8642379695141223E-35</v>
      </c>
      <c r="I211">
        <v>0.52912712381299443</v>
      </c>
      <c r="J211">
        <v>0.60352472803885737</v>
      </c>
      <c r="K211">
        <v>0.52912712381299443</v>
      </c>
      <c r="L211">
        <v>0.60352472803885737</v>
      </c>
      <c r="R211" s="5"/>
    </row>
    <row r="212" spans="1:18" ht="15" thickBot="1">
      <c r="A212" s="4">
        <v>-1</v>
      </c>
      <c r="B212">
        <v>0.63349999999999995</v>
      </c>
      <c r="D212" s="7" t="s">
        <v>4</v>
      </c>
      <c r="E212" s="7">
        <v>6.3591666666666699E-2</v>
      </c>
      <c r="F212" s="7">
        <v>2.2704066303448383E-2</v>
      </c>
      <c r="G212" s="7">
        <v>2.8008932768579937</v>
      </c>
      <c r="H212" s="7">
        <v>7.1390534466523334E-3</v>
      </c>
      <c r="I212" s="7">
        <v>1.8032624556943315E-2</v>
      </c>
      <c r="J212" s="7">
        <v>0.10915070877639008</v>
      </c>
      <c r="K212" s="7">
        <v>1.8032624556943315E-2</v>
      </c>
      <c r="L212" s="7">
        <v>0.10915070877639008</v>
      </c>
      <c r="R212" s="5"/>
    </row>
    <row r="213" spans="1:18">
      <c r="A213" s="4">
        <v>1</v>
      </c>
      <c r="B213">
        <v>0.60870000000000002</v>
      </c>
      <c r="R213" s="5"/>
    </row>
    <row r="214" spans="1:18">
      <c r="A214" s="4">
        <v>1</v>
      </c>
      <c r="B214">
        <v>0.41470000000000001</v>
      </c>
      <c r="R214" s="5"/>
    </row>
    <row r="215" spans="1:18">
      <c r="A215" s="4">
        <v>0</v>
      </c>
      <c r="B215">
        <v>0.49059999999999998</v>
      </c>
      <c r="R215" s="5"/>
    </row>
    <row r="216" spans="1:18">
      <c r="A216" s="4">
        <v>0</v>
      </c>
      <c r="B216">
        <v>0.61599999999999999</v>
      </c>
      <c r="R216" s="5"/>
    </row>
    <row r="217" spans="1:18">
      <c r="A217" s="4">
        <v>-1</v>
      </c>
      <c r="B217">
        <v>0.60009999999999997</v>
      </c>
      <c r="R217" s="5"/>
    </row>
    <row r="218" spans="1:18">
      <c r="A218" s="4">
        <v>1</v>
      </c>
      <c r="B218">
        <v>0.77090000000000003</v>
      </c>
      <c r="R218" s="5"/>
    </row>
    <row r="219" spans="1:18">
      <c r="A219" s="4">
        <v>0</v>
      </c>
      <c r="B219">
        <v>0.71240000000000003</v>
      </c>
      <c r="R219" s="5"/>
    </row>
    <row r="220" spans="1:18">
      <c r="A220" s="4">
        <v>0</v>
      </c>
      <c r="B220">
        <v>0.66600000000000004</v>
      </c>
      <c r="R220" s="5"/>
    </row>
    <row r="221" spans="1:18">
      <c r="A221" s="4">
        <v>0</v>
      </c>
      <c r="B221">
        <v>0.64759999999999995</v>
      </c>
      <c r="R221" s="5"/>
    </row>
    <row r="222" spans="1:18">
      <c r="A222" s="4">
        <v>-1</v>
      </c>
      <c r="B222">
        <v>0.40849999999999997</v>
      </c>
      <c r="R222" s="5"/>
    </row>
    <row r="223" spans="1:18">
      <c r="A223" s="4">
        <v>-1</v>
      </c>
      <c r="B223">
        <v>0.35699999999999998</v>
      </c>
      <c r="R223" s="5"/>
    </row>
    <row r="224" spans="1:18">
      <c r="A224" s="4">
        <v>1</v>
      </c>
      <c r="B224">
        <v>0.35949999999999999</v>
      </c>
      <c r="R224" s="5"/>
    </row>
    <row r="225" spans="1:18">
      <c r="A225" s="4">
        <v>1</v>
      </c>
      <c r="B225">
        <v>0.65849999999999997</v>
      </c>
      <c r="R225" s="5"/>
    </row>
    <row r="226" spans="1:18">
      <c r="A226" s="4">
        <v>-1</v>
      </c>
      <c r="B226">
        <v>0.41570000000000001</v>
      </c>
      <c r="R226" s="5"/>
    </row>
    <row r="227" spans="1:18">
      <c r="A227" s="4">
        <v>-1</v>
      </c>
      <c r="B227">
        <v>0.28870000000000001</v>
      </c>
      <c r="R227" s="5"/>
    </row>
    <row r="228" spans="1:18">
      <c r="A228" s="4">
        <v>1</v>
      </c>
      <c r="B228">
        <v>0.60550000000000004</v>
      </c>
      <c r="R228" s="5"/>
    </row>
    <row r="229" spans="1:18">
      <c r="A229" s="4">
        <v>1</v>
      </c>
      <c r="B229">
        <v>0.51329999999999998</v>
      </c>
      <c r="R229" s="5"/>
    </row>
    <row r="230" spans="1:18">
      <c r="A230" s="4">
        <v>-1</v>
      </c>
      <c r="B230">
        <v>0.56030000000000002</v>
      </c>
      <c r="R230" s="5"/>
    </row>
    <row r="231" spans="1:18">
      <c r="A231" s="4">
        <v>1</v>
      </c>
      <c r="B231">
        <v>0.64700000000000002</v>
      </c>
      <c r="R231" s="5"/>
    </row>
    <row r="232" spans="1:18">
      <c r="A232" s="4">
        <v>-1</v>
      </c>
      <c r="B232">
        <v>0.52869999999999995</v>
      </c>
      <c r="R232" s="5"/>
    </row>
    <row r="233" spans="1:18">
      <c r="A233" s="4">
        <v>1</v>
      </c>
      <c r="B233">
        <v>0.68589999999999995</v>
      </c>
      <c r="R233" s="5"/>
    </row>
    <row r="234" spans="1:18">
      <c r="A234" s="4">
        <v>0</v>
      </c>
      <c r="B234">
        <v>0.48680000000000001</v>
      </c>
      <c r="R234" s="5"/>
    </row>
    <row r="235" spans="1:18">
      <c r="A235" s="4">
        <v>0</v>
      </c>
      <c r="B235">
        <v>0.77439999999999998</v>
      </c>
      <c r="R235" s="5"/>
    </row>
    <row r="236" spans="1:18">
      <c r="A236" s="4">
        <v>0</v>
      </c>
      <c r="B236">
        <v>0.43309999999999998</v>
      </c>
      <c r="R236" s="5"/>
    </row>
    <row r="237" spans="1:18">
      <c r="A237" s="4">
        <v>0</v>
      </c>
      <c r="B237">
        <v>0.84430000000000005</v>
      </c>
      <c r="R237" s="5"/>
    </row>
    <row r="238" spans="1:18">
      <c r="A238" s="4">
        <v>-1</v>
      </c>
      <c r="B238">
        <v>0.61780000000000002</v>
      </c>
      <c r="R238" s="5"/>
    </row>
    <row r="239" spans="1:18">
      <c r="A239" s="4">
        <v>-1</v>
      </c>
      <c r="B239">
        <v>0.63349999999999995</v>
      </c>
      <c r="R239" s="5"/>
    </row>
    <row r="240" spans="1:18">
      <c r="A240" s="4">
        <v>1</v>
      </c>
      <c r="B240">
        <v>0.64400000000000002</v>
      </c>
      <c r="R240" s="5"/>
    </row>
    <row r="241" spans="1:18">
      <c r="A241" s="4">
        <v>1</v>
      </c>
      <c r="B241">
        <v>0.41470000000000001</v>
      </c>
      <c r="R241" s="5"/>
    </row>
    <row r="242" spans="1:18">
      <c r="A242" s="4">
        <v>0</v>
      </c>
      <c r="B242">
        <v>0.6079</v>
      </c>
      <c r="R242" s="5"/>
    </row>
    <row r="243" spans="1:18">
      <c r="A243" s="4">
        <v>0</v>
      </c>
      <c r="B243">
        <v>0.61599999999999999</v>
      </c>
      <c r="R243" s="5"/>
    </row>
    <row r="244" spans="1:18">
      <c r="A244" s="4">
        <v>-1</v>
      </c>
      <c r="B244">
        <v>0.62729999999999997</v>
      </c>
      <c r="R244" s="5"/>
    </row>
    <row r="245" spans="1:18">
      <c r="A245" s="4">
        <v>1</v>
      </c>
      <c r="B245">
        <v>0.82640000000000002</v>
      </c>
      <c r="R245" s="5"/>
    </row>
    <row r="246" spans="1:18">
      <c r="A246" s="4">
        <v>0</v>
      </c>
      <c r="B246">
        <v>0.69820000000000004</v>
      </c>
      <c r="R246" s="5"/>
    </row>
    <row r="247" spans="1:18">
      <c r="A247" s="4">
        <v>0</v>
      </c>
      <c r="B247">
        <v>0.66600000000000004</v>
      </c>
      <c r="R247" s="5"/>
    </row>
    <row r="248" spans="1:18">
      <c r="A248" s="4">
        <v>0</v>
      </c>
      <c r="B248">
        <v>0.51200000000000001</v>
      </c>
      <c r="R248" s="5"/>
    </row>
    <row r="249" spans="1:18">
      <c r="A249" s="4"/>
      <c r="R249" s="5"/>
    </row>
    <row r="250" spans="1:18">
      <c r="A250" s="26" t="s">
        <v>105</v>
      </c>
      <c r="B250" s="16">
        <f>B159</f>
        <v>0.5663259259259259</v>
      </c>
      <c r="C250" s="16" t="s">
        <v>7</v>
      </c>
      <c r="D250" s="16">
        <f>IF(J160="Patrí",B160,0)</f>
        <v>0</v>
      </c>
      <c r="E250" s="16" t="s">
        <v>63</v>
      </c>
      <c r="F250" s="16">
        <f>IF(J161="Patrí",B161,0)</f>
        <v>6.3591666666666713E-2</v>
      </c>
      <c r="G250" s="16" t="s">
        <v>64</v>
      </c>
      <c r="H250" s="16">
        <f>IF(J162="Patrí",B162,0)</f>
        <v>0</v>
      </c>
      <c r="I250" s="16" t="s">
        <v>65</v>
      </c>
      <c r="J250" s="16">
        <f>IF(J163="Patrí",B163,0)</f>
        <v>0</v>
      </c>
      <c r="K250" s="16" t="s">
        <v>66</v>
      </c>
      <c r="L250" s="16">
        <f>IF(J164="Patrí",B164,0)</f>
        <v>0</v>
      </c>
      <c r="M250" s="16" t="s">
        <v>67</v>
      </c>
      <c r="N250" s="16">
        <f>IF(J165="Patrí",B165,0)</f>
        <v>0</v>
      </c>
      <c r="O250" s="16" t="s">
        <v>68</v>
      </c>
      <c r="P250" s="16">
        <f>IF(J166="Patrí",B166,0)</f>
        <v>0</v>
      </c>
      <c r="Q250" s="16" t="s">
        <v>69</v>
      </c>
      <c r="R250" s="5"/>
    </row>
    <row r="251" spans="1:18">
      <c r="A251" s="4"/>
      <c r="R251" s="5"/>
    </row>
    <row r="252" spans="1:18" ht="15" thickBot="1">
      <c r="A252" s="27" t="s">
        <v>106</v>
      </c>
      <c r="B252" s="28">
        <f>E211</f>
        <v>0.5663259259259259</v>
      </c>
      <c r="C252" s="28" t="s">
        <v>7</v>
      </c>
      <c r="D252" s="28">
        <f>E212</f>
        <v>6.3591666666666699E-2</v>
      </c>
      <c r="E252" s="28" t="s">
        <v>101</v>
      </c>
      <c r="F252" s="7"/>
      <c r="G252" s="7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8"/>
    </row>
    <row r="253" spans="1:18" ht="15" thickBot="1"/>
    <row r="254" spans="1:18" ht="15">
      <c r="A254" s="9" t="s">
        <v>100</v>
      </c>
      <c r="B254" s="2"/>
      <c r="C254" s="2"/>
      <c r="D254" s="29"/>
      <c r="E254" s="3"/>
    </row>
    <row r="255" spans="1:18">
      <c r="A255" s="4"/>
      <c r="D255" s="16"/>
      <c r="E255" s="5"/>
    </row>
    <row r="256" spans="1:18">
      <c r="A256" s="4"/>
      <c r="B256" t="s">
        <v>102</v>
      </c>
      <c r="C256" t="s">
        <v>103</v>
      </c>
      <c r="D256" s="16"/>
      <c r="E256" s="5"/>
    </row>
    <row r="257" spans="1:12">
      <c r="A257" s="4" t="s">
        <v>10</v>
      </c>
      <c r="B257">
        <f>(300+900)/2</f>
        <v>600</v>
      </c>
      <c r="C257">
        <f>(900-300)/2</f>
        <v>300</v>
      </c>
      <c r="D257" s="16"/>
      <c r="E257" s="5"/>
    </row>
    <row r="258" spans="1:12">
      <c r="A258" s="4" t="s">
        <v>12</v>
      </c>
      <c r="B258">
        <f>(-1+1)/2</f>
        <v>0</v>
      </c>
      <c r="C258">
        <f>(1+1)/2</f>
        <v>1</v>
      </c>
      <c r="D258" s="16"/>
      <c r="E258" s="5"/>
    </row>
    <row r="259" spans="1:12">
      <c r="A259" s="4" t="s">
        <v>14</v>
      </c>
      <c r="B259">
        <f>(2.5+12.5)/2</f>
        <v>7.5</v>
      </c>
      <c r="C259">
        <f>(12.5-2.5)/2</f>
        <v>5</v>
      </c>
      <c r="E259" s="5"/>
    </row>
    <row r="260" spans="1:12">
      <c r="A260" s="4"/>
      <c r="E260" s="5"/>
    </row>
    <row r="261" spans="1:12">
      <c r="A261" s="4" t="s">
        <v>104</v>
      </c>
      <c r="E261" s="5"/>
    </row>
    <row r="262" spans="1:12">
      <c r="A262" s="4"/>
      <c r="E262" s="5"/>
    </row>
    <row r="263" spans="1:12" ht="15" thickBot="1">
      <c r="A263" s="27" t="s">
        <v>108</v>
      </c>
      <c r="B263" s="28">
        <f>B250+(D252*(-B258/C258))</f>
        <v>0.5663259259259259</v>
      </c>
      <c r="C263" s="28" t="s">
        <v>7</v>
      </c>
      <c r="D263" s="28">
        <f>F250/C258</f>
        <v>6.3591666666666713E-2</v>
      </c>
      <c r="E263" s="30" t="s">
        <v>107</v>
      </c>
    </row>
    <row r="264" spans="1:12" ht="15" thickBot="1"/>
    <row r="265" spans="1:12" ht="15">
      <c r="A265" s="9" t="s">
        <v>109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"/>
    </row>
    <row r="266" spans="1:12">
      <c r="A266" s="4" t="s">
        <v>110</v>
      </c>
      <c r="B266">
        <f>RSQ(B194:B248,A194:A248)</f>
        <v>0.13108869137998902</v>
      </c>
      <c r="C266" t="s">
        <v>115</v>
      </c>
      <c r="L266" s="5"/>
    </row>
    <row r="267" spans="1:12">
      <c r="A267" s="4" t="s">
        <v>87</v>
      </c>
      <c r="B267" t="s">
        <v>161</v>
      </c>
      <c r="L267" s="5"/>
    </row>
    <row r="268" spans="1:12">
      <c r="A268" s="4"/>
      <c r="B268" t="s">
        <v>116</v>
      </c>
      <c r="L268" s="5"/>
    </row>
    <row r="269" spans="1:12" ht="15" thickBot="1">
      <c r="A269" s="6"/>
      <c r="B269" s="7" t="s">
        <v>129</v>
      </c>
      <c r="C269" s="7"/>
      <c r="D269" s="7"/>
      <c r="E269" s="7"/>
      <c r="F269" s="7"/>
      <c r="G269" s="7"/>
      <c r="H269" s="7"/>
      <c r="I269" s="7"/>
      <c r="J269" s="7"/>
      <c r="K269" s="7"/>
      <c r="L269" s="8"/>
    </row>
    <row r="270" spans="1:12" ht="15" thickBot="1"/>
    <row r="271" spans="1:12" ht="15">
      <c r="A271" s="9" t="s">
        <v>111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"/>
    </row>
    <row r="272" spans="1:12">
      <c r="A272" s="4" t="s">
        <v>112</v>
      </c>
      <c r="B272">
        <f>B148</f>
        <v>9.332745033635545E-2</v>
      </c>
      <c r="L272" s="5"/>
    </row>
    <row r="273" spans="1:13">
      <c r="A273" s="4" t="s">
        <v>113</v>
      </c>
      <c r="B273">
        <f>E200</f>
        <v>0.11437885852191194</v>
      </c>
      <c r="L273" s="5"/>
    </row>
    <row r="274" spans="1:13">
      <c r="A274" s="4" t="s">
        <v>114</v>
      </c>
      <c r="B274" t="str">
        <f>IF(B273&gt;B272,"&gt;","&lt;")</f>
        <v>&gt;</v>
      </c>
      <c r="C274" t="s">
        <v>112</v>
      </c>
      <c r="L274" s="5"/>
    </row>
    <row r="275" spans="1:13">
      <c r="A275" s="4" t="s">
        <v>117</v>
      </c>
      <c r="L275" s="5"/>
    </row>
    <row r="276" spans="1:13">
      <c r="A276" s="4" t="s">
        <v>118</v>
      </c>
      <c r="L276" s="5"/>
    </row>
    <row r="277" spans="1:13">
      <c r="A277" s="4" t="s">
        <v>119</v>
      </c>
      <c r="L277" s="5"/>
    </row>
    <row r="278" spans="1:13">
      <c r="A278" s="4" t="s">
        <v>120</v>
      </c>
      <c r="L278" s="5"/>
    </row>
    <row r="279" spans="1:13" ht="15" thickBot="1">
      <c r="A279" s="6" t="s">
        <v>162</v>
      </c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8"/>
    </row>
    <row r="280" spans="1:13" ht="15" thickBot="1"/>
    <row r="281" spans="1:13" ht="15">
      <c r="A281" s="9" t="s">
        <v>126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3"/>
    </row>
    <row r="282" spans="1:13">
      <c r="A282" s="4"/>
      <c r="M282" s="5"/>
    </row>
    <row r="283" spans="1:13">
      <c r="A283" s="4" t="s">
        <v>12</v>
      </c>
      <c r="B283" t="s">
        <v>121</v>
      </c>
      <c r="D283" t="s">
        <v>303</v>
      </c>
      <c r="E283" s="41">
        <v>0.14269999999999999</v>
      </c>
      <c r="F283" t="s">
        <v>304</v>
      </c>
      <c r="M283" s="5"/>
    </row>
    <row r="284" spans="1:13">
      <c r="A284" s="4">
        <v>-1</v>
      </c>
      <c r="B284">
        <f>$B$263+$D$263*A284</f>
        <v>0.50273425925925919</v>
      </c>
      <c r="D284" t="s">
        <v>305</v>
      </c>
      <c r="M284" s="5"/>
    </row>
    <row r="285" spans="1:13">
      <c r="A285" s="4">
        <v>0</v>
      </c>
      <c r="B285">
        <f t="shared" ref="B285:B286" si="9">$B$263+$D$263*A285</f>
        <v>0.5663259259259259</v>
      </c>
      <c r="D285" t="s">
        <v>306</v>
      </c>
      <c r="M285" s="5"/>
    </row>
    <row r="286" spans="1:13">
      <c r="A286" s="4">
        <v>1</v>
      </c>
      <c r="B286">
        <f t="shared" si="9"/>
        <v>0.62991759259259261</v>
      </c>
      <c r="D286" t="s">
        <v>307</v>
      </c>
      <c r="M286" s="5"/>
    </row>
    <row r="287" spans="1:13">
      <c r="A287" s="4"/>
      <c r="D287" t="s">
        <v>308</v>
      </c>
      <c r="M287" s="5"/>
    </row>
    <row r="288" spans="1:13">
      <c r="A288" s="4" t="s">
        <v>127</v>
      </c>
      <c r="B288">
        <f>MIN(B195:B248)</f>
        <v>0.28870000000000001</v>
      </c>
      <c r="M288" s="5"/>
    </row>
    <row r="289" spans="1:13">
      <c r="A289" s="4" t="s">
        <v>128</v>
      </c>
      <c r="B289">
        <f>MAX(B195:B248)</f>
        <v>0.84430000000000005</v>
      </c>
      <c r="M289" s="5"/>
    </row>
    <row r="290" spans="1:13">
      <c r="A290" s="4" t="s">
        <v>130</v>
      </c>
      <c r="B290">
        <f>E201</f>
        <v>0.13622439782069029</v>
      </c>
      <c r="M290" s="5"/>
    </row>
    <row r="291" spans="1:13">
      <c r="A291" s="4"/>
      <c r="M291" s="5"/>
    </row>
    <row r="292" spans="1:13">
      <c r="A292" s="4" t="s">
        <v>131</v>
      </c>
      <c r="M292" s="5"/>
    </row>
    <row r="293" spans="1:13">
      <c r="A293" s="4" t="s">
        <v>133</v>
      </c>
      <c r="B293">
        <f>B284</f>
        <v>0.50273425925925919</v>
      </c>
      <c r="C293" t="s">
        <v>132</v>
      </c>
      <c r="D293">
        <f>2*B290</f>
        <v>0.27244879564138058</v>
      </c>
      <c r="M293" s="5"/>
    </row>
    <row r="294" spans="1:13">
      <c r="A294" s="4" t="s">
        <v>133</v>
      </c>
      <c r="B294" s="20" t="s">
        <v>74</v>
      </c>
      <c r="C294">
        <f>B293-D293</f>
        <v>0.23028546361787861</v>
      </c>
      <c r="D294" t="s">
        <v>78</v>
      </c>
      <c r="E294">
        <f>B293+D293</f>
        <v>0.77518305490063977</v>
      </c>
      <c r="F294" t="s">
        <v>76</v>
      </c>
      <c r="M294" s="5"/>
    </row>
    <row r="295" spans="1:13">
      <c r="A295" s="4"/>
      <c r="M295" s="5"/>
    </row>
    <row r="296" spans="1:13">
      <c r="A296" s="4" t="s">
        <v>134</v>
      </c>
      <c r="M296" s="5"/>
    </row>
    <row r="297" spans="1:13">
      <c r="A297" s="4" t="s">
        <v>135</v>
      </c>
      <c r="B297">
        <f>B285</f>
        <v>0.5663259259259259</v>
      </c>
      <c r="C297" t="s">
        <v>132</v>
      </c>
      <c r="D297">
        <f>2*$B$290</f>
        <v>0.27244879564138058</v>
      </c>
      <c r="M297" s="5"/>
    </row>
    <row r="298" spans="1:13">
      <c r="A298" s="4" t="s">
        <v>135</v>
      </c>
      <c r="B298" s="20" t="s">
        <v>74</v>
      </c>
      <c r="C298">
        <f>B297-D297</f>
        <v>0.29387713028454532</v>
      </c>
      <c r="D298" t="s">
        <v>78</v>
      </c>
      <c r="E298">
        <f>B297+D297</f>
        <v>0.83877472156730648</v>
      </c>
      <c r="M298" s="5"/>
    </row>
    <row r="299" spans="1:13">
      <c r="A299" s="4"/>
      <c r="M299" s="5"/>
    </row>
    <row r="300" spans="1:13">
      <c r="A300" s="4" t="s">
        <v>136</v>
      </c>
      <c r="M300" s="5"/>
    </row>
    <row r="301" spans="1:13">
      <c r="A301" s="4" t="s">
        <v>137</v>
      </c>
      <c r="B301">
        <f>B286</f>
        <v>0.62991759259259261</v>
      </c>
      <c r="C301" t="s">
        <v>132</v>
      </c>
      <c r="D301">
        <f>2*$B$290</f>
        <v>0.27244879564138058</v>
      </c>
      <c r="M301" s="5"/>
    </row>
    <row r="302" spans="1:13">
      <c r="A302" s="4" t="s">
        <v>137</v>
      </c>
      <c r="B302" s="20" t="s">
        <v>74</v>
      </c>
      <c r="C302">
        <f>B301-D301</f>
        <v>0.35746879695121203</v>
      </c>
      <c r="D302" t="s">
        <v>78</v>
      </c>
      <c r="E302">
        <f>B301+D301</f>
        <v>0.90236638823397319</v>
      </c>
      <c r="M302" s="5"/>
    </row>
    <row r="303" spans="1:13">
      <c r="A303" s="4"/>
      <c r="M303" s="5"/>
    </row>
    <row r="304" spans="1:13">
      <c r="A304" s="4" t="s">
        <v>138</v>
      </c>
      <c r="M304" s="5"/>
    </row>
    <row r="305" spans="1:22">
      <c r="A305" s="4" t="s">
        <v>139</v>
      </c>
      <c r="C305" s="41">
        <f>((E294-C294) + (E298-C298) + (E302-C302) ) / 3</f>
        <v>0.54489759128276116</v>
      </c>
      <c r="D305" t="s">
        <v>331</v>
      </c>
      <c r="M305" s="5"/>
    </row>
    <row r="306" spans="1:22" ht="15" thickBot="1">
      <c r="A306" s="6" t="s">
        <v>140</v>
      </c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8"/>
    </row>
    <row r="307" spans="1:22" ht="15" thickBot="1"/>
    <row r="308" spans="1:22" ht="15">
      <c r="A308" s="9" t="s">
        <v>141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3"/>
    </row>
    <row r="309" spans="1:22">
      <c r="A309" s="4" t="s">
        <v>332</v>
      </c>
      <c r="V309" s="5"/>
    </row>
    <row r="310" spans="1:22">
      <c r="A310" s="4"/>
      <c r="V310" s="5"/>
    </row>
    <row r="311" spans="1:22" ht="15">
      <c r="A311" s="4" t="s">
        <v>142</v>
      </c>
      <c r="B311" s="32">
        <v>0.05</v>
      </c>
      <c r="E311" s="10" t="s">
        <v>338</v>
      </c>
      <c r="V311" s="5"/>
    </row>
    <row r="312" spans="1:22">
      <c r="A312" s="4"/>
      <c r="B312" s="53"/>
      <c r="E312" t="s">
        <v>342</v>
      </c>
      <c r="V312" s="5"/>
    </row>
    <row r="313" spans="1:22">
      <c r="A313" s="4" t="s">
        <v>143</v>
      </c>
      <c r="B313" s="53">
        <f>H206</f>
        <v>7.8450031483483063</v>
      </c>
      <c r="E313" t="s">
        <v>343</v>
      </c>
      <c r="V313" s="5"/>
    </row>
    <row r="314" spans="1:22">
      <c r="A314" s="4" t="s">
        <v>144</v>
      </c>
      <c r="B314">
        <f>_xlfn.F.INV(1-B311,1,52)</f>
        <v>4.0266314002642787</v>
      </c>
      <c r="V314" s="5"/>
    </row>
    <row r="315" spans="1:22">
      <c r="A315" s="4" t="s">
        <v>73</v>
      </c>
      <c r="B315" s="20" t="s">
        <v>74</v>
      </c>
      <c r="C315">
        <f>B314</f>
        <v>4.0266314002642787</v>
      </c>
      <c r="D315" t="s">
        <v>79</v>
      </c>
      <c r="V315" s="5"/>
    </row>
    <row r="316" spans="1:22">
      <c r="A316" s="4"/>
      <c r="V316" s="5"/>
    </row>
    <row r="317" spans="1:22">
      <c r="A317" s="22" t="s">
        <v>143</v>
      </c>
      <c r="B317" t="str">
        <f>IF(B313&lt;C315,"∉","∈")</f>
        <v>∈</v>
      </c>
      <c r="C317" s="23" t="s">
        <v>73</v>
      </c>
      <c r="V317" s="5"/>
    </row>
    <row r="318" spans="1:22" ht="15">
      <c r="A318" s="4" t="s">
        <v>87</v>
      </c>
      <c r="B318" t="s">
        <v>88</v>
      </c>
      <c r="C318" t="str">
        <f>IF(B317="∈","zamietam","nezamietam")</f>
        <v>zamietam</v>
      </c>
      <c r="E318" s="21"/>
      <c r="V318" s="5"/>
    </row>
    <row r="319" spans="1:22">
      <c r="A319" s="4"/>
      <c r="B319" t="s">
        <v>89</v>
      </c>
      <c r="C319" t="str">
        <f>IF(B317="∈","nezamietam","zamietam")</f>
        <v>nezamietam</v>
      </c>
      <c r="V319" s="5"/>
    </row>
    <row r="320" spans="1:22">
      <c r="A320" s="4"/>
      <c r="V320" s="5"/>
    </row>
    <row r="321" spans="1:22">
      <c r="A321" s="4" t="s">
        <v>90</v>
      </c>
      <c r="B321">
        <f>I206</f>
        <v>7.1390534466523334E-3</v>
      </c>
      <c r="C321" t="str">
        <f>IF(B321&gt;D321,"&gt;","&lt;")</f>
        <v>&lt;</v>
      </c>
      <c r="D321">
        <v>0.05</v>
      </c>
      <c r="V321" s="5"/>
    </row>
    <row r="322" spans="1:22">
      <c r="A322" s="4" t="s">
        <v>87</v>
      </c>
      <c r="B322" t="s">
        <v>88</v>
      </c>
      <c r="C322" t="str">
        <f>IF(C321="&lt;","zamietam","nezamietam")</f>
        <v>zamietam</v>
      </c>
      <c r="V322" s="5"/>
    </row>
    <row r="323" spans="1:22">
      <c r="A323" s="4"/>
      <c r="B323" t="s">
        <v>89</v>
      </c>
      <c r="C323" t="str">
        <f>IF(C321="&lt;","nezamietam","zamietam")</f>
        <v>nezamietam</v>
      </c>
      <c r="V323" s="5"/>
    </row>
    <row r="324" spans="1:22">
      <c r="A324" s="4"/>
      <c r="V324" s="5"/>
    </row>
    <row r="325" spans="1:22">
      <c r="A325" s="4"/>
      <c r="V325" s="5"/>
    </row>
    <row r="326" spans="1:22">
      <c r="A326" s="4"/>
      <c r="V326" s="5"/>
    </row>
    <row r="327" spans="1:22" ht="15" thickBot="1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8"/>
    </row>
    <row r="328" spans="1:22" ht="15" thickBot="1"/>
    <row r="329" spans="1:22" ht="15">
      <c r="A329" s="9" t="s">
        <v>145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3"/>
    </row>
    <row r="330" spans="1:22">
      <c r="A330" s="4" t="s">
        <v>153</v>
      </c>
      <c r="M330" s="5"/>
    </row>
    <row r="331" spans="1:22">
      <c r="A331" s="4" t="s">
        <v>24</v>
      </c>
      <c r="B331">
        <v>0.05</v>
      </c>
      <c r="M331" s="5"/>
    </row>
    <row r="332" spans="1:22" ht="15">
      <c r="A332" s="4"/>
      <c r="B332" s="33" t="s">
        <v>48</v>
      </c>
      <c r="C332" t="s">
        <v>47</v>
      </c>
      <c r="D332" t="s">
        <v>49</v>
      </c>
      <c r="F332" s="10" t="s">
        <v>338</v>
      </c>
      <c r="M332" s="5"/>
    </row>
    <row r="333" spans="1:22">
      <c r="A333" s="4" t="s">
        <v>147</v>
      </c>
      <c r="B333" s="31">
        <f>F207-B334</f>
        <v>0.88553297120370367</v>
      </c>
      <c r="C333" s="34">
        <v>24</v>
      </c>
      <c r="D333" s="31">
        <f>B333/C333</f>
        <v>3.6897207133487653E-2</v>
      </c>
      <c r="F333" t="s">
        <v>344</v>
      </c>
      <c r="M333" s="5"/>
    </row>
    <row r="334" spans="1:22">
      <c r="A334" s="4" t="s">
        <v>148</v>
      </c>
      <c r="B334" s="31">
        <f>L122</f>
        <v>7.9435530000000004E-2</v>
      </c>
      <c r="C334" s="34">
        <v>27</v>
      </c>
      <c r="D334" s="31">
        <f>B334/C334</f>
        <v>2.9420566666666669E-3</v>
      </c>
      <c r="F334" t="s">
        <v>345</v>
      </c>
      <c r="M334" s="5"/>
    </row>
    <row r="335" spans="1:22">
      <c r="A335" s="4"/>
      <c r="M335" s="5"/>
    </row>
    <row r="336" spans="1:22">
      <c r="A336" s="4" t="s">
        <v>152</v>
      </c>
      <c r="B336">
        <f>_xlfn.F.INV(1-B331,25,27)</f>
        <v>1.9209736731759337</v>
      </c>
      <c r="M336" s="5"/>
    </row>
    <row r="337" spans="1:23">
      <c r="A337" s="4" t="s">
        <v>143</v>
      </c>
      <c r="B337">
        <f>D333/D334</f>
        <v>12.541297233167155</v>
      </c>
      <c r="M337" s="5"/>
    </row>
    <row r="338" spans="1:23">
      <c r="A338" s="4" t="s">
        <v>146</v>
      </c>
      <c r="B338">
        <f>1-_xlfn.F.DIST(B337,C333,C334,1)</f>
        <v>3.1917800624725601E-9</v>
      </c>
      <c r="M338" s="5"/>
    </row>
    <row r="339" spans="1:23">
      <c r="A339" s="4"/>
      <c r="M339" s="5"/>
    </row>
    <row r="340" spans="1:23">
      <c r="A340" s="4" t="s">
        <v>73</v>
      </c>
      <c r="B340" s="20" t="s">
        <v>74</v>
      </c>
      <c r="C340">
        <f>B336</f>
        <v>1.9209736731759337</v>
      </c>
      <c r="D340" t="s">
        <v>79</v>
      </c>
      <c r="M340" s="5"/>
    </row>
    <row r="341" spans="1:23">
      <c r="A341" s="4"/>
      <c r="M341" s="5"/>
    </row>
    <row r="342" spans="1:23">
      <c r="A342" s="22" t="s">
        <v>143</v>
      </c>
      <c r="B342" t="str">
        <f>IF(B337&lt;C340,"∉","∈")</f>
        <v>∈</v>
      </c>
      <c r="C342" s="23" t="s">
        <v>73</v>
      </c>
      <c r="M342" s="5"/>
    </row>
    <row r="343" spans="1:23">
      <c r="A343" s="4" t="s">
        <v>87</v>
      </c>
      <c r="B343" t="s">
        <v>88</v>
      </c>
      <c r="C343" t="str">
        <f>IF(B342="∈","zamietam","nezamietam")</f>
        <v>zamietam</v>
      </c>
      <c r="M343" s="5"/>
    </row>
    <row r="344" spans="1:23">
      <c r="A344" s="4"/>
      <c r="B344" t="s">
        <v>89</v>
      </c>
      <c r="C344" t="str">
        <f>IF(B342="∈","nezamietam","zamietam")</f>
        <v>nezamietam</v>
      </c>
      <c r="M344" s="5"/>
    </row>
    <row r="345" spans="1:23">
      <c r="A345" s="4"/>
      <c r="M345" s="5"/>
    </row>
    <row r="346" spans="1:23">
      <c r="A346" s="4" t="s">
        <v>90</v>
      </c>
      <c r="B346">
        <f>B338</f>
        <v>3.1917800624725601E-9</v>
      </c>
      <c r="C346" t="str">
        <f>IF(B346&gt;D346,"&gt;","&lt;")</f>
        <v>&lt;</v>
      </c>
      <c r="D346">
        <v>0.05</v>
      </c>
      <c r="M346" s="5"/>
    </row>
    <row r="347" spans="1:23">
      <c r="A347" s="4" t="s">
        <v>87</v>
      </c>
      <c r="B347" t="s">
        <v>88</v>
      </c>
      <c r="C347" t="str">
        <f>IF(C346="&lt;","zamietam","nezamietam")</f>
        <v>zamietam</v>
      </c>
      <c r="M347" s="5"/>
    </row>
    <row r="348" spans="1:23" ht="15" thickBot="1">
      <c r="A348" s="6"/>
      <c r="B348" s="7" t="s">
        <v>89</v>
      </c>
      <c r="C348" s="7" t="str">
        <f>IF(C346="&lt;","nezamietam","zamietam")</f>
        <v>nezamietam</v>
      </c>
      <c r="D348" s="7"/>
      <c r="E348" s="7"/>
      <c r="F348" s="7"/>
      <c r="G348" s="7"/>
      <c r="H348" s="7"/>
      <c r="I348" s="7"/>
      <c r="J348" s="7"/>
      <c r="K348" s="7"/>
      <c r="L348" s="7"/>
      <c r="M348" s="8"/>
    </row>
    <row r="349" spans="1:23" ht="15" thickBot="1"/>
    <row r="350" spans="1:23" ht="15">
      <c r="A350" s="9" t="s">
        <v>154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3"/>
    </row>
    <row r="351" spans="1:23">
      <c r="A351" s="4"/>
      <c r="W351" s="5"/>
    </row>
    <row r="352" spans="1:23">
      <c r="A352" s="4" t="s">
        <v>336</v>
      </c>
      <c r="W352" s="5"/>
    </row>
    <row r="353" spans="1:23" ht="15">
      <c r="A353" s="4" t="s">
        <v>24</v>
      </c>
      <c r="B353">
        <v>0.05</v>
      </c>
      <c r="M353" s="10" t="s">
        <v>338</v>
      </c>
      <c r="W353" s="5"/>
    </row>
    <row r="354" spans="1:23">
      <c r="A354" s="4" t="s">
        <v>155</v>
      </c>
      <c r="B354">
        <v>6</v>
      </c>
      <c r="M354" t="s">
        <v>339</v>
      </c>
      <c r="W354" s="5"/>
    </row>
    <row r="355" spans="1:23">
      <c r="A355" s="4" t="s">
        <v>156</v>
      </c>
      <c r="B355">
        <v>51</v>
      </c>
      <c r="W355" s="5"/>
    </row>
    <row r="356" spans="1:23">
      <c r="A356" s="4" t="s">
        <v>157</v>
      </c>
      <c r="B356" s="31">
        <f>O68</f>
        <v>0.66405000000000003</v>
      </c>
      <c r="W356" s="5"/>
    </row>
    <row r="357" spans="1:23">
      <c r="A357" s="4" t="s">
        <v>158</v>
      </c>
      <c r="B357" s="31">
        <f>AVERAGE(I68:I89,I92,I93,I95:I116,I119:I120)</f>
        <v>0.55411041666666672</v>
      </c>
      <c r="W357" s="5"/>
    </row>
    <row r="358" spans="1:23">
      <c r="A358" s="4" t="s">
        <v>159</v>
      </c>
      <c r="B358">
        <f>(B354*B355*(B357-B356)^2)/(B354+B355)</f>
        <v>6.4886559069353048E-2</v>
      </c>
      <c r="W358" s="5"/>
    </row>
    <row r="359" spans="1:23">
      <c r="A359" s="4" t="s">
        <v>143</v>
      </c>
      <c r="B359">
        <f>B358/(P68/(B354-1))</f>
        <v>4.8710403859378566</v>
      </c>
      <c r="W359" s="5"/>
    </row>
    <row r="360" spans="1:23">
      <c r="A360" s="4" t="s">
        <v>337</v>
      </c>
      <c r="B360">
        <f>_xlfn.F.INV(1-B353,1,B354-1)</f>
        <v>6.6078909737033653</v>
      </c>
      <c r="W360" s="5"/>
    </row>
    <row r="361" spans="1:23">
      <c r="A361" s="4"/>
      <c r="W361" s="5"/>
    </row>
    <row r="362" spans="1:23">
      <c r="A362" s="4" t="s">
        <v>73</v>
      </c>
      <c r="B362" s="20" t="s">
        <v>74</v>
      </c>
      <c r="C362">
        <f>B360</f>
        <v>6.6078909737033653</v>
      </c>
      <c r="D362" t="s">
        <v>79</v>
      </c>
      <c r="W362" s="5"/>
    </row>
    <row r="363" spans="1:23">
      <c r="A363" s="4"/>
      <c r="W363" s="5"/>
    </row>
    <row r="364" spans="1:23">
      <c r="A364" s="22" t="s">
        <v>143</v>
      </c>
      <c r="B364" t="str">
        <f>IF(B359&lt;C362,"∉","∈")</f>
        <v>∉</v>
      </c>
      <c r="C364" s="23" t="s">
        <v>73</v>
      </c>
      <c r="W364" s="5"/>
    </row>
    <row r="365" spans="1:23">
      <c r="A365" s="4" t="s">
        <v>87</v>
      </c>
      <c r="B365" t="s">
        <v>88</v>
      </c>
      <c r="C365" t="str">
        <f>IF(B364="∈","zamietam","nezamietam")</f>
        <v>nezamietam</v>
      </c>
      <c r="W365" s="5"/>
    </row>
    <row r="366" spans="1:23">
      <c r="A366" s="4"/>
      <c r="B366" t="s">
        <v>89</v>
      </c>
      <c r="C366" t="str">
        <f>IF(B364="∈","nezamietam","zamietam")</f>
        <v>zamietam</v>
      </c>
      <c r="W366" s="5"/>
    </row>
    <row r="367" spans="1:23">
      <c r="A367" s="4"/>
      <c r="W367" s="5"/>
    </row>
    <row r="368" spans="1:23">
      <c r="A368" s="4" t="s">
        <v>90</v>
      </c>
      <c r="B368">
        <f>1-_xlfn.F.DIST(B359,1,B354-1,TRUE)</f>
        <v>7.8395636163832716E-2</v>
      </c>
      <c r="C368" t="str">
        <f>IF(B368&gt;D368,"&gt;","&lt;")</f>
        <v>&gt;</v>
      </c>
      <c r="D368">
        <v>0.05</v>
      </c>
      <c r="W368" s="5"/>
    </row>
    <row r="369" spans="1:54">
      <c r="A369" s="4" t="s">
        <v>87</v>
      </c>
      <c r="B369" t="s">
        <v>88</v>
      </c>
      <c r="C369" t="str">
        <f>IF(C368="&lt;","zamietam","nezamietam")</f>
        <v>nezamietam</v>
      </c>
      <c r="W369" s="5"/>
    </row>
    <row r="370" spans="1:54" ht="15" thickBot="1">
      <c r="A370" s="6"/>
      <c r="B370" s="7" t="s">
        <v>89</v>
      </c>
      <c r="C370" s="7" t="str">
        <f>IF(C368="&lt;","nezamietam","zamietam")</f>
        <v>zamietam</v>
      </c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8"/>
    </row>
    <row r="371" spans="1:54" ht="15" thickBot="1"/>
    <row r="372" spans="1:54" ht="15">
      <c r="A372" s="9" t="s">
        <v>163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3"/>
    </row>
    <row r="373" spans="1:54">
      <c r="A373" s="4" t="s">
        <v>35</v>
      </c>
      <c r="BB373" s="5"/>
    </row>
    <row r="374" spans="1:54" ht="15" thickBot="1">
      <c r="A374" s="4"/>
      <c r="BB374" s="5"/>
    </row>
    <row r="375" spans="1:54">
      <c r="A375" s="18" t="s">
        <v>36</v>
      </c>
      <c r="B375" s="12"/>
      <c r="BB375" s="5"/>
    </row>
    <row r="376" spans="1:54">
      <c r="A376" s="4" t="s">
        <v>37</v>
      </c>
      <c r="B376">
        <v>0.3620617231633152</v>
      </c>
      <c r="BB376" s="5"/>
    </row>
    <row r="377" spans="1:54">
      <c r="A377" s="4" t="s">
        <v>38</v>
      </c>
      <c r="B377">
        <v>0.13108869137998908</v>
      </c>
      <c r="BB377" s="5"/>
    </row>
    <row r="378" spans="1:54">
      <c r="A378" s="4" t="s">
        <v>39</v>
      </c>
      <c r="B378">
        <v>0.11437885852191194</v>
      </c>
      <c r="M378" s="42"/>
      <c r="N378" s="42"/>
      <c r="BB378" s="5"/>
    </row>
    <row r="379" spans="1:54">
      <c r="A379" s="4" t="s">
        <v>40</v>
      </c>
      <c r="B379">
        <v>0.13622439782069029</v>
      </c>
      <c r="BB379" s="5"/>
    </row>
    <row r="380" spans="1:54" ht="15" thickBot="1">
      <c r="A380" s="6" t="s">
        <v>41</v>
      </c>
      <c r="B380" s="7">
        <v>54</v>
      </c>
      <c r="BB380" s="5"/>
    </row>
    <row r="381" spans="1:54">
      <c r="A381" s="4"/>
      <c r="BB381" s="5"/>
    </row>
    <row r="382" spans="1:54" ht="15" thickBot="1">
      <c r="A382" s="4" t="s">
        <v>42</v>
      </c>
      <c r="BB382" s="5"/>
    </row>
    <row r="383" spans="1:54">
      <c r="A383" s="19"/>
      <c r="B383" s="11" t="s">
        <v>47</v>
      </c>
      <c r="C383" s="11" t="s">
        <v>48</v>
      </c>
      <c r="D383" s="11" t="s">
        <v>49</v>
      </c>
      <c r="E383" s="11" t="s">
        <v>50</v>
      </c>
      <c r="F383" s="11" t="s">
        <v>51</v>
      </c>
      <c r="BB383" s="5"/>
    </row>
    <row r="384" spans="1:54">
      <c r="A384" s="4" t="s">
        <v>43</v>
      </c>
      <c r="B384">
        <v>1</v>
      </c>
      <c r="C384">
        <v>0.14558040250000004</v>
      </c>
      <c r="D384">
        <v>0.14558040250000004</v>
      </c>
      <c r="E384">
        <v>7.8450031483483063</v>
      </c>
      <c r="F384">
        <v>7.1390534466523334E-3</v>
      </c>
      <c r="BB384" s="5"/>
    </row>
    <row r="385" spans="1:54">
      <c r="A385" s="4" t="s">
        <v>44</v>
      </c>
      <c r="B385">
        <v>52</v>
      </c>
      <c r="C385">
        <v>0.9649685012037037</v>
      </c>
      <c r="D385">
        <v>1.8557086561609686E-2</v>
      </c>
      <c r="BB385" s="5"/>
    </row>
    <row r="386" spans="1:54" ht="15" thickBot="1">
      <c r="A386" s="6" t="s">
        <v>45</v>
      </c>
      <c r="B386" s="7">
        <v>53</v>
      </c>
      <c r="C386" s="7">
        <v>1.1105489037037037</v>
      </c>
      <c r="D386" s="7"/>
      <c r="E386" s="7"/>
      <c r="F386" s="7"/>
      <c r="M386" s="33"/>
      <c r="N386" s="33"/>
      <c r="O386" s="33"/>
      <c r="P386" s="33"/>
      <c r="Q386" s="33"/>
      <c r="R386" s="33"/>
      <c r="BB386" s="5"/>
    </row>
    <row r="387" spans="1:54" ht="15" thickBot="1">
      <c r="A387" s="4"/>
      <c r="BB387" s="5"/>
    </row>
    <row r="388" spans="1:54">
      <c r="A388" s="19"/>
      <c r="B388" s="11" t="s">
        <v>52</v>
      </c>
      <c r="C388" s="11" t="s">
        <v>40</v>
      </c>
      <c r="D388" s="11" t="s">
        <v>53</v>
      </c>
      <c r="E388" s="11" t="s">
        <v>54</v>
      </c>
      <c r="F388" s="11" t="s">
        <v>55</v>
      </c>
      <c r="G388" s="11" t="s">
        <v>56</v>
      </c>
      <c r="H388" s="11" t="s">
        <v>57</v>
      </c>
      <c r="I388" s="11" t="s">
        <v>58</v>
      </c>
      <c r="BB388" s="5"/>
    </row>
    <row r="389" spans="1:54">
      <c r="A389" s="4" t="s">
        <v>46</v>
      </c>
      <c r="B389">
        <v>0.5663259259259259</v>
      </c>
      <c r="C389">
        <v>1.8537792509921998E-2</v>
      </c>
      <c r="D389">
        <v>30.549803900481184</v>
      </c>
      <c r="E389">
        <v>6.8642379695141223E-35</v>
      </c>
      <c r="F389">
        <v>0.52912712381299443</v>
      </c>
      <c r="G389">
        <v>0.60352472803885737</v>
      </c>
      <c r="H389">
        <v>0.52912712381299443</v>
      </c>
      <c r="I389">
        <v>0.60352472803885737</v>
      </c>
      <c r="BB389" s="5"/>
    </row>
    <row r="390" spans="1:54" ht="15" thickBot="1">
      <c r="A390" s="6" t="s">
        <v>1</v>
      </c>
      <c r="B390" s="7">
        <v>6.3591666666666699E-2</v>
      </c>
      <c r="C390" s="7">
        <v>2.2704066303448383E-2</v>
      </c>
      <c r="D390" s="7">
        <v>2.8008932768579937</v>
      </c>
      <c r="E390" s="7">
        <v>7.1390534466523334E-3</v>
      </c>
      <c r="F390" s="7">
        <v>1.8032624556943315E-2</v>
      </c>
      <c r="G390" s="7">
        <v>0.10915070877639008</v>
      </c>
      <c r="H390" s="7">
        <v>1.8032624556943315E-2</v>
      </c>
      <c r="I390" s="7">
        <v>0.10915070877639008</v>
      </c>
      <c r="BB390" s="5"/>
    </row>
    <row r="391" spans="1:54">
      <c r="A391" s="4"/>
      <c r="M391" s="33"/>
      <c r="N391" s="33"/>
      <c r="O391" s="33"/>
      <c r="P391" s="33"/>
      <c r="Q391" s="33"/>
      <c r="R391" s="33"/>
      <c r="S391" s="33"/>
      <c r="T391" s="33"/>
      <c r="U391" s="33"/>
      <c r="BB391" s="5"/>
    </row>
    <row r="392" spans="1:54">
      <c r="A392" s="4"/>
      <c r="BB392" s="5"/>
    </row>
    <row r="393" spans="1:54">
      <c r="A393" s="4"/>
      <c r="BB393" s="5"/>
    </row>
    <row r="394" spans="1:54">
      <c r="A394" s="4" t="s">
        <v>164</v>
      </c>
      <c r="F394" t="s">
        <v>169</v>
      </c>
      <c r="BB394" s="5"/>
    </row>
    <row r="395" spans="1:54" ht="15" thickBot="1">
      <c r="A395" s="4"/>
      <c r="BB395" s="5"/>
    </row>
    <row r="396" spans="1:54">
      <c r="A396" s="19" t="s">
        <v>165</v>
      </c>
      <c r="B396" s="11" t="s">
        <v>166</v>
      </c>
      <c r="C396" s="11" t="s">
        <v>167</v>
      </c>
      <c r="D396" s="11" t="s">
        <v>168</v>
      </c>
      <c r="E396" s="11" t="s">
        <v>185</v>
      </c>
      <c r="F396" s="11" t="s">
        <v>170</v>
      </c>
      <c r="G396" s="11" t="s">
        <v>25</v>
      </c>
      <c r="H396" s="33" t="s">
        <v>230</v>
      </c>
      <c r="I396" s="33" t="s">
        <v>240</v>
      </c>
      <c r="U396" t="s">
        <v>197</v>
      </c>
      <c r="BB396" s="5"/>
    </row>
    <row r="397" spans="1:54">
      <c r="A397" s="4">
        <v>1</v>
      </c>
      <c r="B397">
        <v>0.50273425925925919</v>
      </c>
      <c r="C397">
        <v>-0.11393425925925921</v>
      </c>
      <c r="D397">
        <v>-0.84437564734841841</v>
      </c>
      <c r="E397">
        <v>-0.27041759259259263</v>
      </c>
      <c r="F397">
        <v>0.92592592592592593</v>
      </c>
      <c r="G397">
        <v>0.28870000000000001</v>
      </c>
      <c r="H397">
        <f>C397^2</f>
        <v>1.2981015432956093E-2</v>
      </c>
      <c r="I397">
        <f>(C397-0)^2</f>
        <v>1.2981015432956093E-2</v>
      </c>
      <c r="U397" t="s">
        <v>199</v>
      </c>
      <c r="BB397" s="5"/>
    </row>
    <row r="398" spans="1:54">
      <c r="A398" s="4">
        <v>2</v>
      </c>
      <c r="B398">
        <v>0.50273425925925919</v>
      </c>
      <c r="C398">
        <v>-0.1457342592592592</v>
      </c>
      <c r="D398">
        <v>-1.080047918009164</v>
      </c>
      <c r="E398">
        <v>-0.2152175925925926</v>
      </c>
      <c r="F398">
        <v>2.7777777777777777</v>
      </c>
      <c r="G398">
        <v>0.28870000000000001</v>
      </c>
      <c r="H398">
        <f t="shared" ref="H398:H450" si="10">C398^2</f>
        <v>2.1238474321844978E-2</v>
      </c>
      <c r="I398">
        <f>(C398-C397)^2</f>
        <v>1.0112399999999996E-3</v>
      </c>
      <c r="U398" t="s">
        <v>198</v>
      </c>
      <c r="BB398" s="5"/>
    </row>
    <row r="399" spans="1:54">
      <c r="A399" s="4">
        <v>3</v>
      </c>
      <c r="B399">
        <v>0.62991759259259261</v>
      </c>
      <c r="C399">
        <v>-0.2006175925925926</v>
      </c>
      <c r="D399">
        <v>-1.4867925654336067</v>
      </c>
      <c r="E399">
        <v>-0.2152175925925926</v>
      </c>
      <c r="F399">
        <v>4.6296296296296298</v>
      </c>
      <c r="G399">
        <v>0.2908</v>
      </c>
      <c r="H399">
        <f t="shared" si="10"/>
        <v>4.0247418457647462E-2</v>
      </c>
      <c r="I399">
        <f t="shared" ref="I399:I450" si="11">(C399-C398)^2</f>
        <v>3.0121802777777844E-3</v>
      </c>
      <c r="M399" s="33"/>
      <c r="N399" s="33"/>
      <c r="BB399" s="5"/>
    </row>
    <row r="400" spans="1:54" ht="15">
      <c r="A400" s="4">
        <v>4</v>
      </c>
      <c r="B400">
        <v>0.62991759259259261</v>
      </c>
      <c r="C400">
        <v>2.8582407407407362E-2</v>
      </c>
      <c r="D400">
        <v>0.21182644197025818</v>
      </c>
      <c r="E400">
        <v>-0.21403425925925917</v>
      </c>
      <c r="F400">
        <v>6.481481481481481</v>
      </c>
      <c r="G400">
        <v>0.35699999999999998</v>
      </c>
      <c r="H400">
        <f t="shared" si="10"/>
        <v>8.1695401320301523E-4</v>
      </c>
      <c r="I400">
        <f t="shared" si="11"/>
        <v>5.2532639999999985E-2</v>
      </c>
      <c r="U400" s="10" t="s">
        <v>200</v>
      </c>
      <c r="Z400" s="41"/>
      <c r="AC400" s="41"/>
      <c r="BB400" s="5"/>
    </row>
    <row r="401" spans="1:54">
      <c r="A401" s="4">
        <v>5</v>
      </c>
      <c r="B401">
        <v>0.50273425925925919</v>
      </c>
      <c r="C401">
        <v>-8.7034259259259172E-2</v>
      </c>
      <c r="D401">
        <v>-0.64501765738696981</v>
      </c>
      <c r="E401">
        <v>-0.21403425925925917</v>
      </c>
      <c r="F401">
        <v>8.3333333333333339</v>
      </c>
      <c r="G401">
        <v>0.35699999999999998</v>
      </c>
      <c r="H401">
        <f t="shared" si="10"/>
        <v>7.5749622848079413E-3</v>
      </c>
      <c r="I401">
        <f t="shared" si="11"/>
        <v>1.3367213611111081E-2</v>
      </c>
      <c r="U401" t="s">
        <v>226</v>
      </c>
      <c r="Z401" s="41"/>
      <c r="AC401" s="41"/>
      <c r="BB401" s="5"/>
    </row>
    <row r="402" spans="1:54">
      <c r="A402" s="4">
        <v>6</v>
      </c>
      <c r="B402">
        <v>0.50273425925925919</v>
      </c>
      <c r="C402">
        <v>-0.21403425925925917</v>
      </c>
      <c r="D402">
        <v>-1.5862245244912057</v>
      </c>
      <c r="E402">
        <v>-0.21193425925925918</v>
      </c>
      <c r="F402">
        <v>10.185185185185185</v>
      </c>
      <c r="G402">
        <v>0.35949999999999999</v>
      </c>
      <c r="H402">
        <f t="shared" si="10"/>
        <v>4.5810664136659775E-2</v>
      </c>
      <c r="I402">
        <f t="shared" si="11"/>
        <v>1.6129000000000001E-2</v>
      </c>
      <c r="U402" t="s">
        <v>225</v>
      </c>
      <c r="Z402" s="41"/>
      <c r="AC402" s="41"/>
      <c r="BB402" s="5"/>
    </row>
    <row r="403" spans="1:54" ht="15">
      <c r="A403" s="4">
        <v>7</v>
      </c>
      <c r="B403">
        <v>0.62991759259259261</v>
      </c>
      <c r="C403">
        <v>-2.4417592592592574E-2</v>
      </c>
      <c r="D403">
        <v>-0.18096067579765082</v>
      </c>
      <c r="E403">
        <v>-0.2006175925925926</v>
      </c>
      <c r="F403">
        <v>12.037037037037036</v>
      </c>
      <c r="G403">
        <v>0.38879999999999998</v>
      </c>
      <c r="H403">
        <f t="shared" si="10"/>
        <v>5.9621882801783174E-4</v>
      </c>
      <c r="I403">
        <f t="shared" si="11"/>
        <v>3.5954480277777749E-2</v>
      </c>
      <c r="U403" t="s">
        <v>201</v>
      </c>
      <c r="Z403" s="41"/>
      <c r="AC403" s="41"/>
      <c r="BB403" s="5"/>
    </row>
    <row r="404" spans="1:54">
      <c r="A404" s="4">
        <v>8</v>
      </c>
      <c r="B404">
        <v>0.62991759259259261</v>
      </c>
      <c r="C404">
        <v>-0.11661759259259263</v>
      </c>
      <c r="D404">
        <v>-0.86426203915993904</v>
      </c>
      <c r="E404">
        <v>-0.1457342592592592</v>
      </c>
      <c r="F404">
        <v>13.888888888888889</v>
      </c>
      <c r="G404">
        <v>0.40849999999999997</v>
      </c>
      <c r="H404">
        <f t="shared" si="10"/>
        <v>1.3599662902091917E-2</v>
      </c>
      <c r="I404">
        <f t="shared" si="11"/>
        <v>8.5008400000000112E-3</v>
      </c>
      <c r="U404" t="s">
        <v>202</v>
      </c>
      <c r="V404">
        <v>0.05</v>
      </c>
      <c r="Z404" s="41"/>
      <c r="AC404" s="41"/>
      <c r="BB404" s="5"/>
    </row>
    <row r="405" spans="1:54">
      <c r="A405" s="4">
        <v>9</v>
      </c>
      <c r="B405">
        <v>0.50273425925925919</v>
      </c>
      <c r="C405">
        <v>1.6465740740740809E-2</v>
      </c>
      <c r="D405">
        <v>0.12202888391451368</v>
      </c>
      <c r="E405">
        <v>-0.1457342592592592</v>
      </c>
      <c r="F405">
        <v>15.74074074074074</v>
      </c>
      <c r="G405">
        <v>0.41470000000000001</v>
      </c>
      <c r="H405">
        <f t="shared" si="10"/>
        <v>2.7112061814129164E-4</v>
      </c>
      <c r="I405">
        <f t="shared" si="11"/>
        <v>1.7711173611111141E-2</v>
      </c>
      <c r="Z405" s="41"/>
      <c r="AC405" s="41"/>
      <c r="BB405" s="5"/>
    </row>
    <row r="406" spans="1:54" ht="15">
      <c r="A406" s="4">
        <v>10</v>
      </c>
      <c r="B406">
        <v>0.62991759259259261</v>
      </c>
      <c r="C406">
        <v>7.7782407407407383E-2</v>
      </c>
      <c r="D406">
        <v>0.57645146450197804</v>
      </c>
      <c r="E406">
        <v>-0.13322592592592591</v>
      </c>
      <c r="F406">
        <v>17.592592592592595</v>
      </c>
      <c r="G406">
        <v>0.41470000000000001</v>
      </c>
      <c r="H406">
        <f t="shared" si="10"/>
        <v>6.0501029020919028E-3</v>
      </c>
      <c r="I406">
        <f t="shared" si="11"/>
        <v>3.7597336111111E-3</v>
      </c>
      <c r="U406" s="10" t="s">
        <v>203</v>
      </c>
      <c r="AD406" s="10" t="s">
        <v>204</v>
      </c>
      <c r="AI406" s="10" t="s">
        <v>205</v>
      </c>
      <c r="BB406" s="5"/>
    </row>
    <row r="407" spans="1:54">
      <c r="A407" s="4">
        <v>11</v>
      </c>
      <c r="B407">
        <v>0.50273425925925919</v>
      </c>
      <c r="C407">
        <v>2.5965740740740761E-2</v>
      </c>
      <c r="D407">
        <v>0.19243412200498766</v>
      </c>
      <c r="E407">
        <v>-0.13322592592592591</v>
      </c>
      <c r="F407">
        <v>19.444444444444446</v>
      </c>
      <c r="G407">
        <v>0.41570000000000001</v>
      </c>
      <c r="H407">
        <f t="shared" si="10"/>
        <v>6.7421969221536455E-4</v>
      </c>
      <c r="I407">
        <f t="shared" si="11"/>
        <v>2.6849669444444398E-3</v>
      </c>
      <c r="U407" t="s">
        <v>24</v>
      </c>
      <c r="V407">
        <v>0.05</v>
      </c>
      <c r="AD407" t="s">
        <v>142</v>
      </c>
      <c r="AE407">
        <v>0.05</v>
      </c>
      <c r="AI407" t="s">
        <v>24</v>
      </c>
      <c r="AJ407">
        <v>0.05</v>
      </c>
      <c r="BB407" s="5"/>
    </row>
    <row r="408" spans="1:54" ht="15">
      <c r="A408" s="4">
        <v>12</v>
      </c>
      <c r="B408">
        <v>0.62991759259259261</v>
      </c>
      <c r="C408">
        <v>5.5982407407407342E-2</v>
      </c>
      <c r="D408">
        <v>0.41488997077857348</v>
      </c>
      <c r="E408">
        <v>-0.11661759259259263</v>
      </c>
      <c r="F408">
        <v>21.296296296296298</v>
      </c>
      <c r="G408">
        <v>0.41570000000000001</v>
      </c>
      <c r="H408">
        <f t="shared" si="10"/>
        <v>3.1340299391289365E-3</v>
      </c>
      <c r="I408">
        <f t="shared" si="11"/>
        <v>9.0100027777777257E-4</v>
      </c>
      <c r="U408" t="s">
        <v>206</v>
      </c>
      <c r="V408">
        <f>6*(54-2) / ((54+1)*(54+3))</f>
        <v>9.9521531100478469E-2</v>
      </c>
      <c r="AD408" t="s">
        <v>207</v>
      </c>
      <c r="AE408">
        <f>24*54*(54-2)*(54-3) / ((54+1)^2*(54+3)*(54+5))</f>
        <v>0.33785182946159348</v>
      </c>
      <c r="AI408" s="44" t="s">
        <v>208</v>
      </c>
      <c r="AJ408">
        <f>V409^2+AE409^2</f>
        <v>0.90786806755518545</v>
      </c>
      <c r="BB408" s="5"/>
    </row>
    <row r="409" spans="1:54">
      <c r="A409" s="4">
        <v>13</v>
      </c>
      <c r="B409">
        <v>0.5663259259259259</v>
      </c>
      <c r="C409">
        <v>-1.7125925925925878E-2</v>
      </c>
      <c r="D409">
        <v>-0.1269215676141725</v>
      </c>
      <c r="E409">
        <v>-0.11661759259259263</v>
      </c>
      <c r="F409">
        <v>23.148148148148149</v>
      </c>
      <c r="G409">
        <v>0.42930000000000001</v>
      </c>
      <c r="H409">
        <f t="shared" si="10"/>
        <v>2.9329733882030014E-4</v>
      </c>
      <c r="I409">
        <f t="shared" si="11"/>
        <v>5.344828402777761E-3</v>
      </c>
      <c r="U409" t="s">
        <v>209</v>
      </c>
      <c r="V409">
        <f>B480/SQRT(V408)</f>
        <v>-0.15719393370554866</v>
      </c>
      <c r="AD409" t="s">
        <v>210</v>
      </c>
      <c r="AE409">
        <f>(B479+6/(54+1))/SQRT(AE408)</f>
        <v>-0.93976493590757104</v>
      </c>
      <c r="AI409" t="s">
        <v>211</v>
      </c>
      <c r="AJ409">
        <f>_xlfn.CHISQ.INV(1-0.05,2)</f>
        <v>5.9914645471079799</v>
      </c>
      <c r="BB409" s="5"/>
    </row>
    <row r="410" spans="1:54">
      <c r="A410" s="4">
        <v>14</v>
      </c>
      <c r="B410">
        <v>0.5663259259259259</v>
      </c>
      <c r="C410">
        <v>0.20807407407407408</v>
      </c>
      <c r="D410">
        <v>1.5420531290147557</v>
      </c>
      <c r="E410">
        <v>-0.11393425925925921</v>
      </c>
      <c r="F410">
        <v>25</v>
      </c>
      <c r="G410">
        <v>0.43309999999999998</v>
      </c>
      <c r="H410">
        <f t="shared" si="10"/>
        <v>4.329482030178327E-2</v>
      </c>
      <c r="I410">
        <f t="shared" si="11"/>
        <v>5.0715039999999982E-2</v>
      </c>
      <c r="U410" t="s">
        <v>212</v>
      </c>
      <c r="V410">
        <f>_xlfn.NORM.S.INV(0.05/2)</f>
        <v>-1.9599639845400538</v>
      </c>
      <c r="W410" s="14"/>
      <c r="AD410" t="s">
        <v>217</v>
      </c>
      <c r="AE410">
        <f>_xlfn.NORM.S.DIST(AE409,1)</f>
        <v>0.17366907419115452</v>
      </c>
      <c r="AI410" t="s">
        <v>213</v>
      </c>
      <c r="AJ410" s="32">
        <f>1 - _xlfn.CHISQ.DIST(AJ408,2,1)</f>
        <v>0.6351246286365817</v>
      </c>
      <c r="BB410" s="5"/>
    </row>
    <row r="411" spans="1:54">
      <c r="A411" s="4">
        <v>15</v>
      </c>
      <c r="B411">
        <v>0.5663259259259259</v>
      </c>
      <c r="C411">
        <v>-0.13322592592592591</v>
      </c>
      <c r="D411">
        <v>-0.98734768785670657</v>
      </c>
      <c r="E411">
        <v>-9.4234259259259212E-2</v>
      </c>
      <c r="F411">
        <v>26.851851851851855</v>
      </c>
      <c r="G411">
        <v>0.43309999999999998</v>
      </c>
      <c r="H411">
        <f t="shared" si="10"/>
        <v>1.7749147338820298E-2</v>
      </c>
      <c r="I411">
        <f t="shared" si="11"/>
        <v>0.11648568999999999</v>
      </c>
      <c r="U411" t="s">
        <v>214</v>
      </c>
      <c r="V411">
        <f>_xlfn.NORM.S.INV(1-0.05/2)</f>
        <v>1.9599639845400536</v>
      </c>
      <c r="W411" s="14"/>
      <c r="AD411" t="s">
        <v>219</v>
      </c>
      <c r="AE411">
        <f>1- _xlfn.NORM.S.DIST(AE409,1)</f>
        <v>0.82633092580884548</v>
      </c>
      <c r="AJ411" s="32"/>
      <c r="BB411" s="5"/>
    </row>
    <row r="412" spans="1:54">
      <c r="A412" s="4">
        <v>16</v>
      </c>
      <c r="B412">
        <v>0.5663259259259259</v>
      </c>
      <c r="C412">
        <v>0.27797407407407415</v>
      </c>
      <c r="D412">
        <v>2.0600874598067729</v>
      </c>
      <c r="E412">
        <v>-8.7034259259259172E-2</v>
      </c>
      <c r="F412">
        <v>28.703703703703706</v>
      </c>
      <c r="G412">
        <v>0.48680000000000001</v>
      </c>
      <c r="H412">
        <f t="shared" si="10"/>
        <v>7.7269585857338868E-2</v>
      </c>
      <c r="I412">
        <f t="shared" si="11"/>
        <v>0.16908544000000006</v>
      </c>
      <c r="U412" t="s">
        <v>216</v>
      </c>
      <c r="V412">
        <f>_xlfn.NORM.S.DIST(V409,1)</f>
        <v>0.43754600453445597</v>
      </c>
      <c r="AD412" t="s">
        <v>215</v>
      </c>
      <c r="AE412">
        <f>2*MIN(AE410:AE411)</f>
        <v>0.34733814838230903</v>
      </c>
      <c r="BB412" s="5"/>
    </row>
    <row r="413" spans="1:54">
      <c r="A413" s="4">
        <v>17</v>
      </c>
      <c r="B413">
        <v>0.50273425925925919</v>
      </c>
      <c r="C413">
        <v>-0.21193425925925918</v>
      </c>
      <c r="D413">
        <v>-1.570661261334364</v>
      </c>
      <c r="E413">
        <v>-8.7034259259259172E-2</v>
      </c>
      <c r="F413">
        <v>30.555555555555557</v>
      </c>
      <c r="G413">
        <v>0.49059999999999998</v>
      </c>
      <c r="H413">
        <f t="shared" si="10"/>
        <v>4.4916130247770886E-2</v>
      </c>
      <c r="I413">
        <f t="shared" si="11"/>
        <v>0.24001017506944444</v>
      </c>
      <c r="U413" t="s">
        <v>218</v>
      </c>
      <c r="V413">
        <f>1- _xlfn.NORM.S.DIST(V409,1)</f>
        <v>0.56245399546554409</v>
      </c>
      <c r="BB413" s="5"/>
    </row>
    <row r="414" spans="1:54">
      <c r="A414" s="4">
        <v>18</v>
      </c>
      <c r="B414">
        <v>0.50273425925925919</v>
      </c>
      <c r="C414">
        <v>0.13076574074074077</v>
      </c>
      <c r="D414">
        <v>0.96911506430832572</v>
      </c>
      <c r="E414">
        <v>-7.9525925925925889E-2</v>
      </c>
      <c r="F414">
        <v>32.407407407407405</v>
      </c>
      <c r="G414">
        <v>0.51200000000000001</v>
      </c>
      <c r="H414">
        <f t="shared" si="10"/>
        <v>1.7099678951474628E-2</v>
      </c>
      <c r="I414">
        <f t="shared" si="11"/>
        <v>0.11744328999999996</v>
      </c>
      <c r="U414" t="s">
        <v>215</v>
      </c>
      <c r="V414">
        <f>2*MIN(V412:V413)</f>
        <v>0.87509200906891194</v>
      </c>
      <c r="BB414" s="5"/>
    </row>
    <row r="415" spans="1:54">
      <c r="A415" s="4">
        <v>19</v>
      </c>
      <c r="B415">
        <v>0.62991759259259261</v>
      </c>
      <c r="C415">
        <v>-2.1217592592592593E-2</v>
      </c>
      <c r="D415">
        <v>-0.1572452271777017</v>
      </c>
      <c r="E415">
        <v>-7.5725925925925919E-2</v>
      </c>
      <c r="F415">
        <v>34.25925925925926</v>
      </c>
      <c r="G415">
        <v>0.51329999999999998</v>
      </c>
      <c r="H415">
        <f t="shared" si="10"/>
        <v>4.5018623542524011E-4</v>
      </c>
      <c r="I415">
        <f t="shared" si="11"/>
        <v>2.3098933611111119E-2</v>
      </c>
      <c r="BB415" s="5"/>
    </row>
    <row r="416" spans="1:54" ht="15">
      <c r="A416" s="4">
        <v>20</v>
      </c>
      <c r="B416">
        <v>0.62991759259259261</v>
      </c>
      <c r="C416">
        <v>-0.2152175925925926</v>
      </c>
      <c r="D416">
        <v>-1.5949942997621251</v>
      </c>
      <c r="E416">
        <v>-5.4325925925925889E-2</v>
      </c>
      <c r="F416">
        <v>36.111111111111107</v>
      </c>
      <c r="G416">
        <v>0.51329999999999998</v>
      </c>
      <c r="H416">
        <f t="shared" si="10"/>
        <v>4.6318612161351171E-2</v>
      </c>
      <c r="I416">
        <f t="shared" si="11"/>
        <v>3.7636000000000003E-2</v>
      </c>
      <c r="U416" t="s">
        <v>73</v>
      </c>
      <c r="V416" s="20" t="s">
        <v>75</v>
      </c>
      <c r="W416">
        <f>V410</f>
        <v>-1.9599639845400538</v>
      </c>
      <c r="X416" t="s">
        <v>76</v>
      </c>
      <c r="Y416" s="21" t="s">
        <v>77</v>
      </c>
      <c r="Z416" s="20" t="s">
        <v>74</v>
      </c>
      <c r="AA416">
        <f>V411</f>
        <v>1.9599639845400536</v>
      </c>
      <c r="AB416" t="s">
        <v>79</v>
      </c>
      <c r="AI416" t="s">
        <v>73</v>
      </c>
      <c r="AJ416" s="20" t="s">
        <v>74</v>
      </c>
      <c r="AK416">
        <f>AJ409</f>
        <v>5.9914645471079799</v>
      </c>
      <c r="AL416" t="s">
        <v>79</v>
      </c>
      <c r="BB416" s="5"/>
    </row>
    <row r="417" spans="1:54">
      <c r="A417" s="4">
        <v>21</v>
      </c>
      <c r="B417">
        <v>0.5663259259259259</v>
      </c>
      <c r="C417">
        <v>-7.5725925925925919E-2</v>
      </c>
      <c r="D417">
        <v>-0.5612107204669935</v>
      </c>
      <c r="E417">
        <v>-2.4417592592592574E-2</v>
      </c>
      <c r="F417">
        <v>37.962962962962962</v>
      </c>
      <c r="G417">
        <v>0.51919999999999999</v>
      </c>
      <c r="H417">
        <f t="shared" si="10"/>
        <v>5.7344158573388194E-3</v>
      </c>
      <c r="I417">
        <f t="shared" si="11"/>
        <v>1.9457925069444448E-2</v>
      </c>
      <c r="BB417" s="5"/>
    </row>
    <row r="418" spans="1:54">
      <c r="A418" s="4">
        <v>22</v>
      </c>
      <c r="B418">
        <v>0.5663259259259259</v>
      </c>
      <c r="C418">
        <v>4.9674074074074093E-2</v>
      </c>
      <c r="D418">
        <v>0.3681384223272679</v>
      </c>
      <c r="E418">
        <v>-2.4417592592592574E-2</v>
      </c>
      <c r="F418">
        <v>39.81481481481481</v>
      </c>
      <c r="G418">
        <v>0.52869999999999995</v>
      </c>
      <c r="H418">
        <f t="shared" si="10"/>
        <v>2.4675136351166001E-3</v>
      </c>
      <c r="I418">
        <f t="shared" si="11"/>
        <v>1.5725160000000002E-2</v>
      </c>
      <c r="U418" s="23" t="s">
        <v>209</v>
      </c>
      <c r="V418" t="str">
        <f>IF(AND(V409&gt;$W$416,V409&lt;$AA$416),"∉","∈")</f>
        <v>∉</v>
      </c>
      <c r="W418" s="23" t="s">
        <v>73</v>
      </c>
      <c r="AD418" s="23" t="s">
        <v>210</v>
      </c>
      <c r="AE418" t="str">
        <f>IF(AND(AE409&gt;$W$416,AE409&lt;$AA$416),"∉","∈")</f>
        <v>∉</v>
      </c>
      <c r="AF418" s="23" t="s">
        <v>73</v>
      </c>
      <c r="AI418" s="23" t="s">
        <v>250</v>
      </c>
      <c r="AJ418" t="str">
        <f>IF(AJ408&lt;AK416,"∉","∈")</f>
        <v>∉</v>
      </c>
      <c r="AK418" s="23" t="s">
        <v>73</v>
      </c>
      <c r="BB418" s="5"/>
    </row>
    <row r="419" spans="1:54">
      <c r="A419" s="4">
        <v>23</v>
      </c>
      <c r="B419">
        <v>0.50273425925925919</v>
      </c>
      <c r="C419">
        <v>9.736574074074078E-2</v>
      </c>
      <c r="D419">
        <v>0.72158506933760547</v>
      </c>
      <c r="E419">
        <v>-2.1217592592592593E-2</v>
      </c>
      <c r="F419">
        <v>41.666666666666664</v>
      </c>
      <c r="G419">
        <v>0.52869999999999995</v>
      </c>
      <c r="H419">
        <f t="shared" si="10"/>
        <v>9.4800874699931485E-3</v>
      </c>
      <c r="I419">
        <f t="shared" si="11"/>
        <v>2.2744950694444464E-3</v>
      </c>
      <c r="U419" t="s">
        <v>87</v>
      </c>
      <c r="V419" t="s">
        <v>88</v>
      </c>
      <c r="W419" t="str">
        <f>IF(V418="∈","zamietam","nezamietam")</f>
        <v>nezamietam</v>
      </c>
      <c r="AD419" t="s">
        <v>87</v>
      </c>
      <c r="AE419" t="s">
        <v>88</v>
      </c>
      <c r="AF419" t="str">
        <f>IF(AE418="∈","zamietam","nezamietam")</f>
        <v>nezamietam</v>
      </c>
      <c r="AI419" t="s">
        <v>87</v>
      </c>
      <c r="AJ419" t="s">
        <v>88</v>
      </c>
      <c r="AK419" t="str">
        <f>IF(AJ418="∈","zamietam","nezamietam")</f>
        <v>nezamietam</v>
      </c>
      <c r="BB419" s="5"/>
    </row>
    <row r="420" spans="1:54">
      <c r="A420" s="4">
        <v>24</v>
      </c>
      <c r="B420">
        <v>0.62991759259259261</v>
      </c>
      <c r="C420">
        <v>0.14098240740740742</v>
      </c>
      <c r="D420">
        <v>1.044831574745976</v>
      </c>
      <c r="E420">
        <v>-1.7125925925925878E-2</v>
      </c>
      <c r="F420">
        <v>43.518518518518519</v>
      </c>
      <c r="G420">
        <v>0.54920000000000002</v>
      </c>
      <c r="H420">
        <f t="shared" si="10"/>
        <v>1.9876039198388207E-2</v>
      </c>
      <c r="I420">
        <f t="shared" si="11"/>
        <v>1.9024136111111085E-3</v>
      </c>
      <c r="V420" t="s">
        <v>89</v>
      </c>
      <c r="W420" t="str">
        <f>IF(V418="∈","nezamietam","zamietam")</f>
        <v>zamietam</v>
      </c>
      <c r="AA420" s="23"/>
      <c r="AC420" s="23"/>
      <c r="AE420" t="s">
        <v>89</v>
      </c>
      <c r="AF420" t="str">
        <f>IF(AE418="∈","nezamietam","zamietam")</f>
        <v>zamietam</v>
      </c>
      <c r="AJ420" t="s">
        <v>89</v>
      </c>
      <c r="AK420" t="str">
        <f>IF(AJ418="∈","nezamietam","zamietam")</f>
        <v>zamietam</v>
      </c>
      <c r="BB420" s="5"/>
    </row>
    <row r="421" spans="1:54">
      <c r="A421" s="4">
        <v>25</v>
      </c>
      <c r="B421">
        <v>0.5663259259259259</v>
      </c>
      <c r="C421">
        <v>0.14607407407407413</v>
      </c>
      <c r="D421">
        <v>1.0825663120032394</v>
      </c>
      <c r="E421">
        <v>1.4082407407407405E-2</v>
      </c>
      <c r="F421">
        <v>45.370370370370367</v>
      </c>
      <c r="G421">
        <v>0.56030000000000002</v>
      </c>
      <c r="H421">
        <f t="shared" si="10"/>
        <v>2.1337635116598096E-2</v>
      </c>
      <c r="I421">
        <f t="shared" si="11"/>
        <v>2.5925069444444952E-5</v>
      </c>
      <c r="BB421" s="5"/>
    </row>
    <row r="422" spans="1:54">
      <c r="A422" s="4">
        <v>26</v>
      </c>
      <c r="B422">
        <v>0.5663259259259259</v>
      </c>
      <c r="C422">
        <v>9.9674074074074137E-2</v>
      </c>
      <c r="D422">
        <v>0.73869230701397526</v>
      </c>
      <c r="E422">
        <v>1.6465740740740809E-2</v>
      </c>
      <c r="F422">
        <v>47.222222222222221</v>
      </c>
      <c r="G422">
        <v>0.60009999999999997</v>
      </c>
      <c r="H422">
        <f t="shared" si="10"/>
        <v>9.9349210425240184E-3</v>
      </c>
      <c r="I422">
        <f t="shared" si="11"/>
        <v>2.1529599999999998E-3</v>
      </c>
      <c r="U422" t="s">
        <v>90</v>
      </c>
      <c r="V422">
        <f>2*MIN(V412:V413)</f>
        <v>0.87509200906891194</v>
      </c>
      <c r="W422" t="str">
        <f>IF(V422&gt;X422,"&gt;","&lt;")</f>
        <v>&gt;</v>
      </c>
      <c r="X422">
        <v>0.05</v>
      </c>
      <c r="AD422" t="s">
        <v>90</v>
      </c>
      <c r="AE422">
        <f>2*MIN(AE410:AE411)</f>
        <v>0.34733814838230903</v>
      </c>
      <c r="AF422" t="str">
        <f>IF(AE422&gt;AG422,"&gt;","&lt;")</f>
        <v>&gt;</v>
      </c>
      <c r="AG422">
        <v>0.05</v>
      </c>
      <c r="AI422" t="s">
        <v>90</v>
      </c>
      <c r="AJ422" s="32">
        <f>AJ410</f>
        <v>0.6351246286365817</v>
      </c>
      <c r="AK422" t="str">
        <f>IF(AJ422&gt;AL422,"&gt;","&lt;")</f>
        <v>&gt;</v>
      </c>
      <c r="AL422">
        <v>0.05</v>
      </c>
      <c r="BB422" s="5"/>
    </row>
    <row r="423" spans="1:54">
      <c r="A423" s="4">
        <v>27</v>
      </c>
      <c r="B423">
        <v>0.5663259259259259</v>
      </c>
      <c r="C423">
        <v>8.1274074074074054E-2</v>
      </c>
      <c r="D423">
        <v>0.60232847744926654</v>
      </c>
      <c r="E423">
        <v>1.7082407407407407E-2</v>
      </c>
      <c r="F423">
        <v>49.074074074074069</v>
      </c>
      <c r="G423">
        <v>0.60550000000000004</v>
      </c>
      <c r="H423">
        <f t="shared" si="10"/>
        <v>6.6054751165980762E-3</v>
      </c>
      <c r="I423">
        <f t="shared" si="11"/>
        <v>3.3856000000000305E-4</v>
      </c>
      <c r="U423" t="s">
        <v>87</v>
      </c>
      <c r="V423" t="s">
        <v>88</v>
      </c>
      <c r="W423" t="str">
        <f>IF(W422="&lt;","zamietam","nezamietam")</f>
        <v>nezamietam</v>
      </c>
      <c r="AD423" t="s">
        <v>87</v>
      </c>
      <c r="AE423" t="s">
        <v>88</v>
      </c>
      <c r="AF423" t="str">
        <f>IF(AF422="&lt;","zamietam","nezamietam")</f>
        <v>nezamietam</v>
      </c>
      <c r="AI423" t="s">
        <v>87</v>
      </c>
      <c r="AJ423" t="s">
        <v>88</v>
      </c>
      <c r="AK423" t="str">
        <f>IF(AK422="&lt;","zamietam","nezamietam")</f>
        <v>nezamietam</v>
      </c>
      <c r="BB423" s="5"/>
    </row>
    <row r="424" spans="1:54">
      <c r="A424" s="4">
        <v>28</v>
      </c>
      <c r="B424">
        <v>0.50273425925925919</v>
      </c>
      <c r="C424">
        <v>-9.4234259259259212E-2</v>
      </c>
      <c r="D424">
        <v>-0.69837741678185594</v>
      </c>
      <c r="E424">
        <v>2.5965740740740761E-2</v>
      </c>
      <c r="F424">
        <v>50.925925925925924</v>
      </c>
      <c r="G424">
        <v>0.60550000000000004</v>
      </c>
      <c r="H424">
        <f t="shared" si="10"/>
        <v>8.8800956181412805E-3</v>
      </c>
      <c r="I424">
        <f t="shared" si="11"/>
        <v>3.0803175069444421E-2</v>
      </c>
      <c r="V424" t="s">
        <v>89</v>
      </c>
      <c r="W424" t="str">
        <f>IF(W422="&lt;","nezamietam","zamietam")</f>
        <v>zamietam</v>
      </c>
      <c r="AE424" t="s">
        <v>89</v>
      </c>
      <c r="AF424" t="str">
        <f>IF(AF422="&lt;","nezamietam","zamietam")</f>
        <v>zamietam</v>
      </c>
      <c r="AJ424" t="s">
        <v>89</v>
      </c>
      <c r="AK424" t="str">
        <f>IF(AK422="&lt;","nezamietam","zamietam")</f>
        <v>zamietam</v>
      </c>
      <c r="BB424" s="5"/>
    </row>
    <row r="425" spans="1:54">
      <c r="A425" s="4">
        <v>29</v>
      </c>
      <c r="B425">
        <v>0.50273425925925919</v>
      </c>
      <c r="C425">
        <v>-0.1457342592592592</v>
      </c>
      <c r="D425">
        <v>-1.080047918009164</v>
      </c>
      <c r="E425">
        <v>2.5965740740740761E-2</v>
      </c>
      <c r="F425">
        <v>52.777777777777779</v>
      </c>
      <c r="G425">
        <v>0.6079</v>
      </c>
      <c r="H425">
        <f t="shared" si="10"/>
        <v>2.1238474321844978E-2</v>
      </c>
      <c r="I425">
        <f t="shared" si="11"/>
        <v>2.6522499999999988E-3</v>
      </c>
      <c r="BB425" s="5"/>
    </row>
    <row r="426" spans="1:54" ht="15">
      <c r="A426" s="4">
        <v>30</v>
      </c>
      <c r="B426">
        <v>0.62991759259259261</v>
      </c>
      <c r="C426">
        <v>-0.27041759259259263</v>
      </c>
      <c r="D426">
        <v>-2.00408578845625</v>
      </c>
      <c r="E426">
        <v>2.8582407407407362E-2</v>
      </c>
      <c r="F426">
        <v>54.629629629629626</v>
      </c>
      <c r="G426">
        <v>0.60870000000000002</v>
      </c>
      <c r="H426">
        <f t="shared" si="10"/>
        <v>7.3125674383573411E-2</v>
      </c>
      <c r="I426">
        <f t="shared" si="11"/>
        <v>1.5545933611111134E-2</v>
      </c>
      <c r="U426" s="10" t="s">
        <v>220</v>
      </c>
      <c r="BB426" s="5"/>
    </row>
    <row r="427" spans="1:54" ht="15">
      <c r="A427" s="4">
        <v>31</v>
      </c>
      <c r="B427">
        <v>0.62991759259259261</v>
      </c>
      <c r="C427">
        <v>2.8582407407407362E-2</v>
      </c>
      <c r="D427">
        <v>0.21182644197025818</v>
      </c>
      <c r="E427">
        <v>2.8582407407407362E-2</v>
      </c>
      <c r="F427">
        <v>56.481481481481481</v>
      </c>
      <c r="G427">
        <v>0.61599999999999999</v>
      </c>
      <c r="H427">
        <f t="shared" si="10"/>
        <v>8.1695401320301523E-4</v>
      </c>
      <c r="I427">
        <f t="shared" si="11"/>
        <v>8.9400999999999994E-2</v>
      </c>
      <c r="U427" t="s">
        <v>340</v>
      </c>
      <c r="AG427" s="10" t="s">
        <v>261</v>
      </c>
      <c r="BB427" s="5"/>
    </row>
    <row r="428" spans="1:54">
      <c r="A428" s="4">
        <v>32</v>
      </c>
      <c r="B428">
        <v>0.50273425925925919</v>
      </c>
      <c r="C428">
        <v>-8.7034259259259172E-2</v>
      </c>
      <c r="D428">
        <v>-0.64501765738696981</v>
      </c>
      <c r="E428">
        <v>4.1574074074074097E-2</v>
      </c>
      <c r="F428">
        <v>58.333333333333329</v>
      </c>
      <c r="G428">
        <v>0.61599999999999999</v>
      </c>
      <c r="H428">
        <f t="shared" si="10"/>
        <v>7.5749622848079413E-3</v>
      </c>
      <c r="I428">
        <f t="shared" si="11"/>
        <v>1.3367213611111081E-2</v>
      </c>
      <c r="U428" t="s">
        <v>221</v>
      </c>
      <c r="BB428" s="5"/>
    </row>
    <row r="429" spans="1:54" ht="15">
      <c r="A429" s="4">
        <v>33</v>
      </c>
      <c r="B429">
        <v>0.50273425925925919</v>
      </c>
      <c r="C429">
        <v>-0.21403425925925917</v>
      </c>
      <c r="D429">
        <v>-1.5862245244912057</v>
      </c>
      <c r="E429">
        <v>4.9674074074074093E-2</v>
      </c>
      <c r="F429">
        <v>60.185185185185183</v>
      </c>
      <c r="G429">
        <v>0.61780000000000002</v>
      </c>
      <c r="H429">
        <f t="shared" si="10"/>
        <v>4.5810664136659775E-2</v>
      </c>
      <c r="I429">
        <f t="shared" si="11"/>
        <v>1.6129000000000001E-2</v>
      </c>
      <c r="U429" s="10" t="s">
        <v>222</v>
      </c>
      <c r="BB429" s="5"/>
    </row>
    <row r="430" spans="1:54">
      <c r="A430" s="4">
        <v>34</v>
      </c>
      <c r="B430">
        <v>0.62991759259259261</v>
      </c>
      <c r="C430">
        <v>-2.4417592592592574E-2</v>
      </c>
      <c r="D430">
        <v>-0.18096067579765082</v>
      </c>
      <c r="E430">
        <v>4.9674074074074093E-2</v>
      </c>
      <c r="F430">
        <v>62.037037037037038</v>
      </c>
      <c r="G430">
        <v>0.62729999999999997</v>
      </c>
      <c r="H430">
        <f t="shared" si="10"/>
        <v>5.9621882801783174E-4</v>
      </c>
      <c r="I430">
        <f t="shared" si="11"/>
        <v>3.5954480277777749E-2</v>
      </c>
      <c r="U430" t="s">
        <v>223</v>
      </c>
      <c r="BB430" s="5"/>
    </row>
    <row r="431" spans="1:54">
      <c r="A431" s="4">
        <v>35</v>
      </c>
      <c r="B431">
        <v>0.62991759259259261</v>
      </c>
      <c r="C431">
        <v>-0.11661759259259263</v>
      </c>
      <c r="D431">
        <v>-0.86426203915993904</v>
      </c>
      <c r="E431">
        <v>5.5982407407407342E-2</v>
      </c>
      <c r="F431">
        <v>63.888888888888886</v>
      </c>
      <c r="G431">
        <v>0.63349999999999995</v>
      </c>
      <c r="H431">
        <f t="shared" si="10"/>
        <v>1.3599662902091917E-2</v>
      </c>
      <c r="I431">
        <f t="shared" si="11"/>
        <v>8.5008400000000112E-3</v>
      </c>
      <c r="BB431" s="5"/>
    </row>
    <row r="432" spans="1:54">
      <c r="A432" s="4">
        <v>36</v>
      </c>
      <c r="B432">
        <v>0.50273425925925919</v>
      </c>
      <c r="C432">
        <v>5.7565740740740834E-2</v>
      </c>
      <c r="D432">
        <v>0.42662417712698708</v>
      </c>
      <c r="E432">
        <v>5.5982407407407342E-2</v>
      </c>
      <c r="F432">
        <v>65.740740740740733</v>
      </c>
      <c r="G432">
        <v>0.63349999999999995</v>
      </c>
      <c r="H432">
        <f t="shared" si="10"/>
        <v>3.3138145070301891E-3</v>
      </c>
      <c r="I432">
        <f t="shared" si="11"/>
        <v>3.0339833611111158E-2</v>
      </c>
      <c r="BB432" s="5"/>
    </row>
    <row r="433" spans="1:54">
      <c r="A433" s="4">
        <v>37</v>
      </c>
      <c r="B433">
        <v>0.62991759259259261</v>
      </c>
      <c r="C433">
        <v>1.7082407407407407E-2</v>
      </c>
      <c r="D433">
        <v>0.1265990484923159</v>
      </c>
      <c r="E433">
        <v>5.7565740740740834E-2</v>
      </c>
      <c r="F433">
        <v>67.592592592592595</v>
      </c>
      <c r="G433">
        <v>0.64400000000000002</v>
      </c>
      <c r="H433">
        <f t="shared" si="10"/>
        <v>2.9180864283264747E-4</v>
      </c>
      <c r="I433">
        <f t="shared" si="11"/>
        <v>1.6389002777777854E-3</v>
      </c>
      <c r="BB433" s="5"/>
    </row>
    <row r="434" spans="1:54">
      <c r="A434" s="4">
        <v>38</v>
      </c>
      <c r="B434">
        <v>0.50273425925925919</v>
      </c>
      <c r="C434">
        <v>2.5965740740740761E-2</v>
      </c>
      <c r="D434">
        <v>0.19243412200498766</v>
      </c>
      <c r="E434">
        <v>7.7782407407407383E-2</v>
      </c>
      <c r="F434">
        <v>69.444444444444443</v>
      </c>
      <c r="G434">
        <v>0.64700000000000002</v>
      </c>
      <c r="H434">
        <f t="shared" si="10"/>
        <v>6.7421969221536455E-4</v>
      </c>
      <c r="I434">
        <f t="shared" si="11"/>
        <v>7.8913611111111484E-5</v>
      </c>
      <c r="BB434" s="5"/>
    </row>
    <row r="435" spans="1:54">
      <c r="A435" s="4">
        <v>39</v>
      </c>
      <c r="B435">
        <v>0.62991759259259261</v>
      </c>
      <c r="C435">
        <v>5.5982407407407342E-2</v>
      </c>
      <c r="D435">
        <v>0.41488997077857348</v>
      </c>
      <c r="E435">
        <v>8.1274074074074054E-2</v>
      </c>
      <c r="F435">
        <v>71.296296296296291</v>
      </c>
      <c r="G435">
        <v>0.64759999999999995</v>
      </c>
      <c r="H435">
        <f t="shared" si="10"/>
        <v>3.1340299391289365E-3</v>
      </c>
      <c r="I435">
        <f t="shared" si="11"/>
        <v>9.0100027777777257E-4</v>
      </c>
      <c r="BB435" s="5"/>
    </row>
    <row r="436" spans="1:54" ht="15">
      <c r="A436" s="4">
        <v>40</v>
      </c>
      <c r="B436">
        <v>0.5663259259259259</v>
      </c>
      <c r="C436">
        <v>-7.9525925925925889E-2</v>
      </c>
      <c r="D436">
        <v>-0.58937281570318301</v>
      </c>
      <c r="E436">
        <v>9.736574074074078E-2</v>
      </c>
      <c r="F436">
        <v>73.148148148148152</v>
      </c>
      <c r="G436">
        <v>0.65849999999999997</v>
      </c>
      <c r="H436">
        <f t="shared" si="10"/>
        <v>6.3243728943758511E-3</v>
      </c>
      <c r="I436">
        <f t="shared" si="11"/>
        <v>1.8362508402777748E-2</v>
      </c>
      <c r="AM436" s="21"/>
      <c r="AN436" s="20"/>
      <c r="BB436" s="5"/>
    </row>
    <row r="437" spans="1:54">
      <c r="A437" s="4">
        <v>41</v>
      </c>
      <c r="B437">
        <v>0.5663259259259259</v>
      </c>
      <c r="C437">
        <v>0.20807407407407408</v>
      </c>
      <c r="D437">
        <v>1.5420531290147557</v>
      </c>
      <c r="E437">
        <v>9.9674074074074137E-2</v>
      </c>
      <c r="F437">
        <v>75</v>
      </c>
      <c r="G437">
        <v>0.65849999999999997</v>
      </c>
      <c r="H437">
        <f t="shared" si="10"/>
        <v>4.329482030178327E-2</v>
      </c>
      <c r="I437">
        <f t="shared" si="11"/>
        <v>8.2713759999999983E-2</v>
      </c>
      <c r="BB437" s="5"/>
    </row>
    <row r="438" spans="1:54">
      <c r="A438" s="4">
        <v>42</v>
      </c>
      <c r="B438">
        <v>0.5663259259259259</v>
      </c>
      <c r="C438">
        <v>-0.13322592592592591</v>
      </c>
      <c r="D438">
        <v>-0.98734768785670657</v>
      </c>
      <c r="E438">
        <v>9.9674074074074137E-2</v>
      </c>
      <c r="F438">
        <v>76.851851851851848</v>
      </c>
      <c r="G438">
        <v>0.66600000000000004</v>
      </c>
      <c r="H438">
        <f t="shared" si="10"/>
        <v>1.7749147338820298E-2</v>
      </c>
      <c r="I438">
        <f t="shared" si="11"/>
        <v>0.11648568999999999</v>
      </c>
      <c r="BB438" s="5"/>
    </row>
    <row r="439" spans="1:54">
      <c r="A439" s="4">
        <v>43</v>
      </c>
      <c r="B439">
        <v>0.5663259259259259</v>
      </c>
      <c r="C439">
        <v>0.27797407407407415</v>
      </c>
      <c r="D439">
        <v>2.0600874598067729</v>
      </c>
      <c r="E439">
        <v>0.11506574074074083</v>
      </c>
      <c r="F439">
        <v>78.703703703703695</v>
      </c>
      <c r="G439">
        <v>0.66600000000000004</v>
      </c>
      <c r="H439">
        <f t="shared" si="10"/>
        <v>7.7269585857338868E-2</v>
      </c>
      <c r="I439">
        <f t="shared" si="11"/>
        <v>0.16908544000000006</v>
      </c>
      <c r="BB439" s="5"/>
    </row>
    <row r="440" spans="1:54">
      <c r="A440" s="4">
        <v>44</v>
      </c>
      <c r="B440">
        <v>0.50273425925925919</v>
      </c>
      <c r="C440">
        <v>0.11506574074074083</v>
      </c>
      <c r="D440">
        <v>0.85276114451670015</v>
      </c>
      <c r="E440">
        <v>0.12456574074074078</v>
      </c>
      <c r="F440">
        <v>80.555555555555557</v>
      </c>
      <c r="G440">
        <v>0.68589999999999995</v>
      </c>
      <c r="H440">
        <f t="shared" si="10"/>
        <v>1.3240124692215385E-2</v>
      </c>
      <c r="I440">
        <f t="shared" si="11"/>
        <v>2.653912506944444E-2</v>
      </c>
      <c r="BB440" s="5"/>
    </row>
    <row r="441" spans="1:54">
      <c r="A441" s="4">
        <v>45</v>
      </c>
      <c r="B441">
        <v>0.50273425925925919</v>
      </c>
      <c r="C441">
        <v>0.13076574074074077</v>
      </c>
      <c r="D441">
        <v>0.96911506430832572</v>
      </c>
      <c r="E441">
        <v>0.13076574074074077</v>
      </c>
      <c r="F441">
        <v>82.407407407407405</v>
      </c>
      <c r="G441">
        <v>0.68589999999999995</v>
      </c>
      <c r="H441">
        <f t="shared" si="10"/>
        <v>1.7099678951474628E-2</v>
      </c>
      <c r="I441">
        <f t="shared" si="11"/>
        <v>2.4648999999999797E-4</v>
      </c>
      <c r="BB441" s="5"/>
    </row>
    <row r="442" spans="1:54">
      <c r="A442" s="4">
        <v>46</v>
      </c>
      <c r="B442">
        <v>0.62991759259259261</v>
      </c>
      <c r="C442">
        <v>1.4082407407407405E-2</v>
      </c>
      <c r="D442">
        <v>0.10436581541111345</v>
      </c>
      <c r="E442">
        <v>0.13076574074074077</v>
      </c>
      <c r="F442">
        <v>84.259259259259252</v>
      </c>
      <c r="G442">
        <v>0.69820000000000004</v>
      </c>
      <c r="H442">
        <f t="shared" si="10"/>
        <v>1.9831419838820295E-4</v>
      </c>
      <c r="I442">
        <f t="shared" si="11"/>
        <v>1.3615000277777784E-2</v>
      </c>
      <c r="BB442" s="5"/>
    </row>
    <row r="443" spans="1:54">
      <c r="A443" s="4">
        <v>47</v>
      </c>
      <c r="B443">
        <v>0.62991759259259261</v>
      </c>
      <c r="C443">
        <v>-0.2152175925925926</v>
      </c>
      <c r="D443">
        <v>-1.5949942997621251</v>
      </c>
      <c r="E443">
        <v>0.13187407407407414</v>
      </c>
      <c r="F443">
        <v>86.111111111111114</v>
      </c>
      <c r="G443">
        <v>0.7077</v>
      </c>
      <c r="H443">
        <f t="shared" si="10"/>
        <v>4.6318612161351171E-2</v>
      </c>
      <c r="I443">
        <f t="shared" si="11"/>
        <v>5.2578489999999999E-2</v>
      </c>
      <c r="BB443" s="5"/>
    </row>
    <row r="444" spans="1:54">
      <c r="A444" s="4">
        <v>48</v>
      </c>
      <c r="B444">
        <v>0.5663259259259259</v>
      </c>
      <c r="C444">
        <v>4.1574074074074097E-2</v>
      </c>
      <c r="D444">
        <v>0.30810869300802141</v>
      </c>
      <c r="E444">
        <v>0.14098240740740742</v>
      </c>
      <c r="F444">
        <v>87.962962962962962</v>
      </c>
      <c r="G444">
        <v>0.71240000000000003</v>
      </c>
      <c r="H444">
        <f t="shared" si="10"/>
        <v>1.7284036351166E-3</v>
      </c>
      <c r="I444">
        <f t="shared" si="11"/>
        <v>6.5941960069444458E-2</v>
      </c>
      <c r="BB444" s="5"/>
    </row>
    <row r="445" spans="1:54">
      <c r="A445" s="4">
        <v>49</v>
      </c>
      <c r="B445">
        <v>0.5663259259259259</v>
      </c>
      <c r="C445">
        <v>4.9674074074074093E-2</v>
      </c>
      <c r="D445">
        <v>0.3681384223272679</v>
      </c>
      <c r="E445">
        <v>0.14607407407407413</v>
      </c>
      <c r="F445">
        <v>89.81481481481481</v>
      </c>
      <c r="G445">
        <v>0.77090000000000003</v>
      </c>
      <c r="H445">
        <f t="shared" si="10"/>
        <v>2.4675136351166001E-3</v>
      </c>
      <c r="I445">
        <f t="shared" si="11"/>
        <v>6.5609999999999936E-5</v>
      </c>
      <c r="U445" t="s">
        <v>234</v>
      </c>
      <c r="BB445" s="5"/>
    </row>
    <row r="446" spans="1:54">
      <c r="A446" s="4">
        <v>50</v>
      </c>
      <c r="B446">
        <v>0.50273425925925919</v>
      </c>
      <c r="C446">
        <v>0.12456574074074078</v>
      </c>
      <c r="D446">
        <v>0.9231663826071741</v>
      </c>
      <c r="E446">
        <v>0.19648240740740741</v>
      </c>
      <c r="F446">
        <v>91.666666666666671</v>
      </c>
      <c r="G446">
        <v>0.77439999999999998</v>
      </c>
      <c r="H446">
        <f t="shared" si="10"/>
        <v>1.5516623766289449E-2</v>
      </c>
      <c r="I446">
        <f t="shared" si="11"/>
        <v>5.6087617361111142E-3</v>
      </c>
      <c r="BB446" s="5"/>
    </row>
    <row r="447" spans="1:54" ht="15">
      <c r="A447" s="4">
        <v>51</v>
      </c>
      <c r="B447">
        <v>0.62991759259259261</v>
      </c>
      <c r="C447">
        <v>0.19648240740740741</v>
      </c>
      <c r="D447">
        <v>1.4561463867482209</v>
      </c>
      <c r="E447">
        <v>0.20807407407407408</v>
      </c>
      <c r="F447">
        <v>93.518518518518519</v>
      </c>
      <c r="G447">
        <v>0.77439999999999998</v>
      </c>
      <c r="H447">
        <f t="shared" si="10"/>
        <v>3.8605336420610425E-2</v>
      </c>
      <c r="I447">
        <f t="shared" si="11"/>
        <v>5.1720069444444391E-3</v>
      </c>
      <c r="U447" s="10" t="s">
        <v>224</v>
      </c>
      <c r="V447" s="10"/>
      <c r="BB447" s="5"/>
    </row>
    <row r="448" spans="1:54">
      <c r="A448" s="4">
        <v>52</v>
      </c>
      <c r="B448">
        <v>0.5663259259259259</v>
      </c>
      <c r="C448">
        <v>0.13187407407407414</v>
      </c>
      <c r="D448">
        <v>0.97732900875221473</v>
      </c>
      <c r="E448">
        <v>0.20807407407407408</v>
      </c>
      <c r="F448">
        <v>95.370370370370367</v>
      </c>
      <c r="G448">
        <v>0.82640000000000002</v>
      </c>
      <c r="H448">
        <f t="shared" si="10"/>
        <v>1.7390771412894395E-2</v>
      </c>
      <c r="I448">
        <f t="shared" si="11"/>
        <v>4.1742367361111022E-3</v>
      </c>
      <c r="U448" t="s">
        <v>227</v>
      </c>
      <c r="BB448" s="5"/>
    </row>
    <row r="449" spans="1:54">
      <c r="A449" s="4">
        <v>53</v>
      </c>
      <c r="B449">
        <v>0.5663259259259259</v>
      </c>
      <c r="C449">
        <v>9.9674074074074137E-2</v>
      </c>
      <c r="D449">
        <v>0.73869230701397526</v>
      </c>
      <c r="E449">
        <v>0.27797407407407415</v>
      </c>
      <c r="F449">
        <v>97.222222222222214</v>
      </c>
      <c r="G449">
        <v>0.84430000000000005</v>
      </c>
      <c r="H449">
        <f t="shared" si="10"/>
        <v>9.9349210425240184E-3</v>
      </c>
      <c r="I449">
        <f t="shared" si="11"/>
        <v>1.0368400000000005E-3</v>
      </c>
      <c r="U449" t="s">
        <v>228</v>
      </c>
      <c r="BB449" s="5"/>
    </row>
    <row r="450" spans="1:54" ht="15" thickBot="1">
      <c r="A450" s="6">
        <v>54</v>
      </c>
      <c r="B450" s="7">
        <v>0.5663259259259259</v>
      </c>
      <c r="C450" s="7">
        <v>-5.4325925925925889E-2</v>
      </c>
      <c r="D450" s="7">
        <v>-0.4026136578210826</v>
      </c>
      <c r="E450" s="7">
        <v>0.27797407407407415</v>
      </c>
      <c r="F450" s="7">
        <v>99.074074074074076</v>
      </c>
      <c r="G450" s="7">
        <v>0.84430000000000005</v>
      </c>
      <c r="H450">
        <f t="shared" si="10"/>
        <v>2.9513062277091865E-3</v>
      </c>
      <c r="I450">
        <f t="shared" si="11"/>
        <v>2.3716000000000008E-2</v>
      </c>
      <c r="BB450" s="5"/>
    </row>
    <row r="451" spans="1:54" ht="15.75" thickBot="1">
      <c r="A451" s="4"/>
      <c r="U451" s="10" t="s">
        <v>229</v>
      </c>
      <c r="BB451" s="5"/>
    </row>
    <row r="452" spans="1:54">
      <c r="A452" s="4" t="s">
        <v>171</v>
      </c>
      <c r="B452">
        <f>SQRT(A450)</f>
        <v>7.3484692283495345</v>
      </c>
      <c r="D452" s="11" t="s">
        <v>44</v>
      </c>
      <c r="E452" s="11" t="s">
        <v>181</v>
      </c>
      <c r="F452" s="11" t="s">
        <v>182</v>
      </c>
      <c r="G452" s="33" t="s">
        <v>184</v>
      </c>
      <c r="BB452" s="5"/>
    </row>
    <row r="453" spans="1:54">
      <c r="A453" s="4" t="s">
        <v>172</v>
      </c>
      <c r="B453">
        <f>5*LOG(A450)</f>
        <v>8.6619687991148435</v>
      </c>
      <c r="D453">
        <v>-0.19207592592592593</v>
      </c>
      <c r="E453">
        <v>7</v>
      </c>
      <c r="F453" s="41">
        <v>0.12962962962962962</v>
      </c>
      <c r="G453">
        <f>_xlfn.NORM.DIST(D453,0,0.135,TRUE)</f>
        <v>7.7399298206435568E-2</v>
      </c>
      <c r="U453" t="s">
        <v>35</v>
      </c>
      <c r="BB453" s="5"/>
    </row>
    <row r="454" spans="1:54" ht="15" thickBot="1">
      <c r="A454" s="4" t="s">
        <v>173</v>
      </c>
      <c r="B454">
        <f>1+3.322*LOG(A450)</f>
        <v>6.7550120701319019</v>
      </c>
      <c r="D454">
        <v>-0.11373425925925924</v>
      </c>
      <c r="E454">
        <v>7</v>
      </c>
      <c r="F454" s="41">
        <v>0.25925925925925924</v>
      </c>
      <c r="G454">
        <f t="shared" ref="G454:G459" si="12">_xlfn.NORM.DIST(D454,0,0.135,TRUE)</f>
        <v>0.19976078556879753</v>
      </c>
      <c r="BB454" s="5"/>
    </row>
    <row r="455" spans="1:54">
      <c r="A455" s="4" t="s">
        <v>174</v>
      </c>
      <c r="B455">
        <f>2.5*A450^0.25</f>
        <v>6.7770150270738361</v>
      </c>
      <c r="D455">
        <v>-3.5392592592592559E-2</v>
      </c>
      <c r="E455">
        <v>6</v>
      </c>
      <c r="F455" s="41">
        <v>0.37037037037037035</v>
      </c>
      <c r="G455">
        <f t="shared" si="12"/>
        <v>0.39659621110222232</v>
      </c>
      <c r="U455" s="12" t="s">
        <v>36</v>
      </c>
      <c r="V455" s="12"/>
      <c r="BB455" s="5"/>
    </row>
    <row r="456" spans="1:54">
      <c r="A456" s="4" t="s">
        <v>175</v>
      </c>
      <c r="B456">
        <v>7</v>
      </c>
      <c r="D456">
        <v>4.2949074074074126E-2</v>
      </c>
      <c r="E456">
        <v>12</v>
      </c>
      <c r="F456" s="41">
        <v>0.59259259259259256</v>
      </c>
      <c r="G456">
        <f t="shared" si="12"/>
        <v>0.62481111752892804</v>
      </c>
      <c r="U456" t="s">
        <v>37</v>
      </c>
      <c r="V456">
        <v>1.6040977047938412E-2</v>
      </c>
      <c r="BB456" s="5"/>
    </row>
    <row r="457" spans="1:54">
      <c r="A457" s="4" t="s">
        <v>176</v>
      </c>
      <c r="B457">
        <f>MAX(C397:C450)-MIN(C397:C450)</f>
        <v>0.54839166666666683</v>
      </c>
      <c r="D457">
        <v>0.12129074074074081</v>
      </c>
      <c r="E457">
        <v>11</v>
      </c>
      <c r="F457" s="41">
        <v>0.79629629629629628</v>
      </c>
      <c r="G457">
        <f t="shared" si="12"/>
        <v>0.81552713660051313</v>
      </c>
      <c r="U457" t="s">
        <v>38</v>
      </c>
      <c r="V457">
        <v>2.5731294465248692E-4</v>
      </c>
      <c r="BB457" s="5"/>
    </row>
    <row r="458" spans="1:54">
      <c r="A458" s="4" t="s">
        <v>177</v>
      </c>
      <c r="B458">
        <f>B457/B456</f>
        <v>7.8341666666666684E-2</v>
      </c>
      <c r="D458">
        <v>0.19963240740740751</v>
      </c>
      <c r="E458">
        <v>7</v>
      </c>
      <c r="F458" s="41">
        <v>0.92592592592592593</v>
      </c>
      <c r="G458">
        <f t="shared" si="12"/>
        <v>0.93039757430331504</v>
      </c>
      <c r="U458" t="s">
        <v>39</v>
      </c>
      <c r="V458">
        <v>-1.8968507960258042E-2</v>
      </c>
      <c r="BB458" s="5"/>
    </row>
    <row r="459" spans="1:54">
      <c r="A459" s="4"/>
      <c r="C459">
        <v>0</v>
      </c>
      <c r="D459">
        <v>0.27797407407407421</v>
      </c>
      <c r="E459">
        <v>4</v>
      </c>
      <c r="F459" s="41">
        <v>1</v>
      </c>
      <c r="G459">
        <f t="shared" si="12"/>
        <v>0.98025610002307528</v>
      </c>
      <c r="U459" t="s">
        <v>40</v>
      </c>
      <c r="V459">
        <v>2.0717825928086846E-2</v>
      </c>
      <c r="BB459" s="5"/>
    </row>
    <row r="460" spans="1:54" ht="15" thickBot="1">
      <c r="A460" s="4"/>
      <c r="D460" s="7" t="s">
        <v>180</v>
      </c>
      <c r="E460" s="7">
        <v>0</v>
      </c>
      <c r="F460" s="36">
        <v>1</v>
      </c>
      <c r="U460" s="7" t="s">
        <v>41</v>
      </c>
      <c r="V460" s="7">
        <v>54</v>
      </c>
      <c r="BB460" s="5"/>
    </row>
    <row r="461" spans="1:54">
      <c r="A461" s="45" t="s">
        <v>178</v>
      </c>
      <c r="B461" s="35" t="s">
        <v>179</v>
      </c>
      <c r="BB461" s="5"/>
    </row>
    <row r="462" spans="1:54" ht="15" thickBot="1">
      <c r="A462" s="45">
        <f>MIN(C397:C450)</f>
        <v>-0.27041759259259263</v>
      </c>
      <c r="B462" s="35">
        <f>A462+B458</f>
        <v>-0.19207592592592593</v>
      </c>
      <c r="U462" t="s">
        <v>42</v>
      </c>
      <c r="BB462" s="5"/>
    </row>
    <row r="463" spans="1:54">
      <c r="A463" s="45">
        <f t="shared" ref="A463:A469" si="13">B462</f>
        <v>-0.19207592592592593</v>
      </c>
      <c r="B463" s="35">
        <f t="shared" ref="B463:B468" si="14">A463+$B$458</f>
        <v>-0.11373425925925924</v>
      </c>
      <c r="U463" s="11"/>
      <c r="V463" s="11" t="s">
        <v>47</v>
      </c>
      <c r="W463" s="11" t="s">
        <v>48</v>
      </c>
      <c r="X463" s="11" t="s">
        <v>49</v>
      </c>
      <c r="Y463" s="11" t="s">
        <v>50</v>
      </c>
      <c r="Z463" s="11" t="s">
        <v>51</v>
      </c>
      <c r="BB463" s="5"/>
    </row>
    <row r="464" spans="1:54">
      <c r="A464" s="45">
        <f t="shared" si="13"/>
        <v>-0.11373425925925924</v>
      </c>
      <c r="B464" s="35">
        <f t="shared" si="14"/>
        <v>-3.5392592592592559E-2</v>
      </c>
      <c r="U464" t="s">
        <v>43</v>
      </c>
      <c r="V464">
        <v>1</v>
      </c>
      <c r="W464">
        <v>5.7446702133485961E-6</v>
      </c>
      <c r="X464">
        <v>5.7446702133485961E-6</v>
      </c>
      <c r="Y464">
        <v>1.3383716925541826E-2</v>
      </c>
      <c r="Z464">
        <v>0.90834541291408633</v>
      </c>
      <c r="BB464" s="5"/>
    </row>
    <row r="465" spans="1:54">
      <c r="A465" s="45">
        <f t="shared" si="13"/>
        <v>-3.5392592592592559E-2</v>
      </c>
      <c r="B465" s="35">
        <f t="shared" si="14"/>
        <v>4.2949074074074126E-2</v>
      </c>
      <c r="U465" t="s">
        <v>44</v>
      </c>
      <c r="V465">
        <v>52</v>
      </c>
      <c r="W465">
        <v>2.2319872181698397E-2</v>
      </c>
      <c r="X465">
        <v>4.2922831118650764E-4</v>
      </c>
      <c r="BB465" s="5"/>
    </row>
    <row r="466" spans="1:54" ht="15" thickBot="1">
      <c r="A466" s="45">
        <f t="shared" si="13"/>
        <v>4.2949074074074126E-2</v>
      </c>
      <c r="B466" s="35">
        <f t="shared" si="14"/>
        <v>0.12129074074074081</v>
      </c>
      <c r="U466" s="7" t="s">
        <v>45</v>
      </c>
      <c r="V466" s="7">
        <v>53</v>
      </c>
      <c r="W466" s="7">
        <v>2.2325616851911746E-2</v>
      </c>
      <c r="X466" s="7"/>
      <c r="Y466" s="7"/>
      <c r="Z466" s="7"/>
      <c r="BB466" s="5"/>
    </row>
    <row r="467" spans="1:54" ht="15" thickBot="1">
      <c r="A467" s="45">
        <f t="shared" si="13"/>
        <v>0.12129074074074081</v>
      </c>
      <c r="B467" s="35">
        <f t="shared" si="14"/>
        <v>0.19963240740740751</v>
      </c>
      <c r="BB467" s="5"/>
    </row>
    <row r="468" spans="1:54">
      <c r="A468" s="45">
        <f t="shared" si="13"/>
        <v>0.19963240740740751</v>
      </c>
      <c r="B468" s="35">
        <f t="shared" si="14"/>
        <v>0.27797407407407421</v>
      </c>
      <c r="U468" s="11"/>
      <c r="V468" s="11" t="s">
        <v>52</v>
      </c>
      <c r="W468" s="11" t="s">
        <v>40</v>
      </c>
      <c r="X468" s="11" t="s">
        <v>53</v>
      </c>
      <c r="Y468" s="11" t="s">
        <v>54</v>
      </c>
      <c r="Z468" s="11" t="s">
        <v>55</v>
      </c>
      <c r="AA468" s="11" t="s">
        <v>56</v>
      </c>
      <c r="AB468" s="11" t="s">
        <v>57</v>
      </c>
      <c r="AC468" s="11" t="s">
        <v>58</v>
      </c>
      <c r="BB468" s="5"/>
    </row>
    <row r="469" spans="1:54">
      <c r="A469" s="45">
        <f t="shared" si="13"/>
        <v>0.27797407407407421</v>
      </c>
      <c r="B469" s="35"/>
      <c r="U469" t="s">
        <v>46</v>
      </c>
      <c r="V469">
        <v>1.786978705932785E-2</v>
      </c>
      <c r="W469">
        <v>2.8193390057564506E-3</v>
      </c>
      <c r="X469">
        <v>6.3382895859071215</v>
      </c>
      <c r="Y469">
        <v>5.6051968187508584E-8</v>
      </c>
      <c r="Z469">
        <v>1.2212369451040877E-2</v>
      </c>
      <c r="AA469">
        <v>2.3527204667614821E-2</v>
      </c>
      <c r="AB469">
        <v>1.2212369451040877E-2</v>
      </c>
      <c r="AC469">
        <v>2.3527204667614821E-2</v>
      </c>
      <c r="BB469" s="5"/>
    </row>
    <row r="470" spans="1:54" ht="15" thickBot="1">
      <c r="A470" s="45"/>
      <c r="B470" s="33"/>
      <c r="U470" s="7" t="s">
        <v>1</v>
      </c>
      <c r="V470" s="7">
        <v>3.9946736111111532E-4</v>
      </c>
      <c r="W470" s="7">
        <v>3.4529709880144746E-3</v>
      </c>
      <c r="X470" s="7">
        <v>0.11568801547933562</v>
      </c>
      <c r="Y470" s="7">
        <v>0.90834541291406867</v>
      </c>
      <c r="Z470" s="7">
        <v>-6.529425839958824E-3</v>
      </c>
      <c r="AA470" s="7">
        <v>7.3283605621810551E-3</v>
      </c>
      <c r="AB470" s="7">
        <v>-6.529425839958824E-3</v>
      </c>
      <c r="AC470" s="7">
        <v>7.3283605621810551E-3</v>
      </c>
      <c r="BB470" s="5"/>
    </row>
    <row r="471" spans="1:54">
      <c r="A471" s="18" t="s">
        <v>186</v>
      </c>
      <c r="B471" s="12"/>
      <c r="BB471" s="5"/>
    </row>
    <row r="472" spans="1:54">
      <c r="A472" s="4"/>
      <c r="U472" t="s">
        <v>231</v>
      </c>
      <c r="V472">
        <f>V460*V457</f>
        <v>1.3894899011234293E-2</v>
      </c>
      <c r="BB472" s="5"/>
    </row>
    <row r="473" spans="1:54">
      <c r="A473" s="4" t="s">
        <v>183</v>
      </c>
      <c r="B473">
        <v>2.4671622769447922E-17</v>
      </c>
      <c r="C473">
        <v>0</v>
      </c>
      <c r="U473" t="s">
        <v>232</v>
      </c>
      <c r="V473">
        <f>_xlfn.CHISQ.INV(1-0.05,1)</f>
        <v>3.8414588206941236</v>
      </c>
      <c r="BB473" s="5"/>
    </row>
    <row r="474" spans="1:54">
      <c r="A474" s="4" t="s">
        <v>40</v>
      </c>
      <c r="B474">
        <v>1.8362074871109298E-2</v>
      </c>
      <c r="BB474" s="5"/>
    </row>
    <row r="475" spans="1:54" ht="15">
      <c r="A475" s="4" t="s">
        <v>187</v>
      </c>
      <c r="B475">
        <v>2.1524074074074084E-2</v>
      </c>
      <c r="U475" t="s">
        <v>73</v>
      </c>
      <c r="V475" s="20" t="s">
        <v>74</v>
      </c>
      <c r="W475">
        <f>V473</f>
        <v>3.8414588206941236</v>
      </c>
      <c r="X475" t="s">
        <v>79</v>
      </c>
      <c r="AC475" s="10" t="s">
        <v>338</v>
      </c>
      <c r="BB475" s="5"/>
    </row>
    <row r="476" spans="1:54">
      <c r="A476" s="4" t="s">
        <v>188</v>
      </c>
      <c r="B476">
        <v>-0.1457342592592592</v>
      </c>
      <c r="AC476" t="s">
        <v>366</v>
      </c>
      <c r="BB476" s="5"/>
    </row>
    <row r="477" spans="1:54">
      <c r="A477" s="4" t="s">
        <v>189</v>
      </c>
      <c r="B477">
        <v>0.13493314215899693</v>
      </c>
      <c r="C477">
        <v>0.13500000000000001</v>
      </c>
      <c r="U477" s="23" t="s">
        <v>143</v>
      </c>
      <c r="V477" t="str">
        <f>IF(V467&lt;W475,"∉","∈")</f>
        <v>∉</v>
      </c>
      <c r="W477" s="23" t="s">
        <v>73</v>
      </c>
      <c r="BB477" s="5"/>
    </row>
    <row r="478" spans="1:54">
      <c r="A478" s="4" t="s">
        <v>190</v>
      </c>
      <c r="B478">
        <v>1.8206952852900072E-2</v>
      </c>
      <c r="U478" t="s">
        <v>87</v>
      </c>
      <c r="V478" t="s">
        <v>88</v>
      </c>
      <c r="W478" t="str">
        <f>IF(V477="∈","zamietam","nezamietam")</f>
        <v>nezamietam</v>
      </c>
      <c r="BB478" s="5"/>
    </row>
    <row r="479" spans="1:54">
      <c r="A479" s="4" t="s">
        <v>191</v>
      </c>
      <c r="B479">
        <v>-0.65532949389887962</v>
      </c>
      <c r="V479" t="s">
        <v>89</v>
      </c>
      <c r="W479" t="str">
        <f>IF(V477="∈","nezamietam","zamietam")</f>
        <v>zamietam</v>
      </c>
      <c r="BB479" s="5"/>
    </row>
    <row r="480" spans="1:54">
      <c r="A480" s="4" t="s">
        <v>192</v>
      </c>
      <c r="B480">
        <v>-4.9590022635922743E-2</v>
      </c>
      <c r="BB480" s="5"/>
    </row>
    <row r="481" spans="1:54" ht="15">
      <c r="A481" s="4" t="s">
        <v>176</v>
      </c>
      <c r="B481">
        <v>0.54839166666666683</v>
      </c>
      <c r="U481" t="s">
        <v>90</v>
      </c>
      <c r="V481" s="37">
        <f>_xlfn.CHISQ.DIST.RT(V472,1)</f>
        <v>0.9061654136759254</v>
      </c>
      <c r="W481" t="str">
        <f>IF(V481&gt;X481,"&gt;","&lt;")</f>
        <v>&gt;</v>
      </c>
      <c r="X481">
        <v>0.05</v>
      </c>
      <c r="BB481" s="5"/>
    </row>
    <row r="482" spans="1:54">
      <c r="A482" s="4" t="s">
        <v>193</v>
      </c>
      <c r="B482">
        <v>-0.27041759259259263</v>
      </c>
      <c r="U482" t="s">
        <v>87</v>
      </c>
      <c r="V482" t="s">
        <v>88</v>
      </c>
      <c r="W482" t="str">
        <f>IF(W481="&lt;","zamietam","nezamietam")</f>
        <v>nezamietam</v>
      </c>
      <c r="BB482" s="5"/>
    </row>
    <row r="483" spans="1:54">
      <c r="A483" s="4" t="s">
        <v>194</v>
      </c>
      <c r="B483">
        <v>0.27797407407407415</v>
      </c>
      <c r="V483" t="s">
        <v>89</v>
      </c>
      <c r="W483" t="str">
        <f>IF(W481="&lt;","nezamietam","zamietam")</f>
        <v>zamietam</v>
      </c>
      <c r="BB483" s="5"/>
    </row>
    <row r="484" spans="1:54">
      <c r="A484" s="4" t="s">
        <v>195</v>
      </c>
      <c r="B484">
        <v>1.3322676295501878E-15</v>
      </c>
      <c r="BB484" s="5"/>
    </row>
    <row r="485" spans="1:54" ht="15" thickBot="1">
      <c r="A485" s="6" t="s">
        <v>196</v>
      </c>
      <c r="B485" s="7">
        <v>54</v>
      </c>
      <c r="BB485" s="5"/>
    </row>
    <row r="486" spans="1:54">
      <c r="A486" s="4"/>
      <c r="B486" s="35"/>
      <c r="U486" t="s">
        <v>235</v>
      </c>
      <c r="BB486" s="5"/>
    </row>
    <row r="487" spans="1:54">
      <c r="A487" s="4"/>
      <c r="B487" s="35"/>
      <c r="U487" t="s">
        <v>236</v>
      </c>
      <c r="BB487" s="5"/>
    </row>
    <row r="488" spans="1:54">
      <c r="A488" s="4"/>
      <c r="B488" s="35"/>
      <c r="BB488" s="5"/>
    </row>
    <row r="489" spans="1:54">
      <c r="A489" s="4"/>
      <c r="B489" s="35"/>
      <c r="BB489" s="5"/>
    </row>
    <row r="490" spans="1:54" ht="15">
      <c r="A490" s="4"/>
      <c r="B490" s="35"/>
      <c r="U490" s="10" t="s">
        <v>233</v>
      </c>
      <c r="BB490" s="5"/>
    </row>
    <row r="491" spans="1:54">
      <c r="A491" s="4"/>
      <c r="B491" s="35"/>
      <c r="BB491" s="5"/>
    </row>
    <row r="492" spans="1:54" ht="15">
      <c r="A492" s="4"/>
      <c r="B492" s="35"/>
      <c r="U492" t="s">
        <v>237</v>
      </c>
      <c r="AC492" s="10" t="s">
        <v>338</v>
      </c>
      <c r="BB492" s="5"/>
    </row>
    <row r="493" spans="1:54">
      <c r="A493" s="4"/>
      <c r="B493" s="35"/>
      <c r="U493" t="s">
        <v>238</v>
      </c>
      <c r="AC493" t="s">
        <v>365</v>
      </c>
      <c r="BB493" s="5"/>
    </row>
    <row r="494" spans="1:54">
      <c r="A494" s="4"/>
      <c r="B494" s="35"/>
      <c r="U494" t="s">
        <v>239</v>
      </c>
      <c r="BB494" s="5"/>
    </row>
    <row r="495" spans="1:54">
      <c r="A495" s="4"/>
      <c r="B495" s="35"/>
      <c r="V495" s="42"/>
      <c r="BB495" s="5"/>
    </row>
    <row r="496" spans="1:54">
      <c r="A496" s="4"/>
      <c r="B496" s="35"/>
      <c r="U496" t="s">
        <v>241</v>
      </c>
      <c r="V496">
        <f>SUM(I397:I450)/SUM(H397:H450)</f>
        <v>1.8662751968419033</v>
      </c>
      <c r="BB496" s="5"/>
    </row>
    <row r="497" spans="1:54">
      <c r="A497" s="4"/>
      <c r="B497" s="35"/>
      <c r="U497" t="s">
        <v>242</v>
      </c>
      <c r="V497">
        <f>54/1</f>
        <v>54</v>
      </c>
      <c r="BB497" s="5"/>
    </row>
    <row r="498" spans="1:54">
      <c r="A498" s="4"/>
      <c r="B498" s="35"/>
      <c r="U498" t="s">
        <v>243</v>
      </c>
      <c r="V498">
        <v>1</v>
      </c>
      <c r="BB498" s="5"/>
    </row>
    <row r="499" spans="1:54">
      <c r="A499" s="4"/>
      <c r="B499" s="35"/>
      <c r="U499" t="s">
        <v>24</v>
      </c>
      <c r="V499">
        <v>0.05</v>
      </c>
      <c r="BB499" s="5"/>
    </row>
    <row r="500" spans="1:54">
      <c r="A500" s="4"/>
      <c r="B500" s="35"/>
      <c r="U500" t="s">
        <v>244</v>
      </c>
      <c r="V500">
        <v>1.528</v>
      </c>
      <c r="BB500" s="5"/>
    </row>
    <row r="501" spans="1:54">
      <c r="A501" s="4"/>
      <c r="B501" s="35"/>
      <c r="U501" t="s">
        <v>245</v>
      </c>
      <c r="V501">
        <v>1.601</v>
      </c>
      <c r="BB501" s="5"/>
    </row>
    <row r="502" spans="1:54">
      <c r="A502" s="4"/>
      <c r="B502" s="35"/>
      <c r="U502" t="s">
        <v>246</v>
      </c>
      <c r="V502">
        <f>4-V501</f>
        <v>2.399</v>
      </c>
      <c r="BB502" s="5"/>
    </row>
    <row r="503" spans="1:54">
      <c r="A503" s="4"/>
      <c r="B503" s="35"/>
      <c r="U503" s="33"/>
      <c r="V503" s="33"/>
      <c r="W503" s="33"/>
      <c r="X503" s="33"/>
      <c r="Y503" s="33"/>
      <c r="Z503" s="33"/>
      <c r="BB503" s="5"/>
    </row>
    <row r="504" spans="1:54">
      <c r="A504" s="4"/>
      <c r="B504" s="35"/>
      <c r="U504" t="s">
        <v>73</v>
      </c>
      <c r="V504" t="s">
        <v>247</v>
      </c>
      <c r="W504">
        <f>V500</f>
        <v>1.528</v>
      </c>
      <c r="X504" t="s">
        <v>76</v>
      </c>
      <c r="Y504" t="s">
        <v>77</v>
      </c>
      <c r="Z504" s="23" t="s">
        <v>74</v>
      </c>
      <c r="AA504" s="46">
        <f>V502</f>
        <v>2.399</v>
      </c>
      <c r="AB504" s="47" t="s">
        <v>248</v>
      </c>
      <c r="AC504" s="33"/>
      <c r="BB504" s="5"/>
    </row>
    <row r="505" spans="1:54">
      <c r="A505" s="4"/>
      <c r="B505" s="35"/>
      <c r="BB505" s="5"/>
    </row>
    <row r="506" spans="1:54">
      <c r="A506" s="4"/>
      <c r="B506" s="35"/>
      <c r="U506" s="23" t="s">
        <v>241</v>
      </c>
      <c r="V506" t="str">
        <f>IF(AND(V496&gt;W504,V496&lt;AA504),"∉","∈")</f>
        <v>∉</v>
      </c>
      <c r="W506" s="23" t="s">
        <v>73</v>
      </c>
      <c r="BB506" s="5"/>
    </row>
    <row r="507" spans="1:54">
      <c r="A507" s="4"/>
      <c r="B507" s="35"/>
      <c r="U507" t="s">
        <v>87</v>
      </c>
      <c r="V507" t="s">
        <v>88</v>
      </c>
      <c r="W507" t="str">
        <f>IF(V506="∈","zamietam","nezamietam")</f>
        <v>nezamietam</v>
      </c>
      <c r="BB507" s="5"/>
    </row>
    <row r="508" spans="1:54">
      <c r="A508" s="4"/>
      <c r="B508" s="35"/>
      <c r="V508" t="s">
        <v>89</v>
      </c>
      <c r="W508" t="str">
        <f>IF(V506="∈","nezamietam","zamietam")</f>
        <v>zamietam</v>
      </c>
      <c r="Y508" s="33"/>
      <c r="Z508" s="33"/>
      <c r="BB508" s="5"/>
    </row>
    <row r="509" spans="1:54" ht="15" thickBot="1">
      <c r="A509" s="6"/>
      <c r="B509" s="48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8"/>
    </row>
    <row r="510" spans="1:54" ht="15.75" thickBot="1">
      <c r="B510" s="35"/>
      <c r="V510" s="37"/>
    </row>
    <row r="511" spans="1:54" ht="15">
      <c r="A511" s="9" t="s">
        <v>257</v>
      </c>
      <c r="B511" s="49"/>
      <c r="C511" s="2"/>
      <c r="D511" s="2"/>
      <c r="E511" s="3"/>
    </row>
    <row r="512" spans="1:54">
      <c r="A512" s="4"/>
      <c r="B512" s="35"/>
      <c r="E512" s="5"/>
    </row>
    <row r="513" spans="1:36" ht="15" thickBot="1">
      <c r="A513" s="6" t="s">
        <v>249</v>
      </c>
      <c r="B513" s="48"/>
      <c r="C513" s="7"/>
      <c r="D513" s="7"/>
      <c r="E513" s="8"/>
    </row>
    <row r="514" spans="1:36" ht="15" thickBot="1">
      <c r="B514" s="35"/>
    </row>
    <row r="515" spans="1:36" ht="15">
      <c r="A515" s="9" t="s">
        <v>256</v>
      </c>
      <c r="B515" s="4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50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3"/>
    </row>
    <row r="516" spans="1:36" ht="15">
      <c r="A516" s="4"/>
      <c r="B516" s="35"/>
      <c r="P516" s="10" t="s">
        <v>338</v>
      </c>
      <c r="AJ516" s="5"/>
    </row>
    <row r="517" spans="1:36">
      <c r="A517" s="4" t="s">
        <v>255</v>
      </c>
      <c r="P517" t="s">
        <v>341</v>
      </c>
      <c r="AJ517" s="5"/>
    </row>
    <row r="518" spans="1:36">
      <c r="A518" s="4" t="s">
        <v>254</v>
      </c>
      <c r="AJ518" s="5"/>
    </row>
    <row r="519" spans="1:36">
      <c r="A519" s="4" t="s">
        <v>24</v>
      </c>
      <c r="B519">
        <v>0.05</v>
      </c>
      <c r="AJ519" s="5"/>
    </row>
    <row r="520" spans="1:36">
      <c r="A520" s="4" t="s">
        <v>251</v>
      </c>
      <c r="B520">
        <f>F207</f>
        <v>0.9649685012037037</v>
      </c>
      <c r="AJ520" s="5"/>
    </row>
    <row r="521" spans="1:36">
      <c r="A521" s="4" t="s">
        <v>252</v>
      </c>
      <c r="B521">
        <f>G549</f>
        <v>0.90971999870370379</v>
      </c>
      <c r="C521">
        <f>C155</f>
        <v>0.8739168580787039</v>
      </c>
      <c r="AJ521" s="5"/>
    </row>
    <row r="522" spans="1:36">
      <c r="A522" s="4" t="s">
        <v>47</v>
      </c>
      <c r="B522">
        <f>F549</f>
        <v>51</v>
      </c>
      <c r="AJ522" s="5"/>
    </row>
    <row r="523" spans="1:36">
      <c r="A523" s="4" t="s">
        <v>143</v>
      </c>
      <c r="B523">
        <f>(B520-B521)/(B521/(B522))</f>
        <v>3.0972976646825514</v>
      </c>
      <c r="C523">
        <f>(B520-C521)/(C521/(B522))</f>
        <v>5.3135876215776001</v>
      </c>
      <c r="AJ523" s="5"/>
    </row>
    <row r="524" spans="1:36">
      <c r="A524" s="4" t="s">
        <v>253</v>
      </c>
      <c r="B524">
        <f>_xlfn.F.INV(1-B519,1,B522)</f>
        <v>4.030392594835547</v>
      </c>
      <c r="AJ524" s="5"/>
    </row>
    <row r="525" spans="1:36">
      <c r="A525" s="4"/>
      <c r="AJ525" s="5"/>
    </row>
    <row r="526" spans="1:36">
      <c r="A526" s="4" t="s">
        <v>73</v>
      </c>
      <c r="B526" s="20" t="s">
        <v>74</v>
      </c>
      <c r="C526">
        <f>B524</f>
        <v>4.030392594835547</v>
      </c>
      <c r="D526" t="s">
        <v>79</v>
      </c>
      <c r="AJ526" s="5"/>
    </row>
    <row r="527" spans="1:36">
      <c r="A527" s="4"/>
      <c r="AJ527" s="5"/>
    </row>
    <row r="528" spans="1:36">
      <c r="A528" s="22" t="s">
        <v>143</v>
      </c>
      <c r="B528" t="str">
        <f>IF(B523&lt;C526,"∉","∈")</f>
        <v>∉</v>
      </c>
      <c r="C528" s="23" t="s">
        <v>73</v>
      </c>
      <c r="AJ528" s="5"/>
    </row>
    <row r="529" spans="1:36">
      <c r="A529" s="4" t="s">
        <v>87</v>
      </c>
      <c r="B529" t="s">
        <v>88</v>
      </c>
      <c r="C529" t="str">
        <f>IF(B528="∈","zamietam","nezamietam")</f>
        <v>nezamietam</v>
      </c>
      <c r="AJ529" s="5"/>
    </row>
    <row r="530" spans="1:36">
      <c r="A530" s="4"/>
      <c r="B530" t="s">
        <v>89</v>
      </c>
      <c r="C530" t="str">
        <f>IF(B528="∈","nezamietam","zamietam")</f>
        <v>zamietam</v>
      </c>
      <c r="AJ530" s="5"/>
    </row>
    <row r="531" spans="1:36">
      <c r="A531" s="4"/>
      <c r="AJ531" s="5"/>
    </row>
    <row r="532" spans="1:36">
      <c r="A532" s="4" t="s">
        <v>90</v>
      </c>
      <c r="B532">
        <f>1-_xlfn.F.DIST(B523,1,B522,TRUE)</f>
        <v>8.4419154112923778E-2</v>
      </c>
      <c r="C532" t="str">
        <f>IF(B532&gt;D532,"&gt;","&lt;")</f>
        <v>&gt;</v>
      </c>
      <c r="D532">
        <v>0.05</v>
      </c>
      <c r="AJ532" s="5"/>
    </row>
    <row r="533" spans="1:36">
      <c r="A533" s="4" t="s">
        <v>87</v>
      </c>
      <c r="B533" t="s">
        <v>88</v>
      </c>
      <c r="C533" t="str">
        <f>IF(C532="&lt;","zamietam","nezamietam")</f>
        <v>nezamietam</v>
      </c>
      <c r="AJ533" s="5"/>
    </row>
    <row r="534" spans="1:36" ht="15" thickBot="1">
      <c r="A534" s="6"/>
      <c r="B534" s="7" t="s">
        <v>89</v>
      </c>
      <c r="C534" s="7" t="str">
        <f>IF(C532="&lt;","nezamietam","zamietam")</f>
        <v>zamietam</v>
      </c>
      <c r="D534" s="7"/>
      <c r="AJ534" s="5"/>
    </row>
    <row r="535" spans="1:36">
      <c r="A535" s="4"/>
      <c r="AJ535" s="5"/>
    </row>
    <row r="536" spans="1:36">
      <c r="A536" s="4"/>
      <c r="AJ536" s="5"/>
    </row>
    <row r="537" spans="1:36">
      <c r="A537" s="4" t="s">
        <v>0</v>
      </c>
      <c r="B537" t="s">
        <v>1</v>
      </c>
      <c r="C537" t="s">
        <v>25</v>
      </c>
      <c r="E537" t="s">
        <v>35</v>
      </c>
      <c r="AJ537" s="5"/>
    </row>
    <row r="538" spans="1:36" ht="15" thickBot="1">
      <c r="A538" s="4">
        <v>-1</v>
      </c>
      <c r="B538">
        <v>-1</v>
      </c>
      <c r="C538">
        <v>0.38879999999999998</v>
      </c>
      <c r="O538" s="33"/>
      <c r="P538" s="33"/>
      <c r="Q538" s="33"/>
      <c r="AJ538" s="5"/>
    </row>
    <row r="539" spans="1:36">
      <c r="A539" s="4">
        <v>1</v>
      </c>
      <c r="B539">
        <v>-1</v>
      </c>
      <c r="C539">
        <v>0.35699999999999998</v>
      </c>
      <c r="E539" s="12" t="s">
        <v>36</v>
      </c>
      <c r="F539" s="12"/>
      <c r="AJ539" s="5"/>
    </row>
    <row r="540" spans="1:36">
      <c r="A540" s="4">
        <v>-1</v>
      </c>
      <c r="B540">
        <v>1</v>
      </c>
      <c r="C540">
        <v>0.42930000000000001</v>
      </c>
      <c r="E540" t="s">
        <v>37</v>
      </c>
      <c r="F540">
        <v>0.42524994517561576</v>
      </c>
      <c r="AJ540" s="5"/>
    </row>
    <row r="541" spans="1:36">
      <c r="A541" s="4">
        <v>1</v>
      </c>
      <c r="B541">
        <v>1</v>
      </c>
      <c r="C541">
        <v>0.65849999999999997</v>
      </c>
      <c r="E541" t="s">
        <v>38</v>
      </c>
      <c r="F541">
        <v>0.18083751587186422</v>
      </c>
      <c r="AJ541" s="5"/>
    </row>
    <row r="542" spans="1:36">
      <c r="A542" s="4">
        <v>-1</v>
      </c>
      <c r="B542">
        <v>-1</v>
      </c>
      <c r="C542">
        <v>0.41570000000000001</v>
      </c>
      <c r="E542" t="s">
        <v>39</v>
      </c>
      <c r="F542">
        <v>0.14871349688644714</v>
      </c>
      <c r="AJ542" s="5"/>
    </row>
    <row r="543" spans="1:36">
      <c r="A543" s="4">
        <v>1</v>
      </c>
      <c r="B543">
        <v>-1</v>
      </c>
      <c r="C543">
        <v>0.28870000000000001</v>
      </c>
      <c r="E543" t="s">
        <v>40</v>
      </c>
      <c r="F543">
        <v>0.13355765434225758</v>
      </c>
      <c r="AJ543" s="5"/>
    </row>
    <row r="544" spans="1:36" ht="15" thickBot="1">
      <c r="A544" s="4">
        <v>-1</v>
      </c>
      <c r="B544">
        <v>1</v>
      </c>
      <c r="C544">
        <v>0.60550000000000004</v>
      </c>
      <c r="E544" s="7" t="s">
        <v>41</v>
      </c>
      <c r="F544" s="7">
        <v>54</v>
      </c>
      <c r="AJ544" s="5"/>
    </row>
    <row r="545" spans="1:36">
      <c r="A545" s="4">
        <v>1</v>
      </c>
      <c r="B545">
        <v>1</v>
      </c>
      <c r="C545">
        <v>0.51329999999999998</v>
      </c>
      <c r="AJ545" s="5"/>
    </row>
    <row r="546" spans="1:36" ht="15" thickBot="1">
      <c r="A546" s="4">
        <v>0</v>
      </c>
      <c r="B546">
        <v>-1</v>
      </c>
      <c r="C546">
        <v>0.51919999999999999</v>
      </c>
      <c r="E546" t="s">
        <v>42</v>
      </c>
      <c r="AJ546" s="5"/>
    </row>
    <row r="547" spans="1:36">
      <c r="A547" s="4">
        <v>0</v>
      </c>
      <c r="B547">
        <v>1</v>
      </c>
      <c r="C547">
        <v>0.7077</v>
      </c>
      <c r="E547" s="11"/>
      <c r="F547" s="11" t="s">
        <v>47</v>
      </c>
      <c r="G547" s="11" t="s">
        <v>48</v>
      </c>
      <c r="H547" s="11" t="s">
        <v>49</v>
      </c>
      <c r="I547" s="11" t="s">
        <v>50</v>
      </c>
      <c r="J547" s="11" t="s">
        <v>51</v>
      </c>
      <c r="AJ547" s="5"/>
    </row>
    <row r="548" spans="1:36">
      <c r="A548" s="4">
        <v>0</v>
      </c>
      <c r="B548">
        <v>-1</v>
      </c>
      <c r="C548">
        <v>0.52869999999999995</v>
      </c>
      <c r="E548" t="s">
        <v>43</v>
      </c>
      <c r="F548">
        <v>2</v>
      </c>
      <c r="G548">
        <v>0.20082890499999995</v>
      </c>
      <c r="H548">
        <v>0.10041445249999997</v>
      </c>
      <c r="I548">
        <v>5.6293552794236801</v>
      </c>
      <c r="J548">
        <v>6.1792588126509803E-3</v>
      </c>
      <c r="AJ548" s="5"/>
    </row>
    <row r="549" spans="1:36">
      <c r="A549" s="4">
        <v>0</v>
      </c>
      <c r="B549">
        <v>1</v>
      </c>
      <c r="C549">
        <v>0.68589999999999995</v>
      </c>
      <c r="E549" t="s">
        <v>44</v>
      </c>
      <c r="F549">
        <v>51</v>
      </c>
      <c r="G549">
        <v>0.90971999870370379</v>
      </c>
      <c r="H549">
        <v>1.7837647033405957E-2</v>
      </c>
      <c r="AJ549" s="5"/>
    </row>
    <row r="550" spans="1:36" ht="15" thickBot="1">
      <c r="A550" s="4">
        <v>-1</v>
      </c>
      <c r="B550">
        <v>0</v>
      </c>
      <c r="C550">
        <v>0.54920000000000002</v>
      </c>
      <c r="E550" s="7" t="s">
        <v>45</v>
      </c>
      <c r="F550" s="7">
        <v>53</v>
      </c>
      <c r="G550" s="7">
        <v>1.1105489037037037</v>
      </c>
      <c r="H550" s="7"/>
      <c r="I550" s="7"/>
      <c r="J550" s="7"/>
      <c r="AJ550" s="5"/>
    </row>
    <row r="551" spans="1:36" ht="15" thickBot="1">
      <c r="A551" s="4">
        <v>1</v>
      </c>
      <c r="B551">
        <v>0</v>
      </c>
      <c r="C551">
        <v>0.77439999999999998</v>
      </c>
      <c r="AJ551" s="5"/>
    </row>
    <row r="552" spans="1:36">
      <c r="A552" s="4">
        <v>-1</v>
      </c>
      <c r="B552">
        <v>0</v>
      </c>
      <c r="C552">
        <v>0.43309999999999998</v>
      </c>
      <c r="E552" s="11"/>
      <c r="F552" s="11" t="s">
        <v>52</v>
      </c>
      <c r="G552" s="11" t="s">
        <v>40</v>
      </c>
      <c r="H552" s="11" t="s">
        <v>53</v>
      </c>
      <c r="I552" s="11" t="s">
        <v>54</v>
      </c>
      <c r="J552" s="11" t="s">
        <v>55</v>
      </c>
      <c r="K552" s="11" t="s">
        <v>56</v>
      </c>
      <c r="L552" s="11" t="s">
        <v>57</v>
      </c>
      <c r="M552" s="11" t="s">
        <v>58</v>
      </c>
      <c r="AJ552" s="5"/>
    </row>
    <row r="553" spans="1:36">
      <c r="A553" s="4">
        <v>1</v>
      </c>
      <c r="B553">
        <v>0</v>
      </c>
      <c r="C553">
        <v>0.84430000000000005</v>
      </c>
      <c r="E553" t="s">
        <v>46</v>
      </c>
      <c r="F553">
        <v>0.5663259259259259</v>
      </c>
      <c r="G553">
        <v>1.8174894687863395E-2</v>
      </c>
      <c r="H553">
        <v>31.159791330405891</v>
      </c>
      <c r="I553">
        <v>7.2357819434909553E-35</v>
      </c>
      <c r="J553">
        <v>0.52983830232337181</v>
      </c>
      <c r="K553">
        <v>0.60281354952847999</v>
      </c>
      <c r="L553">
        <v>0.52983830232337181</v>
      </c>
      <c r="M553">
        <v>0.60281354952847999</v>
      </c>
      <c r="AJ553" s="5"/>
    </row>
    <row r="554" spans="1:36">
      <c r="A554" s="4">
        <v>-1</v>
      </c>
      <c r="B554">
        <v>-1</v>
      </c>
      <c r="C554">
        <v>0.2908</v>
      </c>
      <c r="E554" t="s">
        <v>0</v>
      </c>
      <c r="F554">
        <v>3.9174999999999974E-2</v>
      </c>
      <c r="G554">
        <v>2.2259609057042929E-2</v>
      </c>
      <c r="H554">
        <v>1.7599141071889142</v>
      </c>
      <c r="I554">
        <v>8.4419154112923792E-2</v>
      </c>
      <c r="J554">
        <v>-5.5130298764947822E-3</v>
      </c>
      <c r="K554">
        <v>8.386302987649473E-2</v>
      </c>
      <c r="L554">
        <v>-5.5130298764947822E-3</v>
      </c>
      <c r="M554">
        <v>8.386302987649473E-2</v>
      </c>
      <c r="AJ554" s="5"/>
    </row>
    <row r="555" spans="1:36" ht="15" thickBot="1">
      <c r="A555" s="4">
        <v>1</v>
      </c>
      <c r="B555">
        <v>-1</v>
      </c>
      <c r="C555">
        <v>0.63349999999999995</v>
      </c>
      <c r="E555" s="7" t="s">
        <v>1</v>
      </c>
      <c r="F555" s="7">
        <v>6.3591666666666699E-2</v>
      </c>
      <c r="G555" s="7">
        <v>2.2259609057042933E-2</v>
      </c>
      <c r="H555" s="7">
        <v>2.8568186666578637</v>
      </c>
      <c r="I555" s="7">
        <v>6.1777794530124674E-3</v>
      </c>
      <c r="J555" s="7">
        <v>1.8903636790171936E-2</v>
      </c>
      <c r="K555" s="7">
        <v>0.10827969654316147</v>
      </c>
      <c r="L555" s="7">
        <v>1.8903636790171936E-2</v>
      </c>
      <c r="M555" s="7">
        <v>0.10827969654316147</v>
      </c>
      <c r="AJ555" s="5"/>
    </row>
    <row r="556" spans="1:36">
      <c r="A556" s="4">
        <v>-1</v>
      </c>
      <c r="B556">
        <v>1</v>
      </c>
      <c r="C556">
        <v>0.60870000000000002</v>
      </c>
      <c r="AJ556" s="5"/>
    </row>
    <row r="557" spans="1:36">
      <c r="A557" s="4">
        <v>1</v>
      </c>
      <c r="B557">
        <v>1</v>
      </c>
      <c r="C557">
        <v>0.41470000000000001</v>
      </c>
      <c r="AJ557" s="5"/>
    </row>
    <row r="558" spans="1:36">
      <c r="A558" s="4">
        <v>-1</v>
      </c>
      <c r="B558">
        <v>0</v>
      </c>
      <c r="C558">
        <v>0.49059999999999998</v>
      </c>
      <c r="AJ558" s="5"/>
    </row>
    <row r="559" spans="1:36">
      <c r="A559" s="4">
        <v>1</v>
      </c>
      <c r="B559">
        <v>0</v>
      </c>
      <c r="C559">
        <v>0.61599999999999999</v>
      </c>
      <c r="AJ559" s="5"/>
    </row>
    <row r="560" spans="1:36">
      <c r="A560" s="4">
        <v>0</v>
      </c>
      <c r="B560">
        <v>-1</v>
      </c>
      <c r="C560">
        <v>0.60009999999999997</v>
      </c>
      <c r="AJ560" s="5"/>
    </row>
    <row r="561" spans="1:36">
      <c r="A561" s="4">
        <v>0</v>
      </c>
      <c r="B561">
        <v>1</v>
      </c>
      <c r="C561">
        <v>0.77090000000000003</v>
      </c>
      <c r="AJ561" s="5"/>
    </row>
    <row r="562" spans="1:36">
      <c r="A562" s="4">
        <v>0</v>
      </c>
      <c r="B562">
        <v>0</v>
      </c>
      <c r="C562">
        <v>0.71240000000000003</v>
      </c>
      <c r="AJ562" s="5"/>
    </row>
    <row r="563" spans="1:36">
      <c r="A563" s="4">
        <v>0</v>
      </c>
      <c r="B563">
        <v>0</v>
      </c>
      <c r="C563">
        <v>0.66600000000000004</v>
      </c>
      <c r="AJ563" s="5"/>
    </row>
    <row r="564" spans="1:36">
      <c r="A564" s="4">
        <v>0</v>
      </c>
      <c r="B564">
        <v>0</v>
      </c>
      <c r="C564">
        <v>0.64759999999999995</v>
      </c>
      <c r="AJ564" s="5"/>
    </row>
    <row r="565" spans="1:36">
      <c r="A565" s="4">
        <v>-1</v>
      </c>
      <c r="B565">
        <v>-1</v>
      </c>
      <c r="C565">
        <v>0.40849999999999997</v>
      </c>
      <c r="AJ565" s="5"/>
    </row>
    <row r="566" spans="1:36">
      <c r="A566" s="4">
        <v>1</v>
      </c>
      <c r="B566">
        <v>-1</v>
      </c>
      <c r="C566">
        <v>0.35699999999999998</v>
      </c>
      <c r="AJ566" s="5"/>
    </row>
    <row r="567" spans="1:36">
      <c r="A567" s="4">
        <v>-1</v>
      </c>
      <c r="B567">
        <v>1</v>
      </c>
      <c r="C567">
        <v>0.35949999999999999</v>
      </c>
      <c r="AJ567" s="5"/>
    </row>
    <row r="568" spans="1:36">
      <c r="A568" s="4">
        <v>1</v>
      </c>
      <c r="B568">
        <v>1</v>
      </c>
      <c r="C568">
        <v>0.65849999999999997</v>
      </c>
      <c r="AJ568" s="5"/>
    </row>
    <row r="569" spans="1:36">
      <c r="A569" s="4">
        <v>-1</v>
      </c>
      <c r="B569">
        <v>-1</v>
      </c>
      <c r="C569">
        <v>0.41570000000000001</v>
      </c>
      <c r="AJ569" s="5"/>
    </row>
    <row r="570" spans="1:36">
      <c r="A570" s="4">
        <v>1</v>
      </c>
      <c r="B570">
        <v>-1</v>
      </c>
      <c r="C570">
        <v>0.28870000000000001</v>
      </c>
      <c r="AJ570" s="5"/>
    </row>
    <row r="571" spans="1:36">
      <c r="A571" s="4">
        <v>-1</v>
      </c>
      <c r="B571">
        <v>1</v>
      </c>
      <c r="C571">
        <v>0.60550000000000004</v>
      </c>
      <c r="AJ571" s="5"/>
    </row>
    <row r="572" spans="1:36">
      <c r="A572" s="4">
        <v>1</v>
      </c>
      <c r="B572">
        <v>1</v>
      </c>
      <c r="C572">
        <v>0.51329999999999998</v>
      </c>
      <c r="AJ572" s="5"/>
    </row>
    <row r="573" spans="1:36">
      <c r="A573" s="4">
        <v>0</v>
      </c>
      <c r="B573">
        <v>-1</v>
      </c>
      <c r="C573">
        <v>0.56030000000000002</v>
      </c>
      <c r="AJ573" s="5"/>
    </row>
    <row r="574" spans="1:36">
      <c r="A574" s="4">
        <v>0</v>
      </c>
      <c r="B574">
        <v>1</v>
      </c>
      <c r="C574">
        <v>0.64700000000000002</v>
      </c>
      <c r="AJ574" s="5"/>
    </row>
    <row r="575" spans="1:36">
      <c r="A575" s="4">
        <v>0</v>
      </c>
      <c r="B575">
        <v>-1</v>
      </c>
      <c r="C575">
        <v>0.52869999999999995</v>
      </c>
      <c r="AJ575" s="5"/>
    </row>
    <row r="576" spans="1:36">
      <c r="A576" s="4">
        <v>0</v>
      </c>
      <c r="B576">
        <v>1</v>
      </c>
      <c r="C576">
        <v>0.68589999999999995</v>
      </c>
      <c r="AJ576" s="5"/>
    </row>
    <row r="577" spans="1:36">
      <c r="A577" s="4">
        <v>-1</v>
      </c>
      <c r="B577">
        <v>0</v>
      </c>
      <c r="C577">
        <v>0.48680000000000001</v>
      </c>
      <c r="AJ577" s="5"/>
    </row>
    <row r="578" spans="1:36">
      <c r="A578" s="4">
        <v>1</v>
      </c>
      <c r="B578">
        <v>0</v>
      </c>
      <c r="C578">
        <v>0.77439999999999998</v>
      </c>
      <c r="AJ578" s="5"/>
    </row>
    <row r="579" spans="1:36">
      <c r="A579" s="4">
        <v>-1</v>
      </c>
      <c r="B579">
        <v>0</v>
      </c>
      <c r="C579">
        <v>0.43309999999999998</v>
      </c>
      <c r="AJ579" s="5"/>
    </row>
    <row r="580" spans="1:36">
      <c r="A580" s="4">
        <v>1</v>
      </c>
      <c r="B580">
        <v>0</v>
      </c>
      <c r="C580">
        <v>0.84430000000000005</v>
      </c>
      <c r="AJ580" s="5"/>
    </row>
    <row r="581" spans="1:36">
      <c r="A581" s="4">
        <v>-1</v>
      </c>
      <c r="B581">
        <v>-1</v>
      </c>
      <c r="C581">
        <v>0.61780000000000002</v>
      </c>
      <c r="AJ581" s="5"/>
    </row>
    <row r="582" spans="1:36">
      <c r="A582" s="4">
        <v>1</v>
      </c>
      <c r="B582">
        <v>-1</v>
      </c>
      <c r="C582">
        <v>0.63349999999999995</v>
      </c>
      <c r="AJ582" s="5"/>
    </row>
    <row r="583" spans="1:36">
      <c r="A583" s="4">
        <v>-1</v>
      </c>
      <c r="B583">
        <v>1</v>
      </c>
      <c r="C583">
        <v>0.64400000000000002</v>
      </c>
      <c r="AJ583" s="5"/>
    </row>
    <row r="584" spans="1:36">
      <c r="A584" s="4">
        <v>1</v>
      </c>
      <c r="B584">
        <v>1</v>
      </c>
      <c r="C584">
        <v>0.41470000000000001</v>
      </c>
      <c r="AJ584" s="5"/>
    </row>
    <row r="585" spans="1:36">
      <c r="A585" s="4">
        <v>-1</v>
      </c>
      <c r="B585">
        <v>0</v>
      </c>
      <c r="C585">
        <v>0.6079</v>
      </c>
      <c r="AJ585" s="5"/>
    </row>
    <row r="586" spans="1:36">
      <c r="A586" s="4">
        <v>1</v>
      </c>
      <c r="B586">
        <v>0</v>
      </c>
      <c r="C586">
        <v>0.61599999999999999</v>
      </c>
      <c r="AJ586" s="5"/>
    </row>
    <row r="587" spans="1:36">
      <c r="A587" s="4">
        <v>0</v>
      </c>
      <c r="B587">
        <v>-1</v>
      </c>
      <c r="C587">
        <v>0.62729999999999997</v>
      </c>
      <c r="AJ587" s="5"/>
    </row>
    <row r="588" spans="1:36">
      <c r="A588" s="4">
        <v>0</v>
      </c>
      <c r="B588">
        <v>1</v>
      </c>
      <c r="C588">
        <v>0.82640000000000002</v>
      </c>
      <c r="AJ588" s="5"/>
    </row>
    <row r="589" spans="1:36">
      <c r="A589" s="4">
        <v>0</v>
      </c>
      <c r="B589">
        <v>0</v>
      </c>
      <c r="C589">
        <v>0.69820000000000004</v>
      </c>
      <c r="AJ589" s="5"/>
    </row>
    <row r="590" spans="1:36">
      <c r="A590" s="4">
        <v>0</v>
      </c>
      <c r="B590">
        <v>0</v>
      </c>
      <c r="C590">
        <v>0.66600000000000004</v>
      </c>
      <c r="AJ590" s="5"/>
    </row>
    <row r="591" spans="1:36" ht="15" thickBot="1">
      <c r="A591" s="6">
        <v>0</v>
      </c>
      <c r="B591" s="7">
        <v>0</v>
      </c>
      <c r="C591" s="7">
        <v>0.51200000000000001</v>
      </c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8"/>
    </row>
    <row r="592" spans="1:36" ht="15" thickBot="1"/>
    <row r="593" spans="1:24" ht="15">
      <c r="A593" s="9" t="s">
        <v>258</v>
      </c>
      <c r="B593" s="2"/>
      <c r="C593" s="2"/>
      <c r="D593" s="2"/>
      <c r="E593" s="3"/>
    </row>
    <row r="594" spans="1:24">
      <c r="A594" s="4"/>
      <c r="E594" s="5"/>
    </row>
    <row r="595" spans="1:24" ht="15" thickBot="1">
      <c r="A595" s="6" t="s">
        <v>249</v>
      </c>
      <c r="B595" s="7"/>
      <c r="C595" s="7"/>
      <c r="D595" s="7"/>
      <c r="E595" s="8"/>
    </row>
    <row r="596" spans="1:24" ht="15" thickBot="1"/>
    <row r="597" spans="1:24" ht="15">
      <c r="A597" s="9" t="s">
        <v>259</v>
      </c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</row>
    <row r="598" spans="1:24">
      <c r="A598" s="51"/>
      <c r="X598" s="5"/>
    </row>
    <row r="599" spans="1:24">
      <c r="A599" s="4"/>
      <c r="B599" t="s">
        <v>10</v>
      </c>
      <c r="C599" t="s">
        <v>262</v>
      </c>
      <c r="D599" t="s">
        <v>14</v>
      </c>
      <c r="X599" s="5"/>
    </row>
    <row r="600" spans="1:24">
      <c r="A600" s="4">
        <v>1</v>
      </c>
      <c r="B600">
        <f>AVERAGEIF(A10:A64,1,$D$10:$D$64)</f>
        <v>0.56671111111111105</v>
      </c>
      <c r="C600">
        <f>AVERAGEIF(B10:B64,1,$D$10:$D$64)</f>
        <v>0.59718333333333329</v>
      </c>
      <c r="D600">
        <f>AVERAGEIF(C10:C64,1,$D$10:$D$64)</f>
        <v>0.55346666666666666</v>
      </c>
      <c r="X600" s="5"/>
    </row>
    <row r="601" spans="1:24">
      <c r="A601" s="4">
        <v>0</v>
      </c>
      <c r="B601">
        <f>AVERAGEIF(A10:A63,0,$D$10:$D$63)</f>
        <v>0.64390555555555551</v>
      </c>
      <c r="C601">
        <f>AVERAGEIF(B10:B63,0,$D$10:$D$63)</f>
        <v>0.63179444444444455</v>
      </c>
      <c r="D601">
        <f>AVERAGEIF(C10:C63,0,$D$10:$D$63)</f>
        <v>0.58736111111111111</v>
      </c>
      <c r="X601" s="5"/>
    </row>
    <row r="602" spans="1:24">
      <c r="A602" s="4">
        <v>-1</v>
      </c>
      <c r="B602">
        <f>AVERAGEIF(A10:A63,-1,$D$10:$D$63)</f>
        <v>0.48836111111111108</v>
      </c>
      <c r="C602">
        <f>AVERAGEIF(B10:B63,-1,$D$10:$D$63)</f>
        <v>0.47000000000000003</v>
      </c>
      <c r="D602">
        <f>AVERAGEIF(C10:C63,-1,$D$10:$D$63)</f>
        <v>0.55814999999999992</v>
      </c>
      <c r="X602" s="5"/>
    </row>
    <row r="603" spans="1:24">
      <c r="A603" s="4" t="s">
        <v>323</v>
      </c>
      <c r="B603">
        <f>B601-B602</f>
        <v>0.15554444444444443</v>
      </c>
      <c r="C603">
        <f t="shared" ref="C603:D603" si="15">C601-C602</f>
        <v>0.16179444444444452</v>
      </c>
      <c r="D603">
        <f t="shared" si="15"/>
        <v>2.9211111111111188E-2</v>
      </c>
      <c r="X603" s="5"/>
    </row>
    <row r="604" spans="1:24">
      <c r="A604" s="4" t="s">
        <v>324</v>
      </c>
      <c r="B604">
        <f>B600-B601</f>
        <v>-7.7194444444444454E-2</v>
      </c>
      <c r="C604">
        <f t="shared" ref="C604:D604" si="16">C600-C601</f>
        <v>-3.4611111111111259E-2</v>
      </c>
      <c r="D604">
        <f t="shared" si="16"/>
        <v>-3.3894444444444449E-2</v>
      </c>
      <c r="X604" s="5"/>
    </row>
    <row r="605" spans="1:24">
      <c r="A605" s="4" t="s">
        <v>325</v>
      </c>
      <c r="B605">
        <f>B600-B602</f>
        <v>7.8349999999999975E-2</v>
      </c>
      <c r="C605">
        <f t="shared" ref="C605:D605" si="17">C600-C602</f>
        <v>0.12718333333333326</v>
      </c>
      <c r="D605">
        <f t="shared" si="17"/>
        <v>-4.6833333333332616E-3</v>
      </c>
      <c r="X605" s="5"/>
    </row>
    <row r="606" spans="1:24">
      <c r="A606" s="4"/>
      <c r="X606" s="5"/>
    </row>
    <row r="607" spans="1:24">
      <c r="A607" s="4"/>
      <c r="X607" s="5"/>
    </row>
    <row r="608" spans="1:24">
      <c r="A608" s="4"/>
      <c r="X608" s="5"/>
    </row>
    <row r="609" spans="1:24">
      <c r="A609" s="4"/>
      <c r="X609" s="5"/>
    </row>
    <row r="610" spans="1:24">
      <c r="A610" s="4"/>
      <c r="X610" s="5"/>
    </row>
    <row r="611" spans="1:24">
      <c r="A611" s="4"/>
      <c r="X611" s="5"/>
    </row>
    <row r="612" spans="1:24">
      <c r="A612" s="4"/>
      <c r="X612" s="5"/>
    </row>
    <row r="613" spans="1:24">
      <c r="A613" s="4"/>
      <c r="X613" s="5"/>
    </row>
    <row r="614" spans="1:24">
      <c r="A614" s="4"/>
      <c r="X614" s="5"/>
    </row>
    <row r="615" spans="1:24">
      <c r="A615" s="4"/>
      <c r="X615" s="5"/>
    </row>
    <row r="616" spans="1:24">
      <c r="A616" s="4"/>
      <c r="X616" s="5"/>
    </row>
    <row r="617" spans="1:24">
      <c r="A617" s="4"/>
      <c r="X617" s="5"/>
    </row>
    <row r="618" spans="1:24">
      <c r="A618" s="4"/>
      <c r="X618" s="5"/>
    </row>
    <row r="619" spans="1:24">
      <c r="A619" s="4"/>
      <c r="X619" s="5"/>
    </row>
    <row r="620" spans="1:24">
      <c r="A620" s="4"/>
      <c r="X620" s="5"/>
    </row>
    <row r="621" spans="1:24">
      <c r="A621" s="4"/>
      <c r="X621" s="5"/>
    </row>
    <row r="622" spans="1:24">
      <c r="A622" s="4"/>
      <c r="X622" s="5"/>
    </row>
    <row r="623" spans="1:24">
      <c r="A623" s="4"/>
      <c r="X623" s="5"/>
    </row>
    <row r="624" spans="1:24">
      <c r="A624" s="4"/>
      <c r="X624" s="5"/>
    </row>
    <row r="625" spans="1:24">
      <c r="A625" s="4"/>
      <c r="X625" s="5"/>
    </row>
    <row r="626" spans="1:24">
      <c r="A626" s="4"/>
      <c r="F626" t="s">
        <v>260</v>
      </c>
      <c r="X626" s="5"/>
    </row>
    <row r="627" spans="1:24">
      <c r="A627" s="4"/>
      <c r="F627" t="s">
        <v>320</v>
      </c>
      <c r="X627" s="5"/>
    </row>
    <row r="628" spans="1:24">
      <c r="A628" s="4"/>
      <c r="F628" t="s">
        <v>321</v>
      </c>
      <c r="X628" s="5"/>
    </row>
    <row r="629" spans="1:24">
      <c r="A629" s="4"/>
      <c r="F629" t="s">
        <v>322</v>
      </c>
      <c r="X629" s="5"/>
    </row>
    <row r="630" spans="1:24">
      <c r="A630" s="4"/>
      <c r="F630" t="s">
        <v>264</v>
      </c>
      <c r="X630" s="5"/>
    </row>
    <row r="631" spans="1:24">
      <c r="A631" s="4"/>
      <c r="F631" t="s">
        <v>326</v>
      </c>
      <c r="X631" s="5"/>
    </row>
    <row r="632" spans="1:24">
      <c r="A632" s="4"/>
      <c r="X632" s="5"/>
    </row>
    <row r="633" spans="1:24">
      <c r="A633" s="4"/>
      <c r="X633" s="5"/>
    </row>
    <row r="634" spans="1:24">
      <c r="A634" s="4"/>
      <c r="X634" s="5"/>
    </row>
    <row r="635" spans="1:24">
      <c r="A635" s="4"/>
      <c r="X635" s="5"/>
    </row>
    <row r="636" spans="1:24">
      <c r="A636" s="4"/>
      <c r="X636" s="5"/>
    </row>
    <row r="637" spans="1:24">
      <c r="A637" s="4"/>
      <c r="X637" s="5"/>
    </row>
    <row r="638" spans="1:24">
      <c r="A638" s="4"/>
      <c r="X638" s="5"/>
    </row>
    <row r="639" spans="1:24" ht="15" thickBot="1">
      <c r="A639" s="6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8"/>
    </row>
    <row r="640" spans="1:24" ht="15" thickBot="1"/>
    <row r="641" spans="1:25" ht="15">
      <c r="A641" s="9" t="s">
        <v>263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3"/>
    </row>
    <row r="642" spans="1:25">
      <c r="A642" s="4"/>
      <c r="C642" t="s">
        <v>10</v>
      </c>
      <c r="Y642" s="5"/>
    </row>
    <row r="643" spans="1:25">
      <c r="A643" s="4"/>
      <c r="C643">
        <v>-1</v>
      </c>
      <c r="D643">
        <v>0</v>
      </c>
      <c r="E643">
        <v>1</v>
      </c>
      <c r="Y643" s="5"/>
    </row>
    <row r="644" spans="1:25">
      <c r="A644" s="4" t="s">
        <v>12</v>
      </c>
      <c r="B644">
        <v>-1</v>
      </c>
      <c r="C644">
        <f>AVERAGEIFS($D$10:$D$63,$A$10:$A$63,-1,$B$10:$B$63,-1)</f>
        <v>0.42288333333333333</v>
      </c>
      <c r="D644">
        <f>AVERAGEIFS($D$10:$D$63,$A$10:$A$63,0,$B$10:$B$63,-1)</f>
        <v>0.56071666666666653</v>
      </c>
      <c r="E644">
        <f>AVERAGEIFS(D10:D63,A10:A63,1,B10:B63,-1)</f>
        <v>0.42639999999999995</v>
      </c>
      <c r="Y644" s="5"/>
    </row>
    <row r="645" spans="1:25">
      <c r="A645" s="4"/>
      <c r="B645">
        <v>0</v>
      </c>
      <c r="C645">
        <f>AVERAGEIFS($D$10:$D$63,$A$10:$A$63,-1,$B$10:$B$63,0)</f>
        <v>0.50011666666666665</v>
      </c>
      <c r="D645">
        <f>AVERAGEIFS($D$10:$D$63,$A$10:$A$63,0,$B$10:$B$63,0)</f>
        <v>0.65036666666666665</v>
      </c>
      <c r="E645">
        <f>AVERAGEIFS($D$10:$D$63,$A$10:$A$63,1,$B$10:$B$63,0)</f>
        <v>0.74490000000000001</v>
      </c>
      <c r="Y645" s="5"/>
    </row>
    <row r="646" spans="1:25">
      <c r="A646" s="4"/>
      <c r="B646">
        <v>1</v>
      </c>
      <c r="C646">
        <f>AVERAGEIFS($D$10:$D$63,$A$10:$A$63,-1,$B$10:$B$63,1)</f>
        <v>0.54208333333333336</v>
      </c>
      <c r="D646">
        <f>AVERAGEIFS($D$10:$D$63,$A$10:$A$63,0,$B$10:$B$63,1)</f>
        <v>0.72063333333333335</v>
      </c>
      <c r="E646">
        <f>AVERAGEIFS($D$10:$D$63,$A$10:$A$63,1,$B$10:$B$63,1)</f>
        <v>0.52883333333333338</v>
      </c>
      <c r="Y646" s="5"/>
    </row>
    <row r="647" spans="1:25">
      <c r="A647" s="4"/>
      <c r="Y647" s="5"/>
    </row>
    <row r="648" spans="1:25">
      <c r="A648" s="4"/>
      <c r="Y648" s="5"/>
    </row>
    <row r="649" spans="1:25">
      <c r="A649" s="4"/>
      <c r="Y649" s="5"/>
    </row>
    <row r="650" spans="1:25">
      <c r="A650" s="4"/>
      <c r="Y650" s="5"/>
    </row>
    <row r="651" spans="1:25">
      <c r="A651" s="4"/>
      <c r="Y651" s="5"/>
    </row>
    <row r="652" spans="1:25">
      <c r="A652" s="4"/>
      <c r="Y652" s="5"/>
    </row>
    <row r="653" spans="1:25">
      <c r="A653" s="4"/>
      <c r="Y653" s="5"/>
    </row>
    <row r="654" spans="1:25">
      <c r="A654" s="4"/>
      <c r="Y654" s="5"/>
    </row>
    <row r="655" spans="1:25">
      <c r="A655" s="4"/>
      <c r="Y655" s="5"/>
    </row>
    <row r="656" spans="1:25">
      <c r="A656" s="4"/>
      <c r="Y656" s="5"/>
    </row>
    <row r="657" spans="1:25">
      <c r="A657" s="4"/>
      <c r="Y657" s="5"/>
    </row>
    <row r="658" spans="1:25">
      <c r="A658" s="4"/>
      <c r="Y658" s="5"/>
    </row>
    <row r="659" spans="1:25">
      <c r="A659" s="4"/>
      <c r="Y659" s="5"/>
    </row>
    <row r="660" spans="1:25">
      <c r="A660" s="4"/>
      <c r="Y660" s="5"/>
    </row>
    <row r="661" spans="1:25">
      <c r="A661" s="4"/>
      <c r="E661" t="s">
        <v>267</v>
      </c>
      <c r="Y661" s="5"/>
    </row>
    <row r="662" spans="1:25">
      <c r="A662" s="4"/>
      <c r="E662" t="s">
        <v>268</v>
      </c>
      <c r="Y662" s="5"/>
    </row>
    <row r="663" spans="1:25">
      <c r="A663" s="4"/>
      <c r="E663" t="s">
        <v>269</v>
      </c>
      <c r="Y663" s="5"/>
    </row>
    <row r="664" spans="1:25">
      <c r="A664" s="4"/>
      <c r="Y664" s="5"/>
    </row>
    <row r="665" spans="1:25">
      <c r="A665" s="4"/>
      <c r="E665" t="s">
        <v>265</v>
      </c>
      <c r="Y665" s="5"/>
    </row>
    <row r="666" spans="1:25" ht="15" thickBot="1">
      <c r="A666" s="6"/>
      <c r="B666" s="7"/>
      <c r="C666" s="7"/>
      <c r="D666" s="7"/>
      <c r="E666" s="7" t="s">
        <v>266</v>
      </c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8"/>
    </row>
    <row r="667" spans="1:25" ht="15" thickBot="1"/>
    <row r="668" spans="1:25" ht="15">
      <c r="A668" s="9" t="s">
        <v>270</v>
      </c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3"/>
    </row>
    <row r="669" spans="1:25">
      <c r="A669" s="4"/>
      <c r="Y669" s="5"/>
    </row>
    <row r="670" spans="1:25">
      <c r="A670" s="4" t="s">
        <v>12</v>
      </c>
      <c r="B670" t="s">
        <v>121</v>
      </c>
      <c r="Y670" s="5"/>
    </row>
    <row r="671" spans="1:25">
      <c r="A671" s="4">
        <v>-1</v>
      </c>
      <c r="B671">
        <f>$B$263+$D$263*A671</f>
        <v>0.50273425925925919</v>
      </c>
      <c r="Y671" s="5"/>
    </row>
    <row r="672" spans="1:25">
      <c r="A672" s="4">
        <v>0</v>
      </c>
      <c r="B672">
        <f t="shared" ref="B672:B673" si="18">$B$263+$D$263*A672</f>
        <v>0.5663259259259259</v>
      </c>
      <c r="Y672" s="5"/>
    </row>
    <row r="673" spans="1:25">
      <c r="A673" s="4">
        <v>1</v>
      </c>
      <c r="B673">
        <f t="shared" si="18"/>
        <v>0.62991759259259261</v>
      </c>
      <c r="Y673" s="5"/>
    </row>
    <row r="674" spans="1:25">
      <c r="A674" s="4"/>
      <c r="Y674" s="5"/>
    </row>
    <row r="675" spans="1:25" ht="15" thickBot="1">
      <c r="A675" s="6" t="s">
        <v>271</v>
      </c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8"/>
    </row>
    <row r="676" spans="1:25" ht="15" thickBot="1"/>
    <row r="677" spans="1:25" ht="15">
      <c r="A677" s="9" t="s">
        <v>272</v>
      </c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3"/>
    </row>
    <row r="678" spans="1:25">
      <c r="A678" s="4" t="s">
        <v>276</v>
      </c>
      <c r="Y678" s="5"/>
    </row>
    <row r="679" spans="1:25">
      <c r="A679" s="4"/>
      <c r="Y679" s="5"/>
    </row>
    <row r="680" spans="1:25">
      <c r="A680" s="4" t="s">
        <v>12</v>
      </c>
      <c r="Y680" s="5"/>
    </row>
    <row r="681" spans="1:25">
      <c r="A681" s="4">
        <v>-1</v>
      </c>
      <c r="B681">
        <f>D11</f>
        <v>0.35699999999999998</v>
      </c>
      <c r="Y681" s="5"/>
    </row>
    <row r="682" spans="1:25">
      <c r="A682" s="4">
        <v>0</v>
      </c>
      <c r="B682">
        <f>D34</f>
        <v>0.71240000000000003</v>
      </c>
      <c r="Y682" s="5"/>
    </row>
    <row r="683" spans="1:25">
      <c r="A683" s="4">
        <v>1</v>
      </c>
      <c r="B683">
        <f>D29</f>
        <v>0.41470000000000001</v>
      </c>
      <c r="Y683" s="5"/>
    </row>
    <row r="684" spans="1:25">
      <c r="A684" s="4"/>
      <c r="Y684" s="5"/>
    </row>
    <row r="685" spans="1:25">
      <c r="A685" s="4" t="s">
        <v>277</v>
      </c>
      <c r="Y685" s="5"/>
    </row>
    <row r="686" spans="1:25">
      <c r="A686" s="4" t="s">
        <v>273</v>
      </c>
      <c r="Y686" s="5"/>
    </row>
    <row r="687" spans="1:25">
      <c r="A687" s="4" t="s">
        <v>274</v>
      </c>
      <c r="Y687" s="5"/>
    </row>
    <row r="688" spans="1:25">
      <c r="A688" s="4" t="s">
        <v>275</v>
      </c>
      <c r="Y688" s="5"/>
    </row>
    <row r="689" spans="1:43">
      <c r="A689" s="4" t="s">
        <v>278</v>
      </c>
      <c r="Y689" s="5"/>
    </row>
    <row r="690" spans="1:43">
      <c r="A690" s="4" t="s">
        <v>279</v>
      </c>
      <c r="Y690" s="5"/>
    </row>
    <row r="691" spans="1:43">
      <c r="A691" s="4" t="s">
        <v>280</v>
      </c>
      <c r="Y691" s="5"/>
    </row>
    <row r="692" spans="1:43" ht="15" thickBot="1">
      <c r="A692" s="6" t="s">
        <v>281</v>
      </c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8"/>
    </row>
    <row r="693" spans="1:43" ht="15" thickBot="1"/>
    <row r="694" spans="1:43" ht="15">
      <c r="A694" s="9" t="s">
        <v>282</v>
      </c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3"/>
    </row>
    <row r="695" spans="1:43">
      <c r="A695" s="4"/>
      <c r="Y695" s="5"/>
    </row>
    <row r="696" spans="1:43">
      <c r="A696" s="4" t="s">
        <v>283</v>
      </c>
      <c r="Y696" s="5"/>
    </row>
    <row r="697" spans="1:43" ht="15" thickBot="1">
      <c r="A697" s="6" t="s">
        <v>284</v>
      </c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8"/>
    </row>
    <row r="698" spans="1:43" ht="15" thickBot="1"/>
    <row r="699" spans="1:43" ht="15">
      <c r="A699" s="9" t="s">
        <v>285</v>
      </c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3"/>
    </row>
    <row r="700" spans="1:43">
      <c r="A700" s="4"/>
      <c r="AQ700" s="5"/>
    </row>
    <row r="701" spans="1:43" ht="15">
      <c r="A701" s="52" t="s">
        <v>297</v>
      </c>
      <c r="B701" t="s">
        <v>298</v>
      </c>
      <c r="AQ701" s="5"/>
    </row>
    <row r="702" spans="1:43">
      <c r="A702" s="4"/>
      <c r="B702" t="s">
        <v>299</v>
      </c>
      <c r="AQ702" s="5"/>
    </row>
    <row r="703" spans="1:43">
      <c r="A703" s="4"/>
      <c r="AQ703" s="5"/>
    </row>
    <row r="704" spans="1:43">
      <c r="A704" s="4"/>
      <c r="AQ704" s="5"/>
    </row>
    <row r="705" spans="1:43">
      <c r="A705" s="4"/>
      <c r="AQ705" s="5"/>
    </row>
    <row r="706" spans="1:43">
      <c r="A706" s="4"/>
      <c r="AQ706" s="5"/>
    </row>
    <row r="707" spans="1:43">
      <c r="A707" s="4"/>
      <c r="AQ707" s="5"/>
    </row>
    <row r="708" spans="1:43">
      <c r="A708" s="4"/>
      <c r="AQ708" s="5"/>
    </row>
    <row r="709" spans="1:43">
      <c r="A709" s="4"/>
      <c r="AQ709" s="5"/>
    </row>
    <row r="710" spans="1:43">
      <c r="A710" s="4"/>
      <c r="AQ710" s="5"/>
    </row>
    <row r="711" spans="1:43">
      <c r="A711" s="4"/>
      <c r="AQ711" s="5"/>
    </row>
    <row r="712" spans="1:43">
      <c r="A712" s="4"/>
      <c r="AQ712" s="5"/>
    </row>
    <row r="713" spans="1:43">
      <c r="A713" s="4"/>
      <c r="AQ713" s="5"/>
    </row>
    <row r="714" spans="1:43">
      <c r="A714" s="4"/>
      <c r="AQ714" s="5"/>
    </row>
    <row r="715" spans="1:43">
      <c r="A715" s="4"/>
      <c r="AQ715" s="5"/>
    </row>
    <row r="716" spans="1:43">
      <c r="A716" s="4"/>
      <c r="AQ716" s="5"/>
    </row>
    <row r="717" spans="1:43">
      <c r="A717" s="4"/>
      <c r="AQ717" s="5"/>
    </row>
    <row r="718" spans="1:43">
      <c r="A718" s="4"/>
      <c r="AQ718" s="5"/>
    </row>
    <row r="719" spans="1:43">
      <c r="A719" s="4"/>
      <c r="AQ719" s="5"/>
    </row>
    <row r="720" spans="1:43">
      <c r="A720" s="4"/>
      <c r="AQ720" s="5"/>
    </row>
    <row r="721" spans="1:43">
      <c r="A721" s="4"/>
      <c r="AQ721" s="5"/>
    </row>
    <row r="722" spans="1:43">
      <c r="A722" s="4"/>
      <c r="AQ722" s="5"/>
    </row>
    <row r="723" spans="1:43">
      <c r="A723" s="4"/>
      <c r="AQ723" s="5"/>
    </row>
    <row r="724" spans="1:43">
      <c r="A724" s="4"/>
      <c r="AQ724" s="5"/>
    </row>
    <row r="725" spans="1:43">
      <c r="A725" s="4"/>
      <c r="AQ725" s="5"/>
    </row>
    <row r="726" spans="1:43">
      <c r="A726" s="4"/>
      <c r="AQ726" s="5"/>
    </row>
    <row r="727" spans="1:43">
      <c r="A727" s="4"/>
      <c r="AQ727" s="5"/>
    </row>
    <row r="728" spans="1:43">
      <c r="A728" s="4"/>
      <c r="AQ728" s="5"/>
    </row>
    <row r="729" spans="1:43" ht="15">
      <c r="A729" s="52" t="s">
        <v>312</v>
      </c>
      <c r="AQ729" s="5"/>
    </row>
    <row r="730" spans="1:43">
      <c r="A730" s="4"/>
      <c r="AQ730" s="5"/>
    </row>
    <row r="731" spans="1:43">
      <c r="A731" s="4"/>
      <c r="AQ731" s="5"/>
    </row>
    <row r="732" spans="1:43">
      <c r="A732" s="4"/>
      <c r="AQ732" s="5"/>
    </row>
    <row r="733" spans="1:43">
      <c r="A733" s="4"/>
      <c r="AQ733" s="5"/>
    </row>
    <row r="734" spans="1:43">
      <c r="A734" s="4"/>
      <c r="AQ734" s="5"/>
    </row>
    <row r="735" spans="1:43">
      <c r="A735" s="4"/>
      <c r="AQ735" s="5"/>
    </row>
    <row r="736" spans="1:43">
      <c r="A736" s="4"/>
      <c r="AQ736" s="5"/>
    </row>
    <row r="737" spans="1:43">
      <c r="A737" s="4"/>
      <c r="AQ737" s="5"/>
    </row>
    <row r="738" spans="1:43">
      <c r="A738" s="4"/>
      <c r="AQ738" s="5"/>
    </row>
    <row r="739" spans="1:43">
      <c r="A739" s="4"/>
      <c r="AQ739" s="5"/>
    </row>
    <row r="740" spans="1:43">
      <c r="A740" s="4"/>
      <c r="AQ740" s="5"/>
    </row>
    <row r="741" spans="1:43">
      <c r="A741" s="4"/>
      <c r="AQ741" s="5"/>
    </row>
    <row r="742" spans="1:43">
      <c r="A742" s="4"/>
      <c r="AQ742" s="5"/>
    </row>
    <row r="743" spans="1:43">
      <c r="A743" s="4"/>
      <c r="AQ743" s="5"/>
    </row>
    <row r="744" spans="1:43">
      <c r="A744" s="4"/>
      <c r="E744" t="s">
        <v>346</v>
      </c>
      <c r="AQ744" s="5"/>
    </row>
    <row r="745" spans="1:43">
      <c r="A745" s="4"/>
      <c r="E745" t="s">
        <v>347</v>
      </c>
      <c r="AQ745" s="5"/>
    </row>
    <row r="746" spans="1:43" ht="15">
      <c r="A746" s="4"/>
      <c r="E746" s="54" t="s">
        <v>348</v>
      </c>
      <c r="AQ746" s="5"/>
    </row>
    <row r="747" spans="1:43">
      <c r="A747" s="4"/>
      <c r="E747" t="s">
        <v>349</v>
      </c>
      <c r="AQ747" s="5"/>
    </row>
    <row r="748" spans="1:43">
      <c r="A748" s="4"/>
      <c r="E748" t="s">
        <v>350</v>
      </c>
      <c r="AQ748" s="5"/>
    </row>
    <row r="749" spans="1:43">
      <c r="A749" s="4"/>
      <c r="E749" t="s">
        <v>351</v>
      </c>
      <c r="AQ749" s="5"/>
    </row>
    <row r="750" spans="1:43">
      <c r="A750" s="4"/>
      <c r="AQ750" s="5"/>
    </row>
    <row r="751" spans="1:43">
      <c r="A751" s="4"/>
      <c r="E751" s="43" t="s">
        <v>360</v>
      </c>
      <c r="F751" s="43">
        <v>2.04</v>
      </c>
      <c r="AQ751" s="5"/>
    </row>
    <row r="752" spans="1:43">
      <c r="A752" s="4"/>
      <c r="E752" s="43" t="s">
        <v>361</v>
      </c>
      <c r="H752" t="s">
        <v>363</v>
      </c>
      <c r="AQ752" s="5"/>
    </row>
    <row r="753" spans="1:43">
      <c r="A753" s="4"/>
      <c r="E753" s="43" t="s">
        <v>362</v>
      </c>
      <c r="H753" t="s">
        <v>364</v>
      </c>
      <c r="AQ753" s="5"/>
    </row>
    <row r="754" spans="1:43">
      <c r="A754" s="4"/>
      <c r="AQ754" s="5"/>
    </row>
    <row r="755" spans="1:43">
      <c r="A755" s="4"/>
      <c r="AQ755" s="5"/>
    </row>
    <row r="756" spans="1:43">
      <c r="A756" s="4" t="s">
        <v>300</v>
      </c>
      <c r="AQ756" s="5"/>
    </row>
    <row r="757" spans="1:43">
      <c r="A757" s="4" t="s">
        <v>301</v>
      </c>
      <c r="AQ757" s="5"/>
    </row>
    <row r="758" spans="1:43">
      <c r="A758" s="4" t="s">
        <v>302</v>
      </c>
      <c r="AQ758" s="5"/>
    </row>
    <row r="759" spans="1:43">
      <c r="A759" s="4"/>
      <c r="AQ759" s="5"/>
    </row>
    <row r="760" spans="1:43" ht="15">
      <c r="A760" s="52" t="s">
        <v>309</v>
      </c>
      <c r="AQ760" s="5"/>
    </row>
    <row r="761" spans="1:43">
      <c r="A761" s="4"/>
      <c r="AQ761" s="5"/>
    </row>
    <row r="762" spans="1:43">
      <c r="A762" s="4"/>
      <c r="AQ762" s="5"/>
    </row>
    <row r="763" spans="1:43">
      <c r="A763" s="4"/>
      <c r="AQ763" s="5"/>
    </row>
    <row r="764" spans="1:43">
      <c r="A764" s="4"/>
      <c r="AQ764" s="5"/>
    </row>
    <row r="765" spans="1:43">
      <c r="A765" s="4"/>
      <c r="AQ765" s="5"/>
    </row>
    <row r="766" spans="1:43">
      <c r="A766" s="4"/>
      <c r="AQ766" s="5"/>
    </row>
    <row r="767" spans="1:43">
      <c r="A767" s="4"/>
      <c r="AQ767" s="5"/>
    </row>
    <row r="768" spans="1:43">
      <c r="A768" s="4"/>
      <c r="AQ768" s="5"/>
    </row>
    <row r="769" spans="1:43">
      <c r="A769" s="4"/>
      <c r="AQ769" s="5"/>
    </row>
    <row r="770" spans="1:43">
      <c r="A770" s="4"/>
      <c r="AQ770" s="5"/>
    </row>
    <row r="771" spans="1:43">
      <c r="A771" s="4"/>
      <c r="AQ771" s="5"/>
    </row>
    <row r="772" spans="1:43">
      <c r="A772" s="4"/>
      <c r="AQ772" s="5"/>
    </row>
    <row r="773" spans="1:43">
      <c r="A773" s="4"/>
      <c r="AQ773" s="5"/>
    </row>
    <row r="774" spans="1:43">
      <c r="A774" s="4"/>
      <c r="AQ774" s="5"/>
    </row>
    <row r="775" spans="1:43">
      <c r="A775" s="4"/>
      <c r="AQ775" s="5"/>
    </row>
    <row r="776" spans="1:43">
      <c r="A776" s="4"/>
      <c r="AQ776" s="5"/>
    </row>
    <row r="777" spans="1:43">
      <c r="A777" s="4"/>
      <c r="AQ777" s="5"/>
    </row>
    <row r="778" spans="1:43">
      <c r="A778" s="4"/>
      <c r="F778" t="s">
        <v>360</v>
      </c>
      <c r="G778">
        <v>1.8169999999999999</v>
      </c>
      <c r="AQ778" s="5"/>
    </row>
    <row r="779" spans="1:43">
      <c r="A779" s="4"/>
      <c r="F779" s="43" t="s">
        <v>361</v>
      </c>
      <c r="AQ779" s="5"/>
    </row>
    <row r="780" spans="1:43">
      <c r="A780" s="4"/>
      <c r="F780" s="43" t="s">
        <v>362</v>
      </c>
      <c r="AQ780" s="5"/>
    </row>
    <row r="781" spans="1:43">
      <c r="A781" s="4"/>
      <c r="AQ781" s="5"/>
    </row>
    <row r="782" spans="1:43">
      <c r="A782" s="4"/>
      <c r="AQ782" s="5"/>
    </row>
    <row r="783" spans="1:43">
      <c r="A783" s="4"/>
      <c r="AQ783" s="5"/>
    </row>
    <row r="784" spans="1:43">
      <c r="A784" s="4"/>
      <c r="AQ784" s="5"/>
    </row>
    <row r="785" spans="1:43">
      <c r="A785" s="4"/>
      <c r="AQ785" s="5"/>
    </row>
    <row r="786" spans="1:43">
      <c r="A786" s="4" t="s">
        <v>310</v>
      </c>
      <c r="AQ786" s="5"/>
    </row>
    <row r="787" spans="1:43">
      <c r="A787" s="4" t="s">
        <v>311</v>
      </c>
      <c r="AQ787" s="5"/>
    </row>
    <row r="788" spans="1:43">
      <c r="A788" s="4"/>
      <c r="AQ788" s="5"/>
    </row>
    <row r="789" spans="1:43" ht="15">
      <c r="A789" s="52" t="s">
        <v>313</v>
      </c>
      <c r="J789" t="s">
        <v>314</v>
      </c>
      <c r="AQ789" s="5"/>
    </row>
    <row r="790" spans="1:43">
      <c r="A790" s="4"/>
      <c r="J790" t="s">
        <v>315</v>
      </c>
      <c r="AQ790" s="5"/>
    </row>
    <row r="791" spans="1:43">
      <c r="A791" s="4"/>
      <c r="J791" t="s">
        <v>316</v>
      </c>
      <c r="AQ791" s="5"/>
    </row>
    <row r="792" spans="1:43">
      <c r="A792" s="4"/>
      <c r="J792" t="s">
        <v>317</v>
      </c>
      <c r="AQ792" s="5"/>
    </row>
    <row r="793" spans="1:43">
      <c r="A793" s="4"/>
      <c r="AQ793" s="5"/>
    </row>
    <row r="794" spans="1:43" ht="15">
      <c r="A794" s="4"/>
      <c r="J794" s="10" t="s">
        <v>352</v>
      </c>
      <c r="AQ794" s="5"/>
    </row>
    <row r="795" spans="1:43">
      <c r="A795" s="4"/>
      <c r="J795" t="s">
        <v>353</v>
      </c>
      <c r="AQ795" s="5"/>
    </row>
    <row r="796" spans="1:43">
      <c r="A796" s="4"/>
      <c r="AQ796" s="5"/>
    </row>
    <row r="797" spans="1:43" ht="15">
      <c r="A797" s="4"/>
      <c r="J797" s="10" t="s">
        <v>354</v>
      </c>
      <c r="AQ797" s="5"/>
    </row>
    <row r="798" spans="1:43">
      <c r="A798" s="4"/>
      <c r="AQ798" s="5"/>
    </row>
    <row r="799" spans="1:43">
      <c r="A799" s="4"/>
      <c r="AQ799" s="5"/>
    </row>
    <row r="800" spans="1:43">
      <c r="A800" s="4"/>
      <c r="AQ800" s="5"/>
    </row>
    <row r="801" spans="1:43">
      <c r="A801" s="4"/>
      <c r="AQ801" s="5"/>
    </row>
    <row r="802" spans="1:43">
      <c r="A802" s="4"/>
      <c r="AQ802" s="5"/>
    </row>
    <row r="803" spans="1:43">
      <c r="A803" s="4"/>
      <c r="AQ803" s="5"/>
    </row>
    <row r="804" spans="1:43">
      <c r="A804" s="4"/>
      <c r="AQ804" s="5"/>
    </row>
    <row r="805" spans="1:43">
      <c r="A805" s="4"/>
      <c r="AQ805" s="5"/>
    </row>
    <row r="806" spans="1:43">
      <c r="A806" s="4"/>
      <c r="AQ806" s="5"/>
    </row>
    <row r="807" spans="1:43">
      <c r="A807" s="4"/>
      <c r="AQ807" s="5"/>
    </row>
    <row r="808" spans="1:43">
      <c r="A808" s="4"/>
      <c r="AQ808" s="5"/>
    </row>
    <row r="809" spans="1:43">
      <c r="A809" s="4"/>
      <c r="AQ809" s="5"/>
    </row>
    <row r="810" spans="1:43">
      <c r="A810" s="4"/>
      <c r="AQ810" s="5"/>
    </row>
    <row r="811" spans="1:43">
      <c r="A811" s="4"/>
      <c r="AQ811" s="5"/>
    </row>
    <row r="812" spans="1:43">
      <c r="A812" s="4"/>
      <c r="J812" t="s">
        <v>356</v>
      </c>
      <c r="AQ812" s="5"/>
    </row>
    <row r="813" spans="1:43">
      <c r="A813" s="4"/>
      <c r="J813" t="s">
        <v>355</v>
      </c>
      <c r="AQ813" s="5"/>
    </row>
    <row r="814" spans="1:43" ht="15">
      <c r="A814" s="4"/>
      <c r="J814" s="10" t="s">
        <v>357</v>
      </c>
      <c r="AQ814" s="5"/>
    </row>
    <row r="815" spans="1:43">
      <c r="A815" s="4"/>
      <c r="AQ815" s="5"/>
    </row>
    <row r="816" spans="1:43">
      <c r="A816" s="4"/>
      <c r="AQ816" s="5"/>
    </row>
    <row r="817" spans="1:43">
      <c r="A817" s="4"/>
      <c r="AQ817" s="5"/>
    </row>
    <row r="818" spans="1:43">
      <c r="A818" s="4"/>
      <c r="AQ818" s="5"/>
    </row>
    <row r="819" spans="1:43">
      <c r="A819" s="4"/>
      <c r="AQ819" s="5"/>
    </row>
    <row r="820" spans="1:43" ht="15">
      <c r="A820" s="52" t="s">
        <v>318</v>
      </c>
      <c r="AQ820" s="5"/>
    </row>
    <row r="821" spans="1:43" ht="15">
      <c r="A821" s="4"/>
      <c r="U821" s="10" t="s">
        <v>367</v>
      </c>
      <c r="AQ821" s="5"/>
    </row>
    <row r="822" spans="1:43">
      <c r="A822" s="4"/>
      <c r="AQ822" s="5"/>
    </row>
    <row r="823" spans="1:43">
      <c r="A823" s="4"/>
      <c r="U823" t="s">
        <v>358</v>
      </c>
      <c r="AQ823" s="5"/>
    </row>
    <row r="824" spans="1:43">
      <c r="A824" s="4"/>
      <c r="U824" t="s">
        <v>359</v>
      </c>
      <c r="AQ824" s="5"/>
    </row>
    <row r="825" spans="1:43">
      <c r="A825" s="4"/>
      <c r="AQ825" s="5"/>
    </row>
    <row r="826" spans="1:43">
      <c r="A826" s="4"/>
      <c r="AQ826" s="5"/>
    </row>
    <row r="827" spans="1:43">
      <c r="A827" s="4"/>
      <c r="AQ827" s="5"/>
    </row>
    <row r="828" spans="1:43">
      <c r="A828" s="4"/>
      <c r="AQ828" s="5"/>
    </row>
    <row r="829" spans="1:43">
      <c r="A829" s="4"/>
      <c r="AQ829" s="5"/>
    </row>
    <row r="830" spans="1:43">
      <c r="A830" s="4"/>
      <c r="AQ830" s="5"/>
    </row>
    <row r="831" spans="1:43">
      <c r="A831" s="4"/>
      <c r="AQ831" s="5"/>
    </row>
    <row r="832" spans="1:43">
      <c r="A832" s="4"/>
      <c r="AQ832" s="5"/>
    </row>
    <row r="833" spans="1:43">
      <c r="A833" s="4"/>
      <c r="AQ833" s="5"/>
    </row>
    <row r="834" spans="1:43">
      <c r="A834" s="4"/>
      <c r="AQ834" s="5"/>
    </row>
    <row r="835" spans="1:43">
      <c r="A835" s="4"/>
      <c r="AQ835" s="5"/>
    </row>
    <row r="836" spans="1:43">
      <c r="A836" s="4"/>
      <c r="AQ836" s="5"/>
    </row>
    <row r="837" spans="1:43">
      <c r="A837" s="4"/>
      <c r="AQ837" s="5"/>
    </row>
    <row r="838" spans="1:43">
      <c r="A838" s="4"/>
      <c r="AQ838" s="5"/>
    </row>
    <row r="839" spans="1:43">
      <c r="A839" s="4"/>
      <c r="AQ839" s="5"/>
    </row>
    <row r="840" spans="1:43">
      <c r="A840" s="4"/>
      <c r="AQ840" s="5"/>
    </row>
    <row r="841" spans="1:43">
      <c r="A841" s="4"/>
      <c r="AQ841" s="5"/>
    </row>
    <row r="842" spans="1:43">
      <c r="A842" s="4"/>
      <c r="AQ842" s="5"/>
    </row>
    <row r="843" spans="1:43">
      <c r="A843" s="4"/>
      <c r="AQ843" s="5"/>
    </row>
    <row r="844" spans="1:43">
      <c r="A844" s="4"/>
      <c r="AQ844" s="5"/>
    </row>
    <row r="845" spans="1:43">
      <c r="A845" s="4"/>
      <c r="AQ845" s="5"/>
    </row>
    <row r="846" spans="1:43">
      <c r="A846" s="4"/>
      <c r="AQ846" s="5"/>
    </row>
    <row r="847" spans="1:43">
      <c r="A847" s="4"/>
      <c r="AQ847" s="5"/>
    </row>
    <row r="848" spans="1:43" ht="15.75" thickBot="1">
      <c r="A848" s="55" t="s">
        <v>319</v>
      </c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8"/>
    </row>
  </sheetData>
  <sortState ref="E397:E450">
    <sortCondition ref="E397:E450"/>
  </sortState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1"/>
  <sheetViews>
    <sheetView workbookViewId="0">
      <selection activeCell="J13" sqref="J13"/>
    </sheetView>
  </sheetViews>
  <sheetFormatPr defaultRowHeight="14.25"/>
  <sheetData>
    <row r="1" spans="1:19">
      <c r="A1" s="38" t="s">
        <v>286</v>
      </c>
      <c r="B1" s="38" t="s">
        <v>287</v>
      </c>
      <c r="C1" s="38" t="s">
        <v>288</v>
      </c>
      <c r="D1" s="38" t="s">
        <v>289</v>
      </c>
      <c r="E1" t="s">
        <v>0</v>
      </c>
      <c r="F1" t="s">
        <v>1</v>
      </c>
      <c r="G1" t="s">
        <v>2</v>
      </c>
      <c r="H1" t="s">
        <v>290</v>
      </c>
      <c r="I1" t="s">
        <v>291</v>
      </c>
      <c r="J1" t="s">
        <v>292</v>
      </c>
      <c r="K1" t="s">
        <v>121</v>
      </c>
      <c r="M1" s="38" t="s">
        <v>0</v>
      </c>
      <c r="N1" s="38" t="s">
        <v>1</v>
      </c>
      <c r="O1" s="38" t="s">
        <v>2</v>
      </c>
      <c r="P1" s="38" t="s">
        <v>121</v>
      </c>
      <c r="Q1" t="s">
        <v>290</v>
      </c>
      <c r="R1" t="s">
        <v>291</v>
      </c>
      <c r="S1" t="s">
        <v>292</v>
      </c>
    </row>
    <row r="2" spans="1:19">
      <c r="A2" s="38">
        <v>900</v>
      </c>
      <c r="B2" s="38" t="s">
        <v>22</v>
      </c>
      <c r="C2" s="38">
        <v>7.5</v>
      </c>
      <c r="D2" s="39">
        <f>SUMIFS($P$2:$P$28, $M$2:$M$28, 1, $N$2:$N$28, 0, $O$2:$O$28, 0)</f>
        <v>0.61599999999999999</v>
      </c>
      <c r="E2">
        <f>IF(A2=300,-1,IF(A2=600,0,1))</f>
        <v>1</v>
      </c>
      <c r="F2">
        <f>IF(B2="Listnaté lesy",-1,IF(B2="Ihličnaté lesy",0,1))</f>
        <v>0</v>
      </c>
      <c r="G2">
        <f>IF(C2=2.5,-1,IF(C2=7.5,0,1))</f>
        <v>0</v>
      </c>
      <c r="H2" t="str">
        <f>E2&amp;"|"&amp;F2&amp;"|"&amp;G2</f>
        <v>1|0|0</v>
      </c>
      <c r="I2">
        <v>1</v>
      </c>
      <c r="J2" t="str">
        <f>H2&amp;"#"&amp;I2</f>
        <v>1|0|0#1</v>
      </c>
      <c r="K2">
        <f>_xlfn.XLOOKUP(J2, $S:$S, $P:$P, "")</f>
        <v>0.61599999999999999</v>
      </c>
      <c r="M2" s="38">
        <v>-1</v>
      </c>
      <c r="N2" s="38">
        <v>-1</v>
      </c>
      <c r="O2" s="38">
        <v>-1</v>
      </c>
      <c r="P2" s="38">
        <v>0.38879999999999998</v>
      </c>
      <c r="Q2" t="str">
        <f>M2&amp;"|"&amp;N2&amp;"|"&amp;O2</f>
        <v>-1|-1|-1</v>
      </c>
      <c r="R2">
        <f>COUNTIF($Q$2:Q2,Q2)</f>
        <v>1</v>
      </c>
      <c r="S2" t="str">
        <f>Q2&amp;"#"&amp;R2</f>
        <v>-1|-1|-1#1</v>
      </c>
    </row>
    <row r="3" spans="1:19">
      <c r="A3" s="38">
        <v>300</v>
      </c>
      <c r="B3" s="38" t="s">
        <v>23</v>
      </c>
      <c r="C3" s="38">
        <v>7.5</v>
      </c>
      <c r="D3" s="39">
        <f>SUMIFS($P$2:$P$28, $M$2:$M$28, -1, $N$2:$N$28, 1, $O$2:$O$28, 0)</f>
        <v>0.60870000000000002</v>
      </c>
      <c r="E3">
        <f t="shared" ref="E3:E55" si="0">IF(A3=300,-1,IF(A3=600,0,1))</f>
        <v>-1</v>
      </c>
      <c r="F3">
        <f t="shared" ref="F3:F55" si="1">IF(B3="Listnaté lesy",-1,IF(B3="Ihličnaté lesy",0,1))</f>
        <v>1</v>
      </c>
      <c r="G3">
        <f t="shared" ref="G3:G55" si="2">IF(C3=2.5,-1,IF(C3=7.5,0,1))</f>
        <v>0</v>
      </c>
      <c r="H3" t="str">
        <f t="shared" ref="H3:H55" si="3">E3&amp;"|"&amp;F3&amp;"|"&amp;G3</f>
        <v>-1|1|0</v>
      </c>
      <c r="I3">
        <v>1</v>
      </c>
      <c r="J3" t="str">
        <f t="shared" ref="J3:J55" si="4">H3&amp;"#"&amp;I3</f>
        <v>-1|1|0#1</v>
      </c>
      <c r="K3">
        <f t="shared" ref="K3:K55" si="5">_xlfn.XLOOKUP(J3, $S:$S, $P:$P, "")</f>
        <v>0.60870000000000002</v>
      </c>
      <c r="M3" s="38">
        <v>1</v>
      </c>
      <c r="N3" s="38">
        <v>-1</v>
      </c>
      <c r="O3" s="38">
        <v>-1</v>
      </c>
      <c r="P3" s="38">
        <v>0.35699999999999998</v>
      </c>
      <c r="Q3" t="str">
        <f t="shared" ref="Q3:Q55" si="6">M3&amp;"|"&amp;N3&amp;"|"&amp;O3</f>
        <v>1|-1|-1</v>
      </c>
      <c r="R3">
        <f>COUNTIF($Q$2:Q3,Q3)</f>
        <v>1</v>
      </c>
      <c r="S3" t="str">
        <f t="shared" ref="S3:S55" si="7">Q3&amp;"#"&amp;R3</f>
        <v>1|-1|-1#1</v>
      </c>
    </row>
    <row r="4" spans="1:19">
      <c r="A4" s="38">
        <v>600</v>
      </c>
      <c r="B4" s="38" t="s">
        <v>21</v>
      </c>
      <c r="C4" s="38">
        <v>2.5</v>
      </c>
      <c r="D4" s="39">
        <f>SUMIFS($P$2:$P$28, $M$2:$M$28, 0, $N$2:$N$28, -1, $O$2:$O$28, -1)</f>
        <v>0.51919999999999999</v>
      </c>
      <c r="E4">
        <f t="shared" si="0"/>
        <v>0</v>
      </c>
      <c r="F4">
        <f t="shared" si="1"/>
        <v>-1</v>
      </c>
      <c r="G4">
        <f t="shared" si="2"/>
        <v>-1</v>
      </c>
      <c r="H4" t="str">
        <f t="shared" si="3"/>
        <v>0|-1|-1</v>
      </c>
      <c r="I4">
        <v>1</v>
      </c>
      <c r="J4" t="str">
        <f t="shared" si="4"/>
        <v>0|-1|-1#1</v>
      </c>
      <c r="K4">
        <f t="shared" si="5"/>
        <v>0.51919999999999999</v>
      </c>
      <c r="M4" s="38">
        <v>-1</v>
      </c>
      <c r="N4" s="38">
        <v>1</v>
      </c>
      <c r="O4" s="38">
        <v>-1</v>
      </c>
      <c r="P4" s="38">
        <v>0.42930000000000001</v>
      </c>
      <c r="Q4" t="str">
        <f t="shared" si="6"/>
        <v>-1|1|-1</v>
      </c>
      <c r="R4">
        <f>COUNTIF($Q$2:Q4,Q4)</f>
        <v>1</v>
      </c>
      <c r="S4" t="str">
        <f t="shared" si="7"/>
        <v>-1|1|-1#1</v>
      </c>
    </row>
    <row r="5" spans="1:19">
      <c r="A5" s="38">
        <v>900</v>
      </c>
      <c r="B5" s="38" t="s">
        <v>23</v>
      </c>
      <c r="C5" s="38">
        <v>7.5</v>
      </c>
      <c r="D5" s="39">
        <f>SUMIFS($P$2:$P$28, $M$2:$M$28, 1, $N$2:$N$28, 1, $O$2:$O$28, 0)</f>
        <v>0.41470000000000001</v>
      </c>
      <c r="E5">
        <f t="shared" si="0"/>
        <v>1</v>
      </c>
      <c r="F5">
        <f t="shared" si="1"/>
        <v>1</v>
      </c>
      <c r="G5">
        <f t="shared" si="2"/>
        <v>0</v>
      </c>
      <c r="H5" t="str">
        <f t="shared" si="3"/>
        <v>1|1|0</v>
      </c>
      <c r="I5">
        <v>1</v>
      </c>
      <c r="J5" t="str">
        <f t="shared" si="4"/>
        <v>1|1|0#1</v>
      </c>
      <c r="K5">
        <f t="shared" si="5"/>
        <v>0.41470000000000001</v>
      </c>
      <c r="M5" s="38">
        <v>1</v>
      </c>
      <c r="N5" s="38">
        <v>1</v>
      </c>
      <c r="O5" s="38">
        <v>-1</v>
      </c>
      <c r="P5" s="38">
        <v>0.65849999999999997</v>
      </c>
      <c r="Q5" t="str">
        <f t="shared" si="6"/>
        <v>1|1|-1</v>
      </c>
      <c r="R5">
        <f>COUNTIF($Q$2:Q5,Q5)</f>
        <v>1</v>
      </c>
      <c r="S5" t="str">
        <f t="shared" si="7"/>
        <v>1|1|-1#1</v>
      </c>
    </row>
    <row r="6" spans="1:19">
      <c r="A6" s="38">
        <v>600</v>
      </c>
      <c r="B6" s="38" t="s">
        <v>22</v>
      </c>
      <c r="C6" s="38">
        <v>7.5</v>
      </c>
      <c r="D6" s="39">
        <f>SUMIFS($P$2:$P$28, $M$2:$M$28, 0, $N$2:$N$28, 0, $O$2:$O$28, 0)</f>
        <v>0.64759999999999995</v>
      </c>
      <c r="E6">
        <f t="shared" si="0"/>
        <v>0</v>
      </c>
      <c r="F6">
        <f t="shared" si="1"/>
        <v>0</v>
      </c>
      <c r="G6">
        <f t="shared" si="2"/>
        <v>0</v>
      </c>
      <c r="H6" t="str">
        <f t="shared" si="3"/>
        <v>0|0|0</v>
      </c>
      <c r="I6">
        <v>1</v>
      </c>
      <c r="J6" t="str">
        <f t="shared" si="4"/>
        <v>0|0|0#1</v>
      </c>
      <c r="K6">
        <f t="shared" si="5"/>
        <v>0.64759999999999995</v>
      </c>
      <c r="M6" s="38">
        <v>-1</v>
      </c>
      <c r="N6" s="38">
        <v>-1</v>
      </c>
      <c r="O6" s="38">
        <v>1</v>
      </c>
      <c r="P6" s="38">
        <v>0.41570000000000001</v>
      </c>
      <c r="Q6" t="str">
        <f t="shared" si="6"/>
        <v>-1|-1|1</v>
      </c>
      <c r="R6">
        <f>COUNTIF($Q$2:Q6,Q6)</f>
        <v>1</v>
      </c>
      <c r="S6" t="str">
        <f t="shared" si="7"/>
        <v>-1|-1|1#1</v>
      </c>
    </row>
    <row r="7" spans="1:19">
      <c r="A7" s="38">
        <v>900</v>
      </c>
      <c r="B7" s="38" t="s">
        <v>22</v>
      </c>
      <c r="C7" s="38">
        <v>7.5</v>
      </c>
      <c r="D7" s="39"/>
      <c r="E7">
        <f t="shared" si="0"/>
        <v>1</v>
      </c>
      <c r="F7">
        <f t="shared" si="1"/>
        <v>0</v>
      </c>
      <c r="G7">
        <f t="shared" si="2"/>
        <v>0</v>
      </c>
      <c r="H7" t="str">
        <f t="shared" si="3"/>
        <v>1|0|0</v>
      </c>
      <c r="I7">
        <v>2</v>
      </c>
      <c r="J7" t="str">
        <f t="shared" si="4"/>
        <v>1|0|0#2</v>
      </c>
      <c r="K7">
        <f>_xlfn.XLOOKUP(J7, $S:$S, $P:$P, "")</f>
        <v>0.61599999999999999</v>
      </c>
      <c r="M7" s="38">
        <v>1</v>
      </c>
      <c r="N7" s="38">
        <v>-1</v>
      </c>
      <c r="O7" s="38">
        <v>1</v>
      </c>
      <c r="P7" s="38">
        <v>0.28870000000000001</v>
      </c>
      <c r="Q7" t="str">
        <f t="shared" si="6"/>
        <v>1|-1|1</v>
      </c>
      <c r="R7">
        <f>COUNTIF($Q$2:Q7,Q7)</f>
        <v>1</v>
      </c>
      <c r="S7" t="str">
        <f t="shared" si="7"/>
        <v>1|-1|1#1</v>
      </c>
    </row>
    <row r="8" spans="1:19">
      <c r="A8" s="38">
        <v>600</v>
      </c>
      <c r="B8" s="38" t="s">
        <v>21</v>
      </c>
      <c r="C8" s="38">
        <v>7.5</v>
      </c>
      <c r="D8" s="39">
        <f>SUMIFS($P$2:$P$28, $M$2:$M$28, 0, $N$2:$N$28, -1, $O$2:$O$28, 0)</f>
        <v>0.60009999999999997</v>
      </c>
      <c r="E8">
        <f t="shared" si="0"/>
        <v>0</v>
      </c>
      <c r="F8">
        <f t="shared" si="1"/>
        <v>-1</v>
      </c>
      <c r="G8">
        <f t="shared" si="2"/>
        <v>0</v>
      </c>
      <c r="H8" t="str">
        <f t="shared" si="3"/>
        <v>0|-1|0</v>
      </c>
      <c r="I8">
        <v>1</v>
      </c>
      <c r="J8" t="str">
        <f t="shared" si="4"/>
        <v>0|-1|0#1</v>
      </c>
      <c r="K8">
        <f t="shared" si="5"/>
        <v>0.60009999999999997</v>
      </c>
      <c r="M8" s="38">
        <v>-1</v>
      </c>
      <c r="N8" s="38">
        <v>1</v>
      </c>
      <c r="O8" s="38">
        <v>1</v>
      </c>
      <c r="P8" s="38">
        <v>0.60550000000000004</v>
      </c>
      <c r="Q8" t="str">
        <f t="shared" si="6"/>
        <v>-1|1|1</v>
      </c>
      <c r="R8">
        <f>COUNTIF($Q$2:Q8,Q8)</f>
        <v>1</v>
      </c>
      <c r="S8" t="str">
        <f t="shared" si="7"/>
        <v>-1|1|1#1</v>
      </c>
    </row>
    <row r="9" spans="1:19">
      <c r="A9" s="38">
        <v>600</v>
      </c>
      <c r="B9" s="38" t="s">
        <v>23</v>
      </c>
      <c r="C9" s="38">
        <v>12.5</v>
      </c>
      <c r="D9" s="39">
        <f>SUMIFS($P$2:$P$28, $M$2:$M$28, 0, $N$2:$N$28, 1, $O$2:$O$28, 1)</f>
        <v>0.68589999999999995</v>
      </c>
      <c r="E9">
        <f t="shared" si="0"/>
        <v>0</v>
      </c>
      <c r="F9">
        <f t="shared" si="1"/>
        <v>1</v>
      </c>
      <c r="G9">
        <f t="shared" si="2"/>
        <v>1</v>
      </c>
      <c r="H9" t="str">
        <f t="shared" si="3"/>
        <v>0|1|1</v>
      </c>
      <c r="I9">
        <v>1</v>
      </c>
      <c r="J9" t="str">
        <f t="shared" si="4"/>
        <v>0|1|1#1</v>
      </c>
      <c r="K9">
        <f t="shared" si="5"/>
        <v>0.68589999999999995</v>
      </c>
      <c r="M9" s="38">
        <v>1</v>
      </c>
      <c r="N9" s="38">
        <v>1</v>
      </c>
      <c r="O9" s="38">
        <v>1</v>
      </c>
      <c r="P9" s="38">
        <v>0.51329999999999998</v>
      </c>
      <c r="Q9" t="str">
        <f t="shared" si="6"/>
        <v>1|1|1</v>
      </c>
      <c r="R9">
        <f>COUNTIF($Q$2:Q9,Q9)</f>
        <v>1</v>
      </c>
      <c r="S9" t="str">
        <f t="shared" si="7"/>
        <v>1|1|1#1</v>
      </c>
    </row>
    <row r="10" spans="1:19">
      <c r="A10" s="38">
        <v>300</v>
      </c>
      <c r="B10" s="38" t="s">
        <v>21</v>
      </c>
      <c r="C10" s="38">
        <v>7.5</v>
      </c>
      <c r="D10" s="39">
        <f>SUMIFS($P$2:$P$28, $M$2:$M$28, -1, $N$2:$N$28, -1, $O$2:$O$28, 0)</f>
        <v>0.2908</v>
      </c>
      <c r="E10">
        <f t="shared" si="0"/>
        <v>-1</v>
      </c>
      <c r="F10">
        <f t="shared" si="1"/>
        <v>-1</v>
      </c>
      <c r="G10">
        <f t="shared" si="2"/>
        <v>0</v>
      </c>
      <c r="H10" t="str">
        <f t="shared" si="3"/>
        <v>-1|-1|0</v>
      </c>
      <c r="I10">
        <v>1</v>
      </c>
      <c r="J10" t="str">
        <f t="shared" si="4"/>
        <v>-1|-1|0#1</v>
      </c>
      <c r="K10">
        <f t="shared" si="5"/>
        <v>0.2908</v>
      </c>
      <c r="M10" s="38">
        <v>0</v>
      </c>
      <c r="N10" s="38">
        <v>-1</v>
      </c>
      <c r="O10" s="38">
        <v>-1</v>
      </c>
      <c r="P10" s="38">
        <v>0.51919999999999999</v>
      </c>
      <c r="Q10" t="str">
        <f t="shared" si="6"/>
        <v>0|-1|-1</v>
      </c>
      <c r="R10">
        <f>COUNTIF($Q$2:Q10,Q10)</f>
        <v>1</v>
      </c>
      <c r="S10" t="str">
        <f t="shared" si="7"/>
        <v>0|-1|-1#1</v>
      </c>
    </row>
    <row r="11" spans="1:19">
      <c r="A11" s="38">
        <v>600</v>
      </c>
      <c r="B11" s="38" t="s">
        <v>23</v>
      </c>
      <c r="C11" s="38">
        <v>7.5</v>
      </c>
      <c r="D11" s="39">
        <f>SUMIFS($P$2:$P$28, $M$2:$M$28, 0, $N$2:$N$28, 1, $O$2:$O$28, 0)</f>
        <v>0.77090000000000003</v>
      </c>
      <c r="E11">
        <f t="shared" si="0"/>
        <v>0</v>
      </c>
      <c r="F11">
        <f t="shared" si="1"/>
        <v>1</v>
      </c>
      <c r="G11">
        <f t="shared" si="2"/>
        <v>0</v>
      </c>
      <c r="H11" t="str">
        <f t="shared" si="3"/>
        <v>0|1|0</v>
      </c>
      <c r="I11">
        <v>1</v>
      </c>
      <c r="J11" t="str">
        <f t="shared" si="4"/>
        <v>0|1|0#1</v>
      </c>
      <c r="K11">
        <f t="shared" si="5"/>
        <v>0.77090000000000003</v>
      </c>
      <c r="M11" s="38">
        <v>0</v>
      </c>
      <c r="N11" s="38">
        <v>1</v>
      </c>
      <c r="O11" s="38">
        <v>-1</v>
      </c>
      <c r="P11" s="38">
        <v>0.7077</v>
      </c>
      <c r="Q11" t="str">
        <f t="shared" si="6"/>
        <v>0|1|-1</v>
      </c>
      <c r="R11">
        <f>COUNTIF($Q$2:Q11,Q11)</f>
        <v>1</v>
      </c>
      <c r="S11" t="str">
        <f t="shared" si="7"/>
        <v>0|1|-1#1</v>
      </c>
    </row>
    <row r="12" spans="1:19">
      <c r="A12" s="38">
        <v>600</v>
      </c>
      <c r="B12" s="38" t="s">
        <v>21</v>
      </c>
      <c r="C12" s="38">
        <v>12.5</v>
      </c>
      <c r="D12" s="39">
        <f>SUMIFS($P$2:$P$28, $M$2:$M$28, 0, $N$2:$N$28, -1, $O$2:$O$28, 1)</f>
        <v>0.52869999999999995</v>
      </c>
      <c r="E12">
        <f t="shared" si="0"/>
        <v>0</v>
      </c>
      <c r="F12">
        <f t="shared" si="1"/>
        <v>-1</v>
      </c>
      <c r="G12">
        <f t="shared" si="2"/>
        <v>1</v>
      </c>
      <c r="H12" t="str">
        <f t="shared" si="3"/>
        <v>0|-1|1</v>
      </c>
      <c r="I12">
        <v>1</v>
      </c>
      <c r="J12" t="str">
        <f t="shared" si="4"/>
        <v>0|-1|1#1</v>
      </c>
      <c r="K12">
        <f t="shared" si="5"/>
        <v>0.52869999999999995</v>
      </c>
      <c r="M12" s="38">
        <v>0</v>
      </c>
      <c r="N12" s="38">
        <v>-1</v>
      </c>
      <c r="O12" s="38">
        <v>1</v>
      </c>
      <c r="P12" s="38">
        <v>0.52869999999999995</v>
      </c>
      <c r="Q12" t="str">
        <f t="shared" si="6"/>
        <v>0|-1|1</v>
      </c>
      <c r="R12">
        <f>COUNTIF($Q$2:Q12,Q12)</f>
        <v>1</v>
      </c>
      <c r="S12" t="str">
        <f t="shared" si="7"/>
        <v>0|-1|1#1</v>
      </c>
    </row>
    <row r="13" spans="1:19">
      <c r="A13" s="38">
        <v>300</v>
      </c>
      <c r="B13" s="38" t="s">
        <v>21</v>
      </c>
      <c r="C13" s="38">
        <v>2.5</v>
      </c>
      <c r="D13" s="39">
        <f>SUMIFS($P$2:$P$28, $M$2:$M$28, -1, $N$2:$N$28, -1, $O$2:$O$28, -1)</f>
        <v>0.38879999999999998</v>
      </c>
      <c r="E13">
        <f t="shared" si="0"/>
        <v>-1</v>
      </c>
      <c r="F13">
        <f t="shared" si="1"/>
        <v>-1</v>
      </c>
      <c r="G13">
        <f t="shared" si="2"/>
        <v>-1</v>
      </c>
      <c r="H13" t="str">
        <f t="shared" si="3"/>
        <v>-1|-1|-1</v>
      </c>
      <c r="I13">
        <v>1</v>
      </c>
      <c r="J13" t="str">
        <f t="shared" si="4"/>
        <v>-1|-1|-1#1</v>
      </c>
      <c r="K13">
        <f t="shared" si="5"/>
        <v>0.38879999999999998</v>
      </c>
      <c r="M13" s="38">
        <v>0</v>
      </c>
      <c r="N13" s="38">
        <v>1</v>
      </c>
      <c r="O13" s="38">
        <v>1</v>
      </c>
      <c r="P13" s="38">
        <v>0.68589999999999995</v>
      </c>
      <c r="Q13" t="str">
        <f t="shared" si="6"/>
        <v>0|1|1</v>
      </c>
      <c r="R13">
        <f>COUNTIF($Q$2:Q13,Q13)</f>
        <v>1</v>
      </c>
      <c r="S13" t="str">
        <f t="shared" si="7"/>
        <v>0|1|1#1</v>
      </c>
    </row>
    <row r="14" spans="1:19">
      <c r="A14" s="38">
        <v>300</v>
      </c>
      <c r="B14" s="38" t="s">
        <v>22</v>
      </c>
      <c r="C14" s="38">
        <v>2.5</v>
      </c>
      <c r="D14" s="39">
        <f>SUMIFS($P$2:$P$28, $M$2:$M$28, -1, $N$2:$N$28, 0, $O$2:$O$28, -1)</f>
        <v>0.54920000000000002</v>
      </c>
      <c r="E14">
        <f t="shared" si="0"/>
        <v>-1</v>
      </c>
      <c r="F14">
        <f t="shared" si="1"/>
        <v>0</v>
      </c>
      <c r="G14">
        <f t="shared" si="2"/>
        <v>-1</v>
      </c>
      <c r="H14" t="str">
        <f t="shared" si="3"/>
        <v>-1|0|-1</v>
      </c>
      <c r="I14">
        <v>1</v>
      </c>
      <c r="J14" t="str">
        <f t="shared" si="4"/>
        <v>-1|0|-1#1</v>
      </c>
      <c r="K14">
        <f t="shared" si="5"/>
        <v>0.54920000000000002</v>
      </c>
      <c r="M14" s="38">
        <v>-1</v>
      </c>
      <c r="N14" s="38">
        <v>0</v>
      </c>
      <c r="O14" s="38">
        <v>-1</v>
      </c>
      <c r="P14" s="38">
        <v>0.54920000000000002</v>
      </c>
      <c r="Q14" t="str">
        <f t="shared" si="6"/>
        <v>-1|0|-1</v>
      </c>
      <c r="R14">
        <f>COUNTIF($Q$2:Q14,Q14)</f>
        <v>1</v>
      </c>
      <c r="S14" t="str">
        <f t="shared" si="7"/>
        <v>-1|0|-1#1</v>
      </c>
    </row>
    <row r="15" spans="1:19">
      <c r="A15" s="38">
        <v>600</v>
      </c>
      <c r="B15" s="38" t="s">
        <v>22</v>
      </c>
      <c r="C15" s="38">
        <v>2.5</v>
      </c>
      <c r="D15" s="39">
        <f>SUMIFS($P$2:$P$28, $M$2:$M$28, 0, $N$2:$N$28, 0, $O$2:$O$28, -1)</f>
        <v>0.71240000000000003</v>
      </c>
      <c r="E15">
        <f t="shared" si="0"/>
        <v>0</v>
      </c>
      <c r="F15">
        <f t="shared" si="1"/>
        <v>0</v>
      </c>
      <c r="G15">
        <f t="shared" si="2"/>
        <v>-1</v>
      </c>
      <c r="H15" t="str">
        <f t="shared" si="3"/>
        <v>0|0|-1</v>
      </c>
      <c r="I15">
        <v>1</v>
      </c>
      <c r="J15" t="str">
        <f t="shared" si="4"/>
        <v>0|0|-1#1</v>
      </c>
      <c r="K15">
        <f t="shared" si="5"/>
        <v>0.71240000000000003</v>
      </c>
      <c r="M15" s="38">
        <v>1</v>
      </c>
      <c r="N15" s="38">
        <v>0</v>
      </c>
      <c r="O15" s="38">
        <v>-1</v>
      </c>
      <c r="P15" s="38">
        <v>0.77439999999999998</v>
      </c>
      <c r="Q15" t="str">
        <f t="shared" si="6"/>
        <v>1|0|-1</v>
      </c>
      <c r="R15">
        <f>COUNTIF($Q$2:Q15,Q15)</f>
        <v>1</v>
      </c>
      <c r="S15" t="str">
        <f t="shared" si="7"/>
        <v>1|0|-1#1</v>
      </c>
    </row>
    <row r="16" spans="1:19">
      <c r="A16" s="38">
        <v>900</v>
      </c>
      <c r="B16" s="38" t="s">
        <v>23</v>
      </c>
      <c r="C16" s="38">
        <v>2.5</v>
      </c>
      <c r="D16" s="39">
        <f>SUMIFS($P$2:$P$28, $M$2:$M$28, 1, $N$2:$N$28, 1, $O$2:$O$28, -1)</f>
        <v>0.65849999999999997</v>
      </c>
      <c r="E16">
        <f t="shared" si="0"/>
        <v>1</v>
      </c>
      <c r="F16">
        <f t="shared" si="1"/>
        <v>1</v>
      </c>
      <c r="G16">
        <f t="shared" si="2"/>
        <v>-1</v>
      </c>
      <c r="H16" t="str">
        <f t="shared" si="3"/>
        <v>1|1|-1</v>
      </c>
      <c r="I16">
        <v>1</v>
      </c>
      <c r="J16" t="str">
        <f t="shared" si="4"/>
        <v>1|1|-1#1</v>
      </c>
      <c r="K16">
        <f t="shared" si="5"/>
        <v>0.65849999999999997</v>
      </c>
      <c r="M16" s="38">
        <v>-1</v>
      </c>
      <c r="N16" s="38">
        <v>0</v>
      </c>
      <c r="O16" s="38">
        <v>1</v>
      </c>
      <c r="P16" s="38">
        <v>0.43309999999999998</v>
      </c>
      <c r="Q16" t="str">
        <f t="shared" si="6"/>
        <v>-1|0|1</v>
      </c>
      <c r="R16">
        <f>COUNTIF($Q$2:Q16,Q16)</f>
        <v>1</v>
      </c>
      <c r="S16" t="str">
        <f t="shared" si="7"/>
        <v>-1|0|1#1</v>
      </c>
    </row>
    <row r="17" spans="1:19">
      <c r="A17" s="38">
        <v>600</v>
      </c>
      <c r="B17" s="38" t="s">
        <v>22</v>
      </c>
      <c r="C17" s="38">
        <v>12.5</v>
      </c>
      <c r="D17" s="39">
        <f>SUMIFS($P$2:$P$28, $M$2:$M$28, 0, $N$2:$N$28, 0, $O$2:$O$28, 1)</f>
        <v>0.66600000000000004</v>
      </c>
      <c r="E17">
        <f t="shared" si="0"/>
        <v>0</v>
      </c>
      <c r="F17">
        <f t="shared" si="1"/>
        <v>0</v>
      </c>
      <c r="G17">
        <f t="shared" si="2"/>
        <v>1</v>
      </c>
      <c r="H17" t="str">
        <f t="shared" si="3"/>
        <v>0|0|1</v>
      </c>
      <c r="I17">
        <v>1</v>
      </c>
      <c r="J17" t="str">
        <f t="shared" si="4"/>
        <v>0|0|1#1</v>
      </c>
      <c r="K17">
        <f t="shared" si="5"/>
        <v>0.66600000000000004</v>
      </c>
      <c r="M17" s="38">
        <v>1</v>
      </c>
      <c r="N17" s="38">
        <v>0</v>
      </c>
      <c r="O17" s="38">
        <v>1</v>
      </c>
      <c r="P17" s="38">
        <v>0.84430000000000005</v>
      </c>
      <c r="Q17" t="str">
        <f t="shared" si="6"/>
        <v>1|0|1</v>
      </c>
      <c r="R17">
        <f>COUNTIF($Q$2:Q17,Q17)</f>
        <v>1</v>
      </c>
      <c r="S17" t="str">
        <f t="shared" si="7"/>
        <v>1|0|1#1</v>
      </c>
    </row>
    <row r="18" spans="1:19">
      <c r="A18" s="38">
        <v>600</v>
      </c>
      <c r="B18" s="38" t="s">
        <v>22</v>
      </c>
      <c r="C18" s="38">
        <v>2.5</v>
      </c>
      <c r="D18" s="39"/>
      <c r="E18">
        <f t="shared" si="0"/>
        <v>0</v>
      </c>
      <c r="F18">
        <f t="shared" si="1"/>
        <v>0</v>
      </c>
      <c r="G18">
        <f t="shared" si="2"/>
        <v>-1</v>
      </c>
      <c r="H18" t="str">
        <f t="shared" si="3"/>
        <v>0|0|-1</v>
      </c>
      <c r="I18">
        <v>2</v>
      </c>
      <c r="J18" t="str">
        <f t="shared" si="4"/>
        <v>0|0|-1#2</v>
      </c>
      <c r="K18">
        <f t="shared" si="5"/>
        <v>0.69820000000000004</v>
      </c>
      <c r="M18" s="38">
        <v>-1</v>
      </c>
      <c r="N18" s="38">
        <v>-1</v>
      </c>
      <c r="O18" s="38">
        <v>0</v>
      </c>
      <c r="P18" s="38">
        <v>0.2908</v>
      </c>
      <c r="Q18" t="str">
        <f t="shared" si="6"/>
        <v>-1|-1|0</v>
      </c>
      <c r="R18">
        <f>COUNTIF($Q$2:Q18,Q18)</f>
        <v>1</v>
      </c>
      <c r="S18" t="str">
        <f t="shared" si="7"/>
        <v>-1|-1|0#1</v>
      </c>
    </row>
    <row r="19" spans="1:19">
      <c r="A19" s="38">
        <v>300</v>
      </c>
      <c r="B19" s="38" t="s">
        <v>23</v>
      </c>
      <c r="C19" s="38">
        <v>12.5</v>
      </c>
      <c r="D19" s="39">
        <f>SUMIFS($P$2:$P$28, $M$2:$M$28, -1, $N$2:$N$28, 1, $O$2:$O$28, 1)</f>
        <v>0.60550000000000004</v>
      </c>
      <c r="E19">
        <f t="shared" si="0"/>
        <v>-1</v>
      </c>
      <c r="F19">
        <f t="shared" si="1"/>
        <v>1</v>
      </c>
      <c r="G19">
        <f t="shared" si="2"/>
        <v>1</v>
      </c>
      <c r="H19" t="str">
        <f t="shared" si="3"/>
        <v>-1|1|1</v>
      </c>
      <c r="I19">
        <v>1</v>
      </c>
      <c r="J19" t="str">
        <f t="shared" si="4"/>
        <v>-1|1|1#1</v>
      </c>
      <c r="K19">
        <f t="shared" si="5"/>
        <v>0.60550000000000004</v>
      </c>
      <c r="M19" s="38">
        <v>1</v>
      </c>
      <c r="N19" s="38">
        <v>-1</v>
      </c>
      <c r="O19" s="38">
        <v>0</v>
      </c>
      <c r="P19" s="38">
        <v>0.63349999999999995</v>
      </c>
      <c r="Q19" t="str">
        <f t="shared" si="6"/>
        <v>1|-1|0</v>
      </c>
      <c r="R19">
        <f>COUNTIF($Q$2:Q19,Q19)</f>
        <v>1</v>
      </c>
      <c r="S19" t="str">
        <f t="shared" si="7"/>
        <v>1|-1|0#1</v>
      </c>
    </row>
    <row r="20" spans="1:19">
      <c r="A20" s="38">
        <v>300</v>
      </c>
      <c r="B20" s="38" t="s">
        <v>21</v>
      </c>
      <c r="C20" s="38">
        <v>7.5</v>
      </c>
      <c r="D20" s="39"/>
      <c r="E20">
        <f t="shared" si="0"/>
        <v>-1</v>
      </c>
      <c r="F20">
        <f t="shared" si="1"/>
        <v>-1</v>
      </c>
      <c r="G20">
        <f t="shared" si="2"/>
        <v>0</v>
      </c>
      <c r="H20" t="str">
        <f t="shared" si="3"/>
        <v>-1|-1|0</v>
      </c>
      <c r="I20">
        <v>2</v>
      </c>
      <c r="J20" t="str">
        <f t="shared" si="4"/>
        <v>-1|-1|0#2</v>
      </c>
      <c r="K20">
        <f t="shared" si="5"/>
        <v>0.61780000000000002</v>
      </c>
      <c r="M20" s="38">
        <v>-1</v>
      </c>
      <c r="N20" s="38">
        <v>1</v>
      </c>
      <c r="O20" s="38">
        <v>0</v>
      </c>
      <c r="P20" s="38">
        <v>0.60870000000000002</v>
      </c>
      <c r="Q20" t="str">
        <f t="shared" si="6"/>
        <v>-1|1|0</v>
      </c>
      <c r="R20">
        <f>COUNTIF($Q$2:Q20,Q20)</f>
        <v>1</v>
      </c>
      <c r="S20" t="str">
        <f t="shared" si="7"/>
        <v>-1|1|0#1</v>
      </c>
    </row>
    <row r="21" spans="1:19">
      <c r="A21" s="38">
        <v>900</v>
      </c>
      <c r="B21" s="38" t="s">
        <v>22</v>
      </c>
      <c r="C21" s="38">
        <v>2.5</v>
      </c>
      <c r="D21" s="39">
        <f>SUMIFS($P$2:$P$28, $M$2:$M$28, 1, $N$2:$N$28, 0, $O$2:$O$28, -1)</f>
        <v>0.77439999999999998</v>
      </c>
      <c r="E21">
        <f t="shared" si="0"/>
        <v>1</v>
      </c>
      <c r="F21">
        <f t="shared" si="1"/>
        <v>0</v>
      </c>
      <c r="G21">
        <f t="shared" si="2"/>
        <v>-1</v>
      </c>
      <c r="H21" t="str">
        <f t="shared" si="3"/>
        <v>1|0|-1</v>
      </c>
      <c r="I21">
        <v>1</v>
      </c>
      <c r="J21" t="str">
        <f t="shared" si="4"/>
        <v>1|0|-1#1</v>
      </c>
      <c r="K21">
        <f t="shared" si="5"/>
        <v>0.77439999999999998</v>
      </c>
      <c r="M21" s="38">
        <v>1</v>
      </c>
      <c r="N21" s="38">
        <v>1</v>
      </c>
      <c r="O21" s="38">
        <v>0</v>
      </c>
      <c r="P21" s="38">
        <v>0.41470000000000001</v>
      </c>
      <c r="Q21" t="str">
        <f t="shared" si="6"/>
        <v>1|1|0</v>
      </c>
      <c r="R21">
        <f>COUNTIF($Q$2:Q21,Q21)</f>
        <v>1</v>
      </c>
      <c r="S21" t="str">
        <f t="shared" si="7"/>
        <v>1|1|0#1</v>
      </c>
    </row>
    <row r="22" spans="1:19">
      <c r="A22" s="38">
        <v>900</v>
      </c>
      <c r="B22" s="38" t="s">
        <v>23</v>
      </c>
      <c r="C22" s="38">
        <v>12.5</v>
      </c>
      <c r="D22" s="39">
        <f>SUMIFS($P$2:$P$28, $M$2:$M$28, 1, $N$2:$N$28, 1, $O$2:$O$28, 1)</f>
        <v>0.51329999999999998</v>
      </c>
      <c r="E22">
        <f t="shared" si="0"/>
        <v>1</v>
      </c>
      <c r="F22">
        <f t="shared" si="1"/>
        <v>1</v>
      </c>
      <c r="G22">
        <f t="shared" si="2"/>
        <v>1</v>
      </c>
      <c r="H22" t="str">
        <f t="shared" si="3"/>
        <v>1|1|1</v>
      </c>
      <c r="I22">
        <v>1</v>
      </c>
      <c r="J22" t="str">
        <f t="shared" si="4"/>
        <v>1|1|1#1</v>
      </c>
      <c r="K22">
        <f t="shared" si="5"/>
        <v>0.51329999999999998</v>
      </c>
      <c r="M22" s="38">
        <v>-1</v>
      </c>
      <c r="N22" s="38">
        <v>0</v>
      </c>
      <c r="O22" s="38">
        <v>0</v>
      </c>
      <c r="P22" s="38">
        <v>0.49059999999999998</v>
      </c>
      <c r="Q22" t="str">
        <f t="shared" si="6"/>
        <v>-1|0|0</v>
      </c>
      <c r="R22">
        <f>COUNTIF($Q$2:Q22,Q22)</f>
        <v>1</v>
      </c>
      <c r="S22" t="str">
        <f t="shared" si="7"/>
        <v>-1|0|0#1</v>
      </c>
    </row>
    <row r="23" spans="1:19">
      <c r="A23" s="38">
        <v>300</v>
      </c>
      <c r="B23" s="38" t="s">
        <v>21</v>
      </c>
      <c r="C23" s="38">
        <v>12.5</v>
      </c>
      <c r="D23" s="39">
        <f>SUMIFS($P$2:$P$28, $M$2:$M$28, -1, $N$2:$N$28, -1, $O$2:$O$28, 1)</f>
        <v>0.41570000000000001</v>
      </c>
      <c r="E23">
        <f t="shared" si="0"/>
        <v>-1</v>
      </c>
      <c r="F23">
        <f t="shared" si="1"/>
        <v>-1</v>
      </c>
      <c r="G23">
        <f t="shared" si="2"/>
        <v>1</v>
      </c>
      <c r="H23" t="str">
        <f t="shared" si="3"/>
        <v>-1|-1|1</v>
      </c>
      <c r="I23">
        <v>1</v>
      </c>
      <c r="J23" t="str">
        <f t="shared" si="4"/>
        <v>-1|-1|1#1</v>
      </c>
      <c r="K23">
        <f t="shared" si="5"/>
        <v>0.41570000000000001</v>
      </c>
      <c r="M23" s="38">
        <v>1</v>
      </c>
      <c r="N23" s="38">
        <v>0</v>
      </c>
      <c r="O23" s="38">
        <v>0</v>
      </c>
      <c r="P23" s="39">
        <v>0.61599999999999999</v>
      </c>
      <c r="Q23" t="str">
        <f t="shared" si="6"/>
        <v>1|0|0</v>
      </c>
      <c r="R23">
        <f>COUNTIF($Q$2:Q23,Q23)</f>
        <v>1</v>
      </c>
      <c r="S23" t="str">
        <f t="shared" si="7"/>
        <v>1|0|0#1</v>
      </c>
    </row>
    <row r="24" spans="1:19">
      <c r="A24" s="38">
        <v>900</v>
      </c>
      <c r="B24" s="38" t="s">
        <v>21</v>
      </c>
      <c r="C24" s="38">
        <v>7.5</v>
      </c>
      <c r="D24" s="39">
        <f>SUMIFS($P$2:$P$28, $M$2:$M$28, 1, $N$2:$N$28, -1, $O$2:$O$28, 0)</f>
        <v>0.63349999999999995</v>
      </c>
      <c r="E24">
        <f t="shared" si="0"/>
        <v>1</v>
      </c>
      <c r="F24">
        <f t="shared" si="1"/>
        <v>-1</v>
      </c>
      <c r="G24">
        <f t="shared" si="2"/>
        <v>0</v>
      </c>
      <c r="H24" t="str">
        <f t="shared" si="3"/>
        <v>1|-1|0</v>
      </c>
      <c r="I24">
        <v>1</v>
      </c>
      <c r="J24" t="str">
        <f t="shared" si="4"/>
        <v>1|-1|0#1</v>
      </c>
      <c r="K24">
        <f t="shared" si="5"/>
        <v>0.63349999999999995</v>
      </c>
      <c r="M24" s="38">
        <v>0</v>
      </c>
      <c r="N24" s="38">
        <v>-1</v>
      </c>
      <c r="O24" s="38">
        <v>0</v>
      </c>
      <c r="P24" s="38">
        <v>0.60009999999999997</v>
      </c>
      <c r="Q24" t="str">
        <f t="shared" si="6"/>
        <v>0|-1|0</v>
      </c>
      <c r="R24">
        <f>COUNTIF($Q$2:Q24,Q24)</f>
        <v>1</v>
      </c>
      <c r="S24" t="str">
        <f t="shared" si="7"/>
        <v>0|-1|0#1</v>
      </c>
    </row>
    <row r="25" spans="1:19">
      <c r="A25" s="38">
        <v>900</v>
      </c>
      <c r="B25" s="38" t="s">
        <v>23</v>
      </c>
      <c r="C25" s="38">
        <v>2.5</v>
      </c>
      <c r="D25" s="39"/>
      <c r="E25">
        <f t="shared" si="0"/>
        <v>1</v>
      </c>
      <c r="F25">
        <f t="shared" si="1"/>
        <v>1</v>
      </c>
      <c r="G25">
        <f t="shared" si="2"/>
        <v>-1</v>
      </c>
      <c r="H25" t="str">
        <f t="shared" si="3"/>
        <v>1|1|-1</v>
      </c>
      <c r="I25">
        <v>2</v>
      </c>
      <c r="J25" t="str">
        <f t="shared" si="4"/>
        <v>1|1|-1#2</v>
      </c>
      <c r="K25">
        <f t="shared" si="5"/>
        <v>0.65849999999999997</v>
      </c>
      <c r="M25" s="38">
        <v>0</v>
      </c>
      <c r="N25" s="38">
        <v>1</v>
      </c>
      <c r="O25" s="38">
        <v>0</v>
      </c>
      <c r="P25" s="38">
        <v>0.77090000000000003</v>
      </c>
      <c r="Q25" t="str">
        <f t="shared" si="6"/>
        <v>0|1|0</v>
      </c>
      <c r="R25">
        <f>COUNTIF($Q$2:Q25,Q25)</f>
        <v>1</v>
      </c>
      <c r="S25" t="str">
        <f t="shared" si="7"/>
        <v>0|1|0#1</v>
      </c>
    </row>
    <row r="26" spans="1:19">
      <c r="A26" s="38">
        <v>600</v>
      </c>
      <c r="B26" s="38" t="s">
        <v>23</v>
      </c>
      <c r="C26" s="38">
        <v>12.5</v>
      </c>
      <c r="D26" s="39">
        <f>SUMIFS($P$2:$P$28, $M$2:$M$28, 1, $N$2:$N$28, 0, $O$2:$O$28, 0)</f>
        <v>0.61599999999999999</v>
      </c>
      <c r="E26">
        <f t="shared" si="0"/>
        <v>0</v>
      </c>
      <c r="F26">
        <f t="shared" si="1"/>
        <v>1</v>
      </c>
      <c r="G26">
        <f t="shared" si="2"/>
        <v>1</v>
      </c>
      <c r="H26" t="str">
        <f t="shared" si="3"/>
        <v>0|1|1</v>
      </c>
      <c r="I26">
        <v>1</v>
      </c>
      <c r="J26" t="str">
        <f t="shared" si="4"/>
        <v>0|1|1#1</v>
      </c>
      <c r="K26">
        <f t="shared" si="5"/>
        <v>0.68589999999999995</v>
      </c>
      <c r="M26" s="38">
        <v>0</v>
      </c>
      <c r="N26" s="38">
        <v>0</v>
      </c>
      <c r="O26" s="38">
        <v>-1</v>
      </c>
      <c r="P26" s="38">
        <v>0.71240000000000003</v>
      </c>
      <c r="Q26" t="str">
        <f t="shared" si="6"/>
        <v>0|0|-1</v>
      </c>
      <c r="R26">
        <f>COUNTIF($Q$2:Q26,Q26)</f>
        <v>1</v>
      </c>
      <c r="S26" t="str">
        <f t="shared" si="7"/>
        <v>0|0|-1#1</v>
      </c>
    </row>
    <row r="27" spans="1:19">
      <c r="A27" s="38">
        <v>900</v>
      </c>
      <c r="B27" s="38" t="s">
        <v>21</v>
      </c>
      <c r="C27" s="38">
        <v>7.5</v>
      </c>
      <c r="D27" s="39"/>
      <c r="E27">
        <f t="shared" si="0"/>
        <v>1</v>
      </c>
      <c r="F27">
        <f t="shared" si="1"/>
        <v>-1</v>
      </c>
      <c r="G27">
        <f t="shared" si="2"/>
        <v>0</v>
      </c>
      <c r="H27" t="str">
        <f t="shared" si="3"/>
        <v>1|-1|0</v>
      </c>
      <c r="I27">
        <v>2</v>
      </c>
      <c r="J27" t="str">
        <f t="shared" si="4"/>
        <v>1|-1|0#2</v>
      </c>
      <c r="K27">
        <f t="shared" si="5"/>
        <v>0.63349999999999995</v>
      </c>
      <c r="M27" s="38">
        <v>0</v>
      </c>
      <c r="N27" s="38">
        <v>0</v>
      </c>
      <c r="O27" s="38">
        <v>1</v>
      </c>
      <c r="P27" s="38">
        <v>0.66600000000000004</v>
      </c>
      <c r="Q27" t="str">
        <f t="shared" si="6"/>
        <v>0|0|1</v>
      </c>
      <c r="R27">
        <f>COUNTIF($Q$2:Q27,Q27)</f>
        <v>1</v>
      </c>
      <c r="S27" t="str">
        <f t="shared" si="7"/>
        <v>0|0|1#1</v>
      </c>
    </row>
    <row r="28" spans="1:19">
      <c r="A28" s="38">
        <v>900</v>
      </c>
      <c r="B28" s="38" t="s">
        <v>21</v>
      </c>
      <c r="C28" s="38">
        <v>2.5</v>
      </c>
      <c r="D28" s="39">
        <f>SUMIFS($P$2:$P$28, $M$2:$M$28, 0, $N$2:$N$28, -1, $O$2:$O$28, -1)</f>
        <v>0.51919999999999999</v>
      </c>
      <c r="E28">
        <f t="shared" si="0"/>
        <v>1</v>
      </c>
      <c r="F28">
        <f t="shared" si="1"/>
        <v>-1</v>
      </c>
      <c r="G28">
        <f t="shared" si="2"/>
        <v>-1</v>
      </c>
      <c r="H28" t="str">
        <f t="shared" si="3"/>
        <v>1|-1|-1</v>
      </c>
      <c r="I28">
        <v>1</v>
      </c>
      <c r="J28" t="str">
        <f t="shared" si="4"/>
        <v>1|-1|-1#1</v>
      </c>
      <c r="K28">
        <f t="shared" si="5"/>
        <v>0.35699999999999998</v>
      </c>
      <c r="M28" s="38">
        <v>0</v>
      </c>
      <c r="N28" s="38">
        <v>0</v>
      </c>
      <c r="O28" s="38">
        <v>0</v>
      </c>
      <c r="P28" s="38">
        <v>0.64759999999999995</v>
      </c>
      <c r="Q28" t="str">
        <f t="shared" si="6"/>
        <v>0|0|0</v>
      </c>
      <c r="R28">
        <f>COUNTIF($Q$2:Q28,Q28)</f>
        <v>1</v>
      </c>
      <c r="S28" t="str">
        <f t="shared" si="7"/>
        <v>0|0|0#1</v>
      </c>
    </row>
    <row r="29" spans="1:19">
      <c r="A29" s="38">
        <v>900</v>
      </c>
      <c r="B29" s="38" t="s">
        <v>22</v>
      </c>
      <c r="C29" s="38">
        <v>12.5</v>
      </c>
      <c r="D29" s="39">
        <f>SUMIFS($P$2:$P$28, $M$2:$M$28, 1, $N$2:$N$28, 0, $O$2:$O$28, 1)</f>
        <v>0.84430000000000005</v>
      </c>
      <c r="E29">
        <f t="shared" si="0"/>
        <v>1</v>
      </c>
      <c r="F29">
        <f t="shared" si="1"/>
        <v>0</v>
      </c>
      <c r="G29">
        <f t="shared" si="2"/>
        <v>1</v>
      </c>
      <c r="H29" t="str">
        <f t="shared" si="3"/>
        <v>1|0|1</v>
      </c>
      <c r="I29">
        <v>1</v>
      </c>
      <c r="J29" t="str">
        <f t="shared" si="4"/>
        <v>1|0|1#1</v>
      </c>
      <c r="K29">
        <f t="shared" si="5"/>
        <v>0.84430000000000005</v>
      </c>
      <c r="M29" s="38">
        <v>-1</v>
      </c>
      <c r="N29" s="38">
        <v>-1</v>
      </c>
      <c r="O29" s="38">
        <v>-1</v>
      </c>
      <c r="P29" s="38">
        <v>0.40849999999999997</v>
      </c>
      <c r="Q29" t="str">
        <f t="shared" si="6"/>
        <v>-1|-1|-1</v>
      </c>
      <c r="R29">
        <f>COUNTIF($Q$2:Q29,Q29)</f>
        <v>2</v>
      </c>
      <c r="S29" t="str">
        <f t="shared" si="7"/>
        <v>-1|-1|-1#2</v>
      </c>
    </row>
    <row r="30" spans="1:19">
      <c r="A30" s="38">
        <v>900</v>
      </c>
      <c r="B30" s="38" t="s">
        <v>21</v>
      </c>
      <c r="C30" s="38">
        <v>12.5</v>
      </c>
      <c r="D30" s="39">
        <f>SUMIFS($P$2:$P$28, $M$2:$M$28, 1, $N$2:$N$28, -1, $O$2:$O$28, 1)</f>
        <v>0.28870000000000001</v>
      </c>
      <c r="E30">
        <f t="shared" si="0"/>
        <v>1</v>
      </c>
      <c r="F30">
        <f t="shared" si="1"/>
        <v>-1</v>
      </c>
      <c r="G30">
        <f t="shared" si="2"/>
        <v>1</v>
      </c>
      <c r="H30" t="str">
        <f t="shared" si="3"/>
        <v>1|-1|1</v>
      </c>
      <c r="I30">
        <v>1</v>
      </c>
      <c r="J30" t="str">
        <f t="shared" si="4"/>
        <v>1|-1|1#1</v>
      </c>
      <c r="K30">
        <f t="shared" si="5"/>
        <v>0.28870000000000001</v>
      </c>
      <c r="M30" s="38">
        <v>1</v>
      </c>
      <c r="N30" s="38">
        <v>-1</v>
      </c>
      <c r="O30" s="38">
        <v>-1</v>
      </c>
      <c r="P30" s="38">
        <v>0.35699999999999998</v>
      </c>
      <c r="Q30" t="str">
        <f t="shared" si="6"/>
        <v>1|-1|-1</v>
      </c>
      <c r="R30">
        <f>COUNTIF($Q$2:Q30,Q30)</f>
        <v>2</v>
      </c>
      <c r="S30" t="str">
        <f t="shared" si="7"/>
        <v>1|-1|-1#2</v>
      </c>
    </row>
    <row r="31" spans="1:19">
      <c r="A31" s="38">
        <v>600</v>
      </c>
      <c r="B31" s="38" t="s">
        <v>21</v>
      </c>
      <c r="C31" s="38">
        <v>2.5</v>
      </c>
      <c r="D31" s="39">
        <f>SUMIFS($P$2:$P$28, $M$2:$M$28, 0, $N$2:$N$28, -1, $O$2:$O$28, -1)</f>
        <v>0.51919999999999999</v>
      </c>
      <c r="E31">
        <f t="shared" si="0"/>
        <v>0</v>
      </c>
      <c r="F31">
        <f t="shared" si="1"/>
        <v>-1</v>
      </c>
      <c r="G31">
        <f t="shared" si="2"/>
        <v>-1</v>
      </c>
      <c r="H31" t="str">
        <f t="shared" si="3"/>
        <v>0|-1|-1</v>
      </c>
      <c r="I31">
        <v>2</v>
      </c>
      <c r="J31" t="str">
        <f t="shared" si="4"/>
        <v>0|-1|-1#2</v>
      </c>
      <c r="K31">
        <f t="shared" si="5"/>
        <v>0.56030000000000002</v>
      </c>
      <c r="M31" s="38">
        <v>-1</v>
      </c>
      <c r="N31" s="38">
        <v>1</v>
      </c>
      <c r="O31" s="38">
        <v>-1</v>
      </c>
      <c r="P31" s="38">
        <v>0.35949999999999999</v>
      </c>
      <c r="Q31" t="str">
        <f t="shared" si="6"/>
        <v>-1|1|-1</v>
      </c>
      <c r="R31">
        <f>COUNTIF($Q$2:Q31,Q31)</f>
        <v>2</v>
      </c>
      <c r="S31" t="str">
        <f t="shared" si="7"/>
        <v>-1|1|-1#2</v>
      </c>
    </row>
    <row r="32" spans="1:19">
      <c r="A32" s="38">
        <v>300</v>
      </c>
      <c r="B32" s="38" t="s">
        <v>22</v>
      </c>
      <c r="C32" s="38">
        <v>12.5</v>
      </c>
      <c r="D32" s="39">
        <f>SUMIFS($P$2:$P$28, $M$2:$M$28, -1, $N$2:$N$28, 0, $O$2:$O$28, 1)</f>
        <v>0.43309999999999998</v>
      </c>
      <c r="E32">
        <f t="shared" si="0"/>
        <v>-1</v>
      </c>
      <c r="F32">
        <f t="shared" si="1"/>
        <v>0</v>
      </c>
      <c r="G32">
        <f t="shared" si="2"/>
        <v>1</v>
      </c>
      <c r="H32" t="str">
        <f t="shared" si="3"/>
        <v>-1|0|1</v>
      </c>
      <c r="I32">
        <v>1</v>
      </c>
      <c r="J32" t="str">
        <f t="shared" si="4"/>
        <v>-1|0|1#1</v>
      </c>
      <c r="K32">
        <f t="shared" si="5"/>
        <v>0.43309999999999998</v>
      </c>
      <c r="M32" s="38">
        <v>1</v>
      </c>
      <c r="N32" s="38">
        <v>1</v>
      </c>
      <c r="O32" s="38">
        <v>-1</v>
      </c>
      <c r="P32" s="38">
        <v>0.65849999999999997</v>
      </c>
      <c r="Q32" t="str">
        <f t="shared" si="6"/>
        <v>1|1|-1</v>
      </c>
      <c r="R32">
        <f>COUNTIF($Q$2:Q32,Q32)</f>
        <v>2</v>
      </c>
      <c r="S32" t="str">
        <f t="shared" si="7"/>
        <v>1|1|-1#2</v>
      </c>
    </row>
    <row r="33" spans="1:19">
      <c r="A33" s="38">
        <v>900</v>
      </c>
      <c r="B33" s="38" t="s">
        <v>23</v>
      </c>
      <c r="C33" s="38">
        <v>7.5</v>
      </c>
      <c r="D33" s="39"/>
      <c r="E33">
        <f t="shared" si="0"/>
        <v>1</v>
      </c>
      <c r="F33">
        <f t="shared" si="1"/>
        <v>1</v>
      </c>
      <c r="G33">
        <f t="shared" si="2"/>
        <v>0</v>
      </c>
      <c r="H33" t="str">
        <f t="shared" si="3"/>
        <v>1|1|0</v>
      </c>
      <c r="I33">
        <v>2</v>
      </c>
      <c r="J33" t="str">
        <f t="shared" si="4"/>
        <v>1|1|0#2</v>
      </c>
      <c r="K33">
        <f t="shared" si="5"/>
        <v>0.41470000000000001</v>
      </c>
      <c r="M33" s="38">
        <v>-1</v>
      </c>
      <c r="N33" s="38">
        <v>-1</v>
      </c>
      <c r="O33" s="38">
        <v>1</v>
      </c>
      <c r="P33" s="38">
        <v>0.41570000000000001</v>
      </c>
      <c r="Q33" t="str">
        <f t="shared" si="6"/>
        <v>-1|-1|1</v>
      </c>
      <c r="R33">
        <f>COUNTIF($Q$2:Q33,Q33)</f>
        <v>2</v>
      </c>
      <c r="S33" t="str">
        <f t="shared" si="7"/>
        <v>-1|-1|1#2</v>
      </c>
    </row>
    <row r="34" spans="1:19">
      <c r="A34" s="38">
        <v>600</v>
      </c>
      <c r="B34" s="38" t="s">
        <v>21</v>
      </c>
      <c r="C34" s="38">
        <v>7.5</v>
      </c>
      <c r="D34" s="39"/>
      <c r="E34">
        <f t="shared" si="0"/>
        <v>0</v>
      </c>
      <c r="F34">
        <f t="shared" si="1"/>
        <v>-1</v>
      </c>
      <c r="G34">
        <f t="shared" si="2"/>
        <v>0</v>
      </c>
      <c r="H34" t="str">
        <f t="shared" si="3"/>
        <v>0|-1|0</v>
      </c>
      <c r="I34">
        <v>2</v>
      </c>
      <c r="J34" t="str">
        <f t="shared" si="4"/>
        <v>0|-1|0#2</v>
      </c>
      <c r="K34">
        <f t="shared" si="5"/>
        <v>0.62729999999999997</v>
      </c>
      <c r="M34" s="38">
        <v>1</v>
      </c>
      <c r="N34" s="38">
        <v>-1</v>
      </c>
      <c r="O34" s="38">
        <v>1</v>
      </c>
      <c r="P34" s="38">
        <v>0.28870000000000001</v>
      </c>
      <c r="Q34" t="str">
        <f t="shared" si="6"/>
        <v>1|-1|1</v>
      </c>
      <c r="R34">
        <f>COUNTIF($Q$2:Q34,Q34)</f>
        <v>2</v>
      </c>
      <c r="S34" t="str">
        <f t="shared" si="7"/>
        <v>1|-1|1#2</v>
      </c>
    </row>
    <row r="35" spans="1:19">
      <c r="A35" s="38">
        <v>300</v>
      </c>
      <c r="B35" s="38" t="s">
        <v>22</v>
      </c>
      <c r="C35" s="38">
        <v>7.5</v>
      </c>
      <c r="D35" s="39">
        <f>SUMIFS($P$2:$P$28, $M$2:$M$28, -1, $N$2:$N$28, 0, $O$2:$O$28, 0)</f>
        <v>0.49059999999999998</v>
      </c>
      <c r="E35">
        <f t="shared" si="0"/>
        <v>-1</v>
      </c>
      <c r="F35">
        <f t="shared" si="1"/>
        <v>0</v>
      </c>
      <c r="G35">
        <f t="shared" si="2"/>
        <v>0</v>
      </c>
      <c r="H35" t="str">
        <f t="shared" si="3"/>
        <v>-1|0|0</v>
      </c>
      <c r="I35">
        <v>2</v>
      </c>
      <c r="J35" t="str">
        <f t="shared" si="4"/>
        <v>-1|0|0#2</v>
      </c>
      <c r="K35">
        <f t="shared" si="5"/>
        <v>0.6079</v>
      </c>
      <c r="M35" s="38">
        <v>-1</v>
      </c>
      <c r="N35" s="38">
        <v>1</v>
      </c>
      <c r="O35" s="38">
        <v>1</v>
      </c>
      <c r="P35" s="38">
        <v>0.60550000000000004</v>
      </c>
      <c r="Q35" t="str">
        <f t="shared" si="6"/>
        <v>-1|1|1</v>
      </c>
      <c r="R35">
        <f>COUNTIF($Q$2:Q35,Q35)</f>
        <v>2</v>
      </c>
      <c r="S35" t="str">
        <f t="shared" si="7"/>
        <v>-1|1|1#2</v>
      </c>
    </row>
    <row r="36" spans="1:19">
      <c r="A36" s="38">
        <v>900</v>
      </c>
      <c r="B36" s="38" t="s">
        <v>22</v>
      </c>
      <c r="C36" s="38">
        <v>2.5</v>
      </c>
      <c r="D36" s="39"/>
      <c r="E36">
        <f t="shared" si="0"/>
        <v>1</v>
      </c>
      <c r="F36">
        <f t="shared" si="1"/>
        <v>0</v>
      </c>
      <c r="G36">
        <f t="shared" si="2"/>
        <v>-1</v>
      </c>
      <c r="H36" t="str">
        <f t="shared" si="3"/>
        <v>1|0|-1</v>
      </c>
      <c r="I36">
        <v>2</v>
      </c>
      <c r="J36" t="str">
        <f t="shared" si="4"/>
        <v>1|0|-1#2</v>
      </c>
      <c r="K36">
        <f t="shared" si="5"/>
        <v>0.77439999999999998</v>
      </c>
      <c r="M36" s="38">
        <v>1</v>
      </c>
      <c r="N36" s="38">
        <v>1</v>
      </c>
      <c r="O36" s="38">
        <v>1</v>
      </c>
      <c r="P36" s="38">
        <v>0.51329999999999998</v>
      </c>
      <c r="Q36" t="str">
        <f t="shared" si="6"/>
        <v>1|1|1</v>
      </c>
      <c r="R36">
        <f>COUNTIF($Q$2:Q36,Q36)</f>
        <v>2</v>
      </c>
      <c r="S36" t="str">
        <f t="shared" si="7"/>
        <v>1|1|1#2</v>
      </c>
    </row>
    <row r="37" spans="1:19">
      <c r="A37" s="38">
        <v>300</v>
      </c>
      <c r="B37" s="38" t="s">
        <v>23</v>
      </c>
      <c r="C37" s="38">
        <v>2.5</v>
      </c>
      <c r="D37" s="39">
        <f>SUMIFS($P$2:$P$28, $M$2:$M$28, -1, $N$2:$N$28, 1, $O$2:$O$28, -1)</f>
        <v>0.42930000000000001</v>
      </c>
      <c r="E37">
        <f t="shared" si="0"/>
        <v>-1</v>
      </c>
      <c r="F37">
        <f t="shared" si="1"/>
        <v>1</v>
      </c>
      <c r="G37">
        <f t="shared" si="2"/>
        <v>-1</v>
      </c>
      <c r="H37" t="str">
        <f t="shared" si="3"/>
        <v>-1|1|-1</v>
      </c>
      <c r="I37">
        <v>1</v>
      </c>
      <c r="J37" t="str">
        <f t="shared" si="4"/>
        <v>-1|1|-1#1</v>
      </c>
      <c r="K37">
        <f t="shared" si="5"/>
        <v>0.42930000000000001</v>
      </c>
      <c r="M37" s="38">
        <v>0</v>
      </c>
      <c r="N37" s="38">
        <v>-1</v>
      </c>
      <c r="O37" s="38">
        <v>-1</v>
      </c>
      <c r="P37" s="38">
        <v>0.56030000000000002</v>
      </c>
      <c r="Q37" t="str">
        <f t="shared" si="6"/>
        <v>0|-1|-1</v>
      </c>
      <c r="R37">
        <f>COUNTIF($Q$2:Q37,Q37)</f>
        <v>2</v>
      </c>
      <c r="S37" t="str">
        <f t="shared" si="7"/>
        <v>0|-1|-1#2</v>
      </c>
    </row>
    <row r="38" spans="1:19">
      <c r="A38" s="38">
        <v>300</v>
      </c>
      <c r="B38" s="38" t="s">
        <v>22</v>
      </c>
      <c r="C38" s="38">
        <v>12.5</v>
      </c>
      <c r="D38" s="39"/>
      <c r="E38">
        <f t="shared" si="0"/>
        <v>-1</v>
      </c>
      <c r="F38">
        <f t="shared" si="1"/>
        <v>0</v>
      </c>
      <c r="G38">
        <f t="shared" si="2"/>
        <v>1</v>
      </c>
      <c r="H38" t="str">
        <f t="shared" si="3"/>
        <v>-1|0|1</v>
      </c>
      <c r="I38">
        <v>2</v>
      </c>
      <c r="J38" t="str">
        <f t="shared" si="4"/>
        <v>-1|0|1#2</v>
      </c>
      <c r="K38">
        <f t="shared" si="5"/>
        <v>0.43309999999999998</v>
      </c>
      <c r="M38" s="38">
        <v>0</v>
      </c>
      <c r="N38" s="38">
        <v>1</v>
      </c>
      <c r="O38" s="38">
        <v>-1</v>
      </c>
      <c r="P38" s="38">
        <v>0.64700000000000002</v>
      </c>
      <c r="Q38" t="str">
        <f t="shared" si="6"/>
        <v>0|1|-1</v>
      </c>
      <c r="R38">
        <f>COUNTIF($Q$2:Q38,Q38)</f>
        <v>2</v>
      </c>
      <c r="S38" t="str">
        <f t="shared" si="7"/>
        <v>0|1|-1#2</v>
      </c>
    </row>
    <row r="39" spans="1:19">
      <c r="A39" s="38">
        <v>600</v>
      </c>
      <c r="B39" s="38" t="s">
        <v>23</v>
      </c>
      <c r="C39" s="38">
        <v>2.5</v>
      </c>
      <c r="D39" s="39">
        <f>SUMIFS($P$2:$P$28, $M$2:$M$28, 0, $N$2:$N$28, 1, $O$2:$O$28, -1)</f>
        <v>0.7077</v>
      </c>
      <c r="E39">
        <f t="shared" si="0"/>
        <v>0</v>
      </c>
      <c r="F39">
        <f t="shared" si="1"/>
        <v>1</v>
      </c>
      <c r="G39">
        <f t="shared" si="2"/>
        <v>-1</v>
      </c>
      <c r="H39" t="str">
        <f t="shared" si="3"/>
        <v>0|1|-1</v>
      </c>
      <c r="I39">
        <v>1</v>
      </c>
      <c r="J39" t="str">
        <f t="shared" si="4"/>
        <v>0|1|-1#1</v>
      </c>
      <c r="K39">
        <f t="shared" si="5"/>
        <v>0.7077</v>
      </c>
      <c r="M39" s="38">
        <v>0</v>
      </c>
      <c r="N39" s="38">
        <v>-1</v>
      </c>
      <c r="O39" s="38">
        <v>1</v>
      </c>
      <c r="P39" s="38">
        <v>0.52869999999999995</v>
      </c>
      <c r="Q39" t="str">
        <f t="shared" si="6"/>
        <v>0|-1|1</v>
      </c>
      <c r="R39">
        <f>COUNTIF($Q$2:Q39,Q39)</f>
        <v>2</v>
      </c>
      <c r="S39" t="str">
        <f t="shared" si="7"/>
        <v>0|-1|1#2</v>
      </c>
    </row>
    <row r="40" spans="1:19">
      <c r="A40" s="38">
        <v>300</v>
      </c>
      <c r="B40" s="38" t="s">
        <v>23</v>
      </c>
      <c r="C40" s="38">
        <v>12.5</v>
      </c>
      <c r="D40" s="39"/>
      <c r="E40">
        <f t="shared" si="0"/>
        <v>-1</v>
      </c>
      <c r="F40">
        <f t="shared" si="1"/>
        <v>1</v>
      </c>
      <c r="G40">
        <f t="shared" si="2"/>
        <v>1</v>
      </c>
      <c r="H40" t="str">
        <f t="shared" si="3"/>
        <v>-1|1|1</v>
      </c>
      <c r="I40">
        <v>2</v>
      </c>
      <c r="J40" t="str">
        <f t="shared" si="4"/>
        <v>-1|1|1#2</v>
      </c>
      <c r="K40">
        <f t="shared" si="5"/>
        <v>0.60550000000000004</v>
      </c>
      <c r="M40" s="38">
        <v>0</v>
      </c>
      <c r="N40" s="38">
        <v>1</v>
      </c>
      <c r="O40" s="38">
        <v>1</v>
      </c>
      <c r="P40" s="38">
        <v>0.68589999999999995</v>
      </c>
      <c r="Q40" t="str">
        <f t="shared" si="6"/>
        <v>0|1|1</v>
      </c>
      <c r="R40">
        <f>COUNTIF($Q$2:Q40,Q40)</f>
        <v>2</v>
      </c>
      <c r="S40" t="str">
        <f t="shared" si="7"/>
        <v>0|1|1#2</v>
      </c>
    </row>
    <row r="41" spans="1:19">
      <c r="A41" s="38">
        <v>600</v>
      </c>
      <c r="B41" s="38" t="s">
        <v>21</v>
      </c>
      <c r="C41" s="38">
        <v>12.5</v>
      </c>
      <c r="D41" s="39">
        <f>SUMIFS($P$2:$P$28, $M$2:$M$28, -1, $N$2:$N$28, 1, $O$2:$O$28, 1)</f>
        <v>0.60550000000000004</v>
      </c>
      <c r="E41">
        <f t="shared" si="0"/>
        <v>0</v>
      </c>
      <c r="F41">
        <f t="shared" si="1"/>
        <v>-1</v>
      </c>
      <c r="G41">
        <f t="shared" si="2"/>
        <v>1</v>
      </c>
      <c r="H41" t="str">
        <f t="shared" si="3"/>
        <v>0|-1|1</v>
      </c>
      <c r="I41">
        <v>2</v>
      </c>
      <c r="J41" t="str">
        <f t="shared" si="4"/>
        <v>0|-1|1#2</v>
      </c>
      <c r="K41">
        <f t="shared" si="5"/>
        <v>0.52869999999999995</v>
      </c>
      <c r="M41" s="38">
        <v>-1</v>
      </c>
      <c r="N41" s="38">
        <v>0</v>
      </c>
      <c r="O41" s="38">
        <v>-1</v>
      </c>
      <c r="P41" s="38">
        <v>0.48680000000000001</v>
      </c>
      <c r="Q41" t="str">
        <f t="shared" si="6"/>
        <v>-1|0|-1</v>
      </c>
      <c r="R41">
        <f>COUNTIF($Q$2:Q41,Q41)</f>
        <v>2</v>
      </c>
      <c r="S41" t="str">
        <f t="shared" si="7"/>
        <v>-1|0|-1#2</v>
      </c>
    </row>
    <row r="42" spans="1:19">
      <c r="A42" s="38">
        <v>300</v>
      </c>
      <c r="B42" s="38" t="s">
        <v>22</v>
      </c>
      <c r="C42" s="38">
        <v>7.5</v>
      </c>
      <c r="D42" s="39">
        <f>SUMIFS($P$2:$P$28, $M$2:$M$28, -1, $N$2:$N$28, 1, $O$2:$O$28, 1)</f>
        <v>0.60550000000000004</v>
      </c>
      <c r="E42">
        <f t="shared" si="0"/>
        <v>-1</v>
      </c>
      <c r="F42">
        <f t="shared" si="1"/>
        <v>0</v>
      </c>
      <c r="G42">
        <f t="shared" si="2"/>
        <v>0</v>
      </c>
      <c r="H42" t="str">
        <f t="shared" si="3"/>
        <v>-1|0|0</v>
      </c>
      <c r="I42">
        <v>2</v>
      </c>
      <c r="J42" t="str">
        <f t="shared" si="4"/>
        <v>-1|0|0#2</v>
      </c>
      <c r="K42">
        <f t="shared" si="5"/>
        <v>0.6079</v>
      </c>
      <c r="M42" s="38">
        <v>1</v>
      </c>
      <c r="N42" s="38">
        <v>0</v>
      </c>
      <c r="O42" s="38">
        <v>-1</v>
      </c>
      <c r="P42" s="38">
        <v>0.77439999999999998</v>
      </c>
      <c r="Q42" t="str">
        <f t="shared" si="6"/>
        <v>1|0|-1</v>
      </c>
      <c r="R42">
        <f>COUNTIF($Q$2:Q42,Q42)</f>
        <v>2</v>
      </c>
      <c r="S42" t="str">
        <f t="shared" si="7"/>
        <v>1|0|-1#2</v>
      </c>
    </row>
    <row r="43" spans="1:19">
      <c r="A43" s="38">
        <v>600</v>
      </c>
      <c r="B43" s="38" t="s">
        <v>23</v>
      </c>
      <c r="C43" s="38">
        <v>7.5</v>
      </c>
      <c r="D43" s="39">
        <f>SUMIFS($P$2:$P$28, $M$2:$M$28, -1, $N$2:$N$28, 1, $O$2:$O$28, 1)</f>
        <v>0.60550000000000004</v>
      </c>
      <c r="E43">
        <f t="shared" si="0"/>
        <v>0</v>
      </c>
      <c r="F43">
        <f t="shared" si="1"/>
        <v>1</v>
      </c>
      <c r="G43">
        <f t="shared" si="2"/>
        <v>0</v>
      </c>
      <c r="H43" t="str">
        <f t="shared" si="3"/>
        <v>0|1|0</v>
      </c>
      <c r="I43">
        <v>2</v>
      </c>
      <c r="J43" t="str">
        <f t="shared" si="4"/>
        <v>0|1|0#2</v>
      </c>
      <c r="K43">
        <f t="shared" si="5"/>
        <v>0.82640000000000002</v>
      </c>
      <c r="M43" s="38">
        <v>-1</v>
      </c>
      <c r="N43" s="38">
        <v>0</v>
      </c>
      <c r="O43" s="38">
        <v>1</v>
      </c>
      <c r="P43" s="38">
        <v>0.43309999999999998</v>
      </c>
      <c r="Q43" t="str">
        <f t="shared" si="6"/>
        <v>-1|0|1</v>
      </c>
      <c r="R43">
        <f>COUNTIF($Q$2:Q43,Q43)</f>
        <v>2</v>
      </c>
      <c r="S43" t="str">
        <f t="shared" si="7"/>
        <v>-1|0|1#2</v>
      </c>
    </row>
    <row r="44" spans="1:19">
      <c r="A44" s="38">
        <v>600</v>
      </c>
      <c r="B44" s="38" t="s">
        <v>22</v>
      </c>
      <c r="C44" s="38">
        <v>7.5</v>
      </c>
      <c r="D44" s="39">
        <f>SUMIFS($P$2:$P$28, $M$2:$M$28, -1, $N$2:$N$28, 1, $O$2:$O$28, 1)</f>
        <v>0.60550000000000004</v>
      </c>
      <c r="E44">
        <f t="shared" si="0"/>
        <v>0</v>
      </c>
      <c r="F44">
        <f t="shared" si="1"/>
        <v>0</v>
      </c>
      <c r="G44">
        <f t="shared" si="2"/>
        <v>0</v>
      </c>
      <c r="H44" t="str">
        <f t="shared" si="3"/>
        <v>0|0|0</v>
      </c>
      <c r="I44">
        <v>2</v>
      </c>
      <c r="J44" t="str">
        <f t="shared" si="4"/>
        <v>0|0|0#2</v>
      </c>
      <c r="K44">
        <f t="shared" si="5"/>
        <v>0.51200000000000001</v>
      </c>
      <c r="M44" s="38">
        <v>1</v>
      </c>
      <c r="N44" s="38">
        <v>0</v>
      </c>
      <c r="O44" s="38">
        <v>1</v>
      </c>
      <c r="P44" s="38">
        <v>0.84430000000000005</v>
      </c>
      <c r="Q44" t="str">
        <f t="shared" si="6"/>
        <v>1|0|1</v>
      </c>
      <c r="R44">
        <f>COUNTIF($Q$2:Q44,Q44)</f>
        <v>2</v>
      </c>
      <c r="S44" t="str">
        <f t="shared" si="7"/>
        <v>1|0|1#2</v>
      </c>
    </row>
    <row r="45" spans="1:19">
      <c r="A45" s="38">
        <v>300</v>
      </c>
      <c r="B45" s="38" t="s">
        <v>21</v>
      </c>
      <c r="C45" s="38">
        <v>12.5</v>
      </c>
      <c r="D45" s="38"/>
      <c r="E45">
        <f t="shared" si="0"/>
        <v>-1</v>
      </c>
      <c r="F45">
        <f t="shared" si="1"/>
        <v>-1</v>
      </c>
      <c r="G45">
        <f t="shared" si="2"/>
        <v>1</v>
      </c>
      <c r="H45" t="str">
        <f t="shared" si="3"/>
        <v>-1|-1|1</v>
      </c>
      <c r="I45">
        <v>2</v>
      </c>
      <c r="J45" t="str">
        <f t="shared" si="4"/>
        <v>-1|-1|1#2</v>
      </c>
      <c r="K45">
        <f t="shared" si="5"/>
        <v>0.41570000000000001</v>
      </c>
      <c r="M45" s="38">
        <v>-1</v>
      </c>
      <c r="N45" s="38">
        <v>-1</v>
      </c>
      <c r="O45" s="38">
        <v>0</v>
      </c>
      <c r="P45" s="38">
        <v>0.61780000000000002</v>
      </c>
      <c r="Q45" t="str">
        <f t="shared" si="6"/>
        <v>-1|-1|0</v>
      </c>
      <c r="R45">
        <f>COUNTIF($Q$2:Q45,Q45)</f>
        <v>2</v>
      </c>
      <c r="S45" t="str">
        <f t="shared" si="7"/>
        <v>-1|-1|0#2</v>
      </c>
    </row>
    <row r="46" spans="1:19">
      <c r="A46" s="38">
        <v>900</v>
      </c>
      <c r="B46" s="38" t="s">
        <v>23</v>
      </c>
      <c r="C46" s="38">
        <v>12.5</v>
      </c>
      <c r="D46" s="38"/>
      <c r="E46">
        <f t="shared" si="0"/>
        <v>1</v>
      </c>
      <c r="F46">
        <f t="shared" si="1"/>
        <v>1</v>
      </c>
      <c r="G46">
        <f t="shared" si="2"/>
        <v>1</v>
      </c>
      <c r="H46" t="str">
        <f t="shared" si="3"/>
        <v>1|1|1</v>
      </c>
      <c r="I46">
        <v>2</v>
      </c>
      <c r="J46" t="str">
        <f t="shared" si="4"/>
        <v>1|1|1#2</v>
      </c>
      <c r="K46">
        <f t="shared" si="5"/>
        <v>0.51329999999999998</v>
      </c>
      <c r="M46" s="38">
        <v>1</v>
      </c>
      <c r="N46" s="38">
        <v>-1</v>
      </c>
      <c r="O46" s="38">
        <v>0</v>
      </c>
      <c r="P46" s="38">
        <v>0.63349999999999995</v>
      </c>
      <c r="Q46" t="str">
        <f t="shared" si="6"/>
        <v>1|-1|0</v>
      </c>
      <c r="R46">
        <f>COUNTIF($Q$2:Q46,Q46)</f>
        <v>2</v>
      </c>
      <c r="S46" t="str">
        <f t="shared" si="7"/>
        <v>1|-1|0#2</v>
      </c>
    </row>
    <row r="47" spans="1:19">
      <c r="A47" s="38">
        <v>300</v>
      </c>
      <c r="B47" s="38" t="s">
        <v>23</v>
      </c>
      <c r="C47" s="38">
        <v>7.5</v>
      </c>
      <c r="D47" s="38"/>
      <c r="E47">
        <f t="shared" si="0"/>
        <v>-1</v>
      </c>
      <c r="F47">
        <f t="shared" si="1"/>
        <v>1</v>
      </c>
      <c r="G47">
        <f t="shared" si="2"/>
        <v>0</v>
      </c>
      <c r="H47" t="str">
        <f t="shared" si="3"/>
        <v>-1|1|0</v>
      </c>
      <c r="I47">
        <v>2</v>
      </c>
      <c r="J47" t="str">
        <f t="shared" si="4"/>
        <v>-1|1|0#2</v>
      </c>
      <c r="K47">
        <f t="shared" si="5"/>
        <v>0.64400000000000002</v>
      </c>
      <c r="M47" s="38">
        <v>-1</v>
      </c>
      <c r="N47" s="38">
        <v>1</v>
      </c>
      <c r="O47" s="38">
        <v>0</v>
      </c>
      <c r="P47" s="38">
        <v>0.64400000000000002</v>
      </c>
      <c r="Q47" t="str">
        <f t="shared" si="6"/>
        <v>-1|1|0</v>
      </c>
      <c r="R47">
        <f>COUNTIF($Q$2:Q47,Q47)</f>
        <v>2</v>
      </c>
      <c r="S47" t="str">
        <f t="shared" si="7"/>
        <v>-1|1|0#2</v>
      </c>
    </row>
    <row r="48" spans="1:19">
      <c r="A48" s="38">
        <v>600</v>
      </c>
      <c r="B48" s="38" t="s">
        <v>23</v>
      </c>
      <c r="C48" s="38">
        <v>2.5</v>
      </c>
      <c r="D48" s="38"/>
      <c r="E48">
        <f t="shared" si="0"/>
        <v>0</v>
      </c>
      <c r="F48">
        <f t="shared" si="1"/>
        <v>1</v>
      </c>
      <c r="G48">
        <f t="shared" si="2"/>
        <v>-1</v>
      </c>
      <c r="H48" t="str">
        <f t="shared" si="3"/>
        <v>0|1|-1</v>
      </c>
      <c r="I48">
        <v>2</v>
      </c>
      <c r="J48" t="str">
        <f t="shared" si="4"/>
        <v>0|1|-1#2</v>
      </c>
      <c r="K48">
        <f t="shared" si="5"/>
        <v>0.64700000000000002</v>
      </c>
      <c r="M48" s="38">
        <v>1</v>
      </c>
      <c r="N48" s="38">
        <v>1</v>
      </c>
      <c r="O48" s="38">
        <v>0</v>
      </c>
      <c r="P48" s="38">
        <v>0.41470000000000001</v>
      </c>
      <c r="Q48" t="str">
        <f t="shared" si="6"/>
        <v>1|1|0</v>
      </c>
      <c r="R48">
        <f>COUNTIF($Q$2:Q48,Q48)</f>
        <v>2</v>
      </c>
      <c r="S48" t="str">
        <f t="shared" si="7"/>
        <v>1|1|0#2</v>
      </c>
    </row>
    <row r="49" spans="1:19">
      <c r="A49" s="38">
        <v>900</v>
      </c>
      <c r="B49" s="38" t="s">
        <v>21</v>
      </c>
      <c r="C49" s="38">
        <v>12.5</v>
      </c>
      <c r="D49" s="38"/>
      <c r="E49">
        <f t="shared" si="0"/>
        <v>1</v>
      </c>
      <c r="F49">
        <f t="shared" si="1"/>
        <v>-1</v>
      </c>
      <c r="G49">
        <f t="shared" si="2"/>
        <v>1</v>
      </c>
      <c r="H49" t="str">
        <f t="shared" si="3"/>
        <v>1|-1|1</v>
      </c>
      <c r="I49">
        <v>2</v>
      </c>
      <c r="J49" t="str">
        <f t="shared" si="4"/>
        <v>1|-1|1#2</v>
      </c>
      <c r="K49">
        <f t="shared" si="5"/>
        <v>0.28870000000000001</v>
      </c>
      <c r="M49" s="38">
        <v>-1</v>
      </c>
      <c r="N49" s="38">
        <v>0</v>
      </c>
      <c r="O49" s="38">
        <v>0</v>
      </c>
      <c r="P49" s="38">
        <v>0.6079</v>
      </c>
      <c r="Q49" t="str">
        <f t="shared" si="6"/>
        <v>-1|0|0</v>
      </c>
      <c r="R49">
        <f>COUNTIF($Q$2:Q49,Q49)</f>
        <v>2</v>
      </c>
      <c r="S49" t="str">
        <f t="shared" si="7"/>
        <v>-1|0|0#2</v>
      </c>
    </row>
    <row r="50" spans="1:19">
      <c r="A50" s="38">
        <v>600</v>
      </c>
      <c r="B50" s="38" t="s">
        <v>22</v>
      </c>
      <c r="C50" s="38">
        <v>12.5</v>
      </c>
      <c r="D50" s="38"/>
      <c r="E50">
        <f t="shared" si="0"/>
        <v>0</v>
      </c>
      <c r="F50">
        <f t="shared" si="1"/>
        <v>0</v>
      </c>
      <c r="G50">
        <f t="shared" si="2"/>
        <v>1</v>
      </c>
      <c r="H50" t="str">
        <f t="shared" si="3"/>
        <v>0|0|1</v>
      </c>
      <c r="I50">
        <v>2</v>
      </c>
      <c r="J50" t="str">
        <f t="shared" si="4"/>
        <v>0|0|1#2</v>
      </c>
      <c r="K50">
        <f t="shared" si="5"/>
        <v>0.66600000000000004</v>
      </c>
      <c r="M50" s="38">
        <v>1</v>
      </c>
      <c r="N50" s="38">
        <v>0</v>
      </c>
      <c r="O50" s="38">
        <v>0</v>
      </c>
      <c r="P50" s="38">
        <v>0.61599999999999999</v>
      </c>
      <c r="Q50" t="str">
        <f t="shared" si="6"/>
        <v>1|0|0</v>
      </c>
      <c r="R50">
        <f>COUNTIF($Q$2:Q50,Q50)</f>
        <v>2</v>
      </c>
      <c r="S50" t="str">
        <f t="shared" si="7"/>
        <v>1|0|0#2</v>
      </c>
    </row>
    <row r="51" spans="1:19">
      <c r="A51" s="38">
        <v>900</v>
      </c>
      <c r="B51" s="38" t="s">
        <v>21</v>
      </c>
      <c r="C51" s="38">
        <v>2.5</v>
      </c>
      <c r="D51" s="38"/>
      <c r="E51">
        <f t="shared" si="0"/>
        <v>1</v>
      </c>
      <c r="F51">
        <f t="shared" si="1"/>
        <v>-1</v>
      </c>
      <c r="G51">
        <f t="shared" si="2"/>
        <v>-1</v>
      </c>
      <c r="H51" t="str">
        <f t="shared" si="3"/>
        <v>1|-1|-1</v>
      </c>
      <c r="I51">
        <v>2</v>
      </c>
      <c r="J51" t="str">
        <f t="shared" si="4"/>
        <v>1|-1|-1#2</v>
      </c>
      <c r="K51">
        <f t="shared" si="5"/>
        <v>0.35699999999999998</v>
      </c>
      <c r="M51" s="38">
        <v>0</v>
      </c>
      <c r="N51" s="38">
        <v>-1</v>
      </c>
      <c r="O51" s="38">
        <v>0</v>
      </c>
      <c r="P51" s="38">
        <v>0.62729999999999997</v>
      </c>
      <c r="Q51" t="str">
        <f t="shared" si="6"/>
        <v>0|-1|0</v>
      </c>
      <c r="R51">
        <f>COUNTIF($Q$2:Q51,Q51)</f>
        <v>2</v>
      </c>
      <c r="S51" t="str">
        <f t="shared" si="7"/>
        <v>0|-1|0#2</v>
      </c>
    </row>
    <row r="52" spans="1:19">
      <c r="A52" s="38">
        <v>300</v>
      </c>
      <c r="B52" s="38" t="s">
        <v>21</v>
      </c>
      <c r="C52" s="38">
        <v>2.5</v>
      </c>
      <c r="D52" s="38"/>
      <c r="E52">
        <f t="shared" si="0"/>
        <v>-1</v>
      </c>
      <c r="F52">
        <f t="shared" si="1"/>
        <v>-1</v>
      </c>
      <c r="G52">
        <f t="shared" si="2"/>
        <v>-1</v>
      </c>
      <c r="H52" t="str">
        <f t="shared" si="3"/>
        <v>-1|-1|-1</v>
      </c>
      <c r="I52">
        <v>2</v>
      </c>
      <c r="J52" t="str">
        <f t="shared" si="4"/>
        <v>-1|-1|-1#2</v>
      </c>
      <c r="K52">
        <f t="shared" si="5"/>
        <v>0.40849999999999997</v>
      </c>
      <c r="M52" s="38">
        <v>0</v>
      </c>
      <c r="N52" s="38">
        <v>1</v>
      </c>
      <c r="O52" s="38">
        <v>0</v>
      </c>
      <c r="P52" s="38">
        <v>0.82640000000000002</v>
      </c>
      <c r="Q52" t="str">
        <f t="shared" si="6"/>
        <v>0|1|0</v>
      </c>
      <c r="R52">
        <f>COUNTIF($Q$2:Q52,Q52)</f>
        <v>2</v>
      </c>
      <c r="S52" t="str">
        <f t="shared" si="7"/>
        <v>0|1|0#2</v>
      </c>
    </row>
    <row r="53" spans="1:19">
      <c r="A53" s="38">
        <v>300</v>
      </c>
      <c r="B53" s="38" t="s">
        <v>22</v>
      </c>
      <c r="C53" s="38">
        <v>2.5</v>
      </c>
      <c r="D53" s="38"/>
      <c r="E53">
        <f t="shared" si="0"/>
        <v>-1</v>
      </c>
      <c r="F53">
        <f t="shared" si="1"/>
        <v>0</v>
      </c>
      <c r="G53">
        <f t="shared" si="2"/>
        <v>-1</v>
      </c>
      <c r="H53" t="str">
        <f t="shared" si="3"/>
        <v>-1|0|-1</v>
      </c>
      <c r="I53">
        <v>2</v>
      </c>
      <c r="J53" t="str">
        <f t="shared" si="4"/>
        <v>-1|0|-1#2</v>
      </c>
      <c r="K53">
        <f t="shared" si="5"/>
        <v>0.48680000000000001</v>
      </c>
      <c r="M53" s="38">
        <v>0</v>
      </c>
      <c r="N53" s="38">
        <v>0</v>
      </c>
      <c r="O53" s="38">
        <v>-1</v>
      </c>
      <c r="P53" s="38">
        <v>0.69820000000000004</v>
      </c>
      <c r="Q53" t="str">
        <f t="shared" si="6"/>
        <v>0|0|-1</v>
      </c>
      <c r="R53">
        <f>COUNTIF($Q$2:Q53,Q53)</f>
        <v>2</v>
      </c>
      <c r="S53" t="str">
        <f t="shared" si="7"/>
        <v>0|0|-1#2</v>
      </c>
    </row>
    <row r="54" spans="1:19">
      <c r="A54" s="38">
        <v>900</v>
      </c>
      <c r="B54" s="38" t="s">
        <v>22</v>
      </c>
      <c r="C54" s="38">
        <v>12.5</v>
      </c>
      <c r="D54" s="38"/>
      <c r="E54">
        <f t="shared" si="0"/>
        <v>1</v>
      </c>
      <c r="F54">
        <f t="shared" si="1"/>
        <v>0</v>
      </c>
      <c r="G54">
        <f t="shared" si="2"/>
        <v>1</v>
      </c>
      <c r="H54" t="str">
        <f t="shared" si="3"/>
        <v>1|0|1</v>
      </c>
      <c r="I54">
        <v>2</v>
      </c>
      <c r="J54" t="str">
        <f t="shared" si="4"/>
        <v>1|0|1#2</v>
      </c>
      <c r="K54">
        <f t="shared" si="5"/>
        <v>0.84430000000000005</v>
      </c>
      <c r="M54" s="38">
        <v>0</v>
      </c>
      <c r="N54" s="38">
        <v>0</v>
      </c>
      <c r="O54" s="38">
        <v>1</v>
      </c>
      <c r="P54" s="38">
        <v>0.66600000000000004</v>
      </c>
      <c r="Q54" t="str">
        <f t="shared" si="6"/>
        <v>0|0|1</v>
      </c>
      <c r="R54">
        <f>COUNTIF($Q$2:Q54,Q54)</f>
        <v>2</v>
      </c>
      <c r="S54" t="str">
        <f t="shared" si="7"/>
        <v>0|0|1#2</v>
      </c>
    </row>
    <row r="55" spans="1:19">
      <c r="A55" s="38">
        <v>300</v>
      </c>
      <c r="B55" s="38" t="s">
        <v>23</v>
      </c>
      <c r="C55" s="38">
        <v>2.5</v>
      </c>
      <c r="D55" s="38"/>
      <c r="E55">
        <f t="shared" si="0"/>
        <v>-1</v>
      </c>
      <c r="F55">
        <f t="shared" si="1"/>
        <v>1</v>
      </c>
      <c r="G55">
        <f t="shared" si="2"/>
        <v>-1</v>
      </c>
      <c r="H55" t="str">
        <f t="shared" si="3"/>
        <v>-1|1|-1</v>
      </c>
      <c r="I55">
        <v>2</v>
      </c>
      <c r="J55" t="str">
        <f t="shared" si="4"/>
        <v>-1|1|-1#2</v>
      </c>
      <c r="K55">
        <f t="shared" si="5"/>
        <v>0.35949999999999999</v>
      </c>
      <c r="M55" s="38">
        <v>0</v>
      </c>
      <c r="N55" s="38">
        <v>0</v>
      </c>
      <c r="O55" s="38">
        <v>0</v>
      </c>
      <c r="P55" s="38">
        <v>0.51200000000000001</v>
      </c>
      <c r="Q55" t="str">
        <f t="shared" si="6"/>
        <v>0|0|0</v>
      </c>
      <c r="R55">
        <f>COUNTIF($Q$2:Q55,Q55)</f>
        <v>2</v>
      </c>
      <c r="S55" t="str">
        <f t="shared" si="7"/>
        <v>0|0|0#2</v>
      </c>
    </row>
    <row r="57" spans="1:19">
      <c r="A57" t="s">
        <v>0</v>
      </c>
      <c r="B57" t="s">
        <v>1</v>
      </c>
      <c r="C57" t="s">
        <v>2</v>
      </c>
      <c r="D57" t="s">
        <v>293</v>
      </c>
      <c r="E57" t="s">
        <v>294</v>
      </c>
      <c r="F57" t="s">
        <v>296</v>
      </c>
      <c r="G57" t="s">
        <v>295</v>
      </c>
      <c r="H57" t="s">
        <v>25</v>
      </c>
      <c r="J57" t="s">
        <v>35</v>
      </c>
    </row>
    <row r="58" spans="1:19" ht="15" thickBot="1">
      <c r="A58" cm="1">
        <f t="array" ref="A58:C111">E2:G55</f>
        <v>1</v>
      </c>
      <c r="B58">
        <v>0</v>
      </c>
      <c r="C58">
        <v>0</v>
      </c>
      <c r="D58">
        <f>A58*B58</f>
        <v>0</v>
      </c>
      <c r="E58">
        <f>A58*C58</f>
        <v>0</v>
      </c>
      <c r="F58">
        <f>B58*C58</f>
        <v>0</v>
      </c>
      <c r="G58">
        <f>A58*B58*C58</f>
        <v>0</v>
      </c>
      <c r="H58" cm="1">
        <f t="array" ref="H58:H111">K2:K55</f>
        <v>0.61599999999999999</v>
      </c>
    </row>
    <row r="59" spans="1:19">
      <c r="A59">
        <v>-1</v>
      </c>
      <c r="B59">
        <v>1</v>
      </c>
      <c r="C59">
        <v>0</v>
      </c>
      <c r="D59">
        <f t="shared" ref="D59:D111" si="8">A59*B59</f>
        <v>-1</v>
      </c>
      <c r="E59">
        <f t="shared" ref="E59:E111" si="9">A59*C59</f>
        <v>0</v>
      </c>
      <c r="F59">
        <f t="shared" ref="F59:F111" si="10">B59*C59</f>
        <v>0</v>
      </c>
      <c r="G59">
        <f t="shared" ref="G59:G111" si="11">A59*B59*C59</f>
        <v>0</v>
      </c>
      <c r="H59">
        <v>0.60870000000000002</v>
      </c>
      <c r="J59" s="12" t="s">
        <v>36</v>
      </c>
      <c r="K59" s="12"/>
    </row>
    <row r="60" spans="1:19">
      <c r="A60">
        <v>0</v>
      </c>
      <c r="B60">
        <v>-1</v>
      </c>
      <c r="C60">
        <v>-1</v>
      </c>
      <c r="D60">
        <f t="shared" si="8"/>
        <v>0</v>
      </c>
      <c r="E60">
        <f t="shared" si="9"/>
        <v>0</v>
      </c>
      <c r="F60">
        <f t="shared" si="10"/>
        <v>1</v>
      </c>
      <c r="G60">
        <f t="shared" si="11"/>
        <v>0</v>
      </c>
      <c r="H60">
        <v>0.51919999999999999</v>
      </c>
      <c r="J60" t="s">
        <v>37</v>
      </c>
      <c r="K60">
        <v>0.45380097092047128</v>
      </c>
    </row>
    <row r="61" spans="1:19">
      <c r="A61">
        <v>1</v>
      </c>
      <c r="B61">
        <v>1</v>
      </c>
      <c r="C61">
        <v>0</v>
      </c>
      <c r="D61">
        <f t="shared" si="8"/>
        <v>1</v>
      </c>
      <c r="E61">
        <f t="shared" si="9"/>
        <v>0</v>
      </c>
      <c r="F61">
        <f t="shared" si="10"/>
        <v>0</v>
      </c>
      <c r="G61">
        <f t="shared" si="11"/>
        <v>0</v>
      </c>
      <c r="H61">
        <v>0.41470000000000001</v>
      </c>
      <c r="J61" t="s">
        <v>38</v>
      </c>
      <c r="K61">
        <v>0.20593532120836244</v>
      </c>
    </row>
    <row r="62" spans="1:19">
      <c r="A62">
        <v>0</v>
      </c>
      <c r="B62">
        <v>0</v>
      </c>
      <c r="C62">
        <v>0</v>
      </c>
      <c r="D62">
        <f t="shared" si="8"/>
        <v>0</v>
      </c>
      <c r="E62">
        <f t="shared" si="9"/>
        <v>0</v>
      </c>
      <c r="F62">
        <f t="shared" si="10"/>
        <v>0</v>
      </c>
      <c r="G62">
        <f t="shared" si="11"/>
        <v>0</v>
      </c>
      <c r="H62">
        <v>0.64759999999999995</v>
      </c>
      <c r="J62" t="s">
        <v>39</v>
      </c>
      <c r="K62">
        <v>8.5099391827026305E-2</v>
      </c>
    </row>
    <row r="63" spans="1:19">
      <c r="A63">
        <v>1</v>
      </c>
      <c r="B63">
        <v>0</v>
      </c>
      <c r="C63">
        <v>0</v>
      </c>
      <c r="D63">
        <f t="shared" si="8"/>
        <v>0</v>
      </c>
      <c r="E63">
        <f t="shared" si="9"/>
        <v>0</v>
      </c>
      <c r="F63">
        <f t="shared" si="10"/>
        <v>0</v>
      </c>
      <c r="G63">
        <f t="shared" si="11"/>
        <v>0</v>
      </c>
      <c r="H63">
        <v>0.61599999999999999</v>
      </c>
      <c r="J63" t="s">
        <v>40</v>
      </c>
      <c r="K63">
        <v>0.13819207621292712</v>
      </c>
    </row>
    <row r="64" spans="1:19" ht="15" thickBot="1">
      <c r="A64">
        <v>0</v>
      </c>
      <c r="B64">
        <v>-1</v>
      </c>
      <c r="C64">
        <v>0</v>
      </c>
      <c r="D64">
        <f t="shared" si="8"/>
        <v>0</v>
      </c>
      <c r="E64">
        <f t="shared" si="9"/>
        <v>0</v>
      </c>
      <c r="F64">
        <f t="shared" si="10"/>
        <v>0</v>
      </c>
      <c r="G64">
        <f t="shared" si="11"/>
        <v>0</v>
      </c>
      <c r="H64">
        <v>0.60009999999999997</v>
      </c>
      <c r="J64" s="7" t="s">
        <v>41</v>
      </c>
      <c r="K64" s="7">
        <v>54</v>
      </c>
    </row>
    <row r="65" spans="1:18">
      <c r="A65">
        <v>0</v>
      </c>
      <c r="B65">
        <v>1</v>
      </c>
      <c r="C65">
        <v>1</v>
      </c>
      <c r="D65">
        <f t="shared" si="8"/>
        <v>0</v>
      </c>
      <c r="E65">
        <f t="shared" si="9"/>
        <v>0</v>
      </c>
      <c r="F65">
        <f t="shared" si="10"/>
        <v>1</v>
      </c>
      <c r="G65">
        <f t="shared" si="11"/>
        <v>0</v>
      </c>
      <c r="H65">
        <v>0.68589999999999995</v>
      </c>
    </row>
    <row r="66" spans="1:18" ht="15" thickBot="1">
      <c r="A66">
        <v>-1</v>
      </c>
      <c r="B66">
        <v>-1</v>
      </c>
      <c r="C66">
        <v>0</v>
      </c>
      <c r="D66">
        <f t="shared" si="8"/>
        <v>1</v>
      </c>
      <c r="E66">
        <f t="shared" si="9"/>
        <v>0</v>
      </c>
      <c r="F66">
        <f t="shared" si="10"/>
        <v>0</v>
      </c>
      <c r="G66">
        <f t="shared" si="11"/>
        <v>0</v>
      </c>
      <c r="H66">
        <v>0.2908</v>
      </c>
      <c r="J66" t="s">
        <v>42</v>
      </c>
    </row>
    <row r="67" spans="1:18">
      <c r="A67">
        <v>0</v>
      </c>
      <c r="B67">
        <v>1</v>
      </c>
      <c r="C67">
        <v>0</v>
      </c>
      <c r="D67">
        <f t="shared" si="8"/>
        <v>0</v>
      </c>
      <c r="E67">
        <f t="shared" si="9"/>
        <v>0</v>
      </c>
      <c r="F67">
        <f t="shared" si="10"/>
        <v>0</v>
      </c>
      <c r="G67">
        <f t="shared" si="11"/>
        <v>0</v>
      </c>
      <c r="H67">
        <v>0.77090000000000003</v>
      </c>
      <c r="J67" s="11"/>
      <c r="K67" s="11" t="s">
        <v>47</v>
      </c>
      <c r="L67" s="11" t="s">
        <v>48</v>
      </c>
      <c r="M67" s="11" t="s">
        <v>49</v>
      </c>
      <c r="N67" s="11" t="s">
        <v>50</v>
      </c>
      <c r="O67" s="11" t="s">
        <v>51</v>
      </c>
    </row>
    <row r="68" spans="1:18">
      <c r="A68">
        <v>0</v>
      </c>
      <c r="B68">
        <v>-1</v>
      </c>
      <c r="C68">
        <v>1</v>
      </c>
      <c r="D68">
        <f t="shared" si="8"/>
        <v>0</v>
      </c>
      <c r="E68">
        <f t="shared" si="9"/>
        <v>0</v>
      </c>
      <c r="F68">
        <f t="shared" si="10"/>
        <v>-1</v>
      </c>
      <c r="G68">
        <f t="shared" si="11"/>
        <v>0</v>
      </c>
      <c r="H68">
        <v>0.52869999999999995</v>
      </c>
      <c r="J68" t="s">
        <v>43</v>
      </c>
      <c r="K68">
        <v>7</v>
      </c>
      <c r="L68">
        <v>0.22782379312499956</v>
      </c>
      <c r="M68">
        <v>3.2546256160714222E-2</v>
      </c>
      <c r="N68">
        <v>1.7042556983069836</v>
      </c>
      <c r="O68">
        <v>0.13163858216239974</v>
      </c>
    </row>
    <row r="69" spans="1:18">
      <c r="A69">
        <v>-1</v>
      </c>
      <c r="B69">
        <v>-1</v>
      </c>
      <c r="C69">
        <v>-1</v>
      </c>
      <c r="D69">
        <f t="shared" si="8"/>
        <v>1</v>
      </c>
      <c r="E69">
        <f t="shared" si="9"/>
        <v>1</v>
      </c>
      <c r="F69">
        <f t="shared" si="10"/>
        <v>1</v>
      </c>
      <c r="G69">
        <f t="shared" si="11"/>
        <v>-1</v>
      </c>
      <c r="H69">
        <v>0.38879999999999998</v>
      </c>
      <c r="J69" t="s">
        <v>44</v>
      </c>
      <c r="K69">
        <v>46</v>
      </c>
      <c r="L69">
        <v>0.87846429668981507</v>
      </c>
      <c r="M69">
        <v>1.9097049928039459E-2</v>
      </c>
    </row>
    <row r="70" spans="1:18" ht="15" thickBot="1">
      <c r="A70">
        <v>-1</v>
      </c>
      <c r="B70">
        <v>0</v>
      </c>
      <c r="C70">
        <v>-1</v>
      </c>
      <c r="D70">
        <f t="shared" si="8"/>
        <v>0</v>
      </c>
      <c r="E70">
        <f t="shared" si="9"/>
        <v>1</v>
      </c>
      <c r="F70">
        <f t="shared" si="10"/>
        <v>0</v>
      </c>
      <c r="G70">
        <f t="shared" si="11"/>
        <v>0</v>
      </c>
      <c r="H70">
        <v>0.54920000000000002</v>
      </c>
      <c r="J70" s="7" t="s">
        <v>45</v>
      </c>
      <c r="K70" s="7">
        <v>53</v>
      </c>
      <c r="L70" s="7">
        <v>1.1062880898148146</v>
      </c>
      <c r="M70" s="7"/>
      <c r="N70" s="7"/>
      <c r="O70" s="7"/>
    </row>
    <row r="71" spans="1:18" ht="15" thickBot="1">
      <c r="A71">
        <v>0</v>
      </c>
      <c r="B71">
        <v>0</v>
      </c>
      <c r="C71">
        <v>-1</v>
      </c>
      <c r="D71">
        <f t="shared" si="8"/>
        <v>0</v>
      </c>
      <c r="E71">
        <f t="shared" si="9"/>
        <v>0</v>
      </c>
      <c r="F71">
        <f t="shared" si="10"/>
        <v>0</v>
      </c>
      <c r="G71">
        <f t="shared" si="11"/>
        <v>0</v>
      </c>
      <c r="H71">
        <v>0.71240000000000003</v>
      </c>
    </row>
    <row r="72" spans="1:18">
      <c r="A72">
        <v>1</v>
      </c>
      <c r="B72">
        <v>1</v>
      </c>
      <c r="C72">
        <v>-1</v>
      </c>
      <c r="D72">
        <f t="shared" si="8"/>
        <v>1</v>
      </c>
      <c r="E72">
        <f t="shared" si="9"/>
        <v>-1</v>
      </c>
      <c r="F72">
        <f t="shared" si="10"/>
        <v>-1</v>
      </c>
      <c r="G72">
        <f t="shared" si="11"/>
        <v>-1</v>
      </c>
      <c r="H72">
        <v>0.65849999999999997</v>
      </c>
      <c r="J72" s="11"/>
      <c r="K72" s="11" t="s">
        <v>52</v>
      </c>
      <c r="L72" s="11" t="s">
        <v>40</v>
      </c>
      <c r="M72" s="11" t="s">
        <v>53</v>
      </c>
      <c r="N72" s="11" t="s">
        <v>54</v>
      </c>
      <c r="O72" s="11" t="s">
        <v>55</v>
      </c>
      <c r="P72" s="11" t="s">
        <v>56</v>
      </c>
      <c r="Q72" s="11" t="s">
        <v>57</v>
      </c>
      <c r="R72" s="11" t="s">
        <v>58</v>
      </c>
    </row>
    <row r="73" spans="1:18">
      <c r="A73">
        <v>0</v>
      </c>
      <c r="B73">
        <v>0</v>
      </c>
      <c r="C73">
        <v>1</v>
      </c>
      <c r="D73">
        <f t="shared" si="8"/>
        <v>0</v>
      </c>
      <c r="E73">
        <f t="shared" si="9"/>
        <v>0</v>
      </c>
      <c r="F73">
        <f t="shared" si="10"/>
        <v>0</v>
      </c>
      <c r="G73">
        <f t="shared" si="11"/>
        <v>0</v>
      </c>
      <c r="H73">
        <v>0.66600000000000004</v>
      </c>
      <c r="J73" t="s">
        <v>46</v>
      </c>
      <c r="K73">
        <v>0.56849814814814803</v>
      </c>
      <c r="L73">
        <v>1.8805559623193122E-2</v>
      </c>
      <c r="M73">
        <v>30.230323347942939</v>
      </c>
      <c r="N73">
        <v>5.381826938071208E-32</v>
      </c>
      <c r="O73">
        <v>0.53064451994740569</v>
      </c>
      <c r="P73">
        <v>0.60635177634889037</v>
      </c>
      <c r="Q73">
        <v>0.53064451994740569</v>
      </c>
      <c r="R73">
        <v>0.60635177634889037</v>
      </c>
    </row>
    <row r="74" spans="1:18">
      <c r="A74">
        <v>0</v>
      </c>
      <c r="B74">
        <v>0</v>
      </c>
      <c r="C74">
        <v>-1</v>
      </c>
      <c r="D74">
        <f t="shared" si="8"/>
        <v>0</v>
      </c>
      <c r="E74">
        <f t="shared" si="9"/>
        <v>0</v>
      </c>
      <c r="F74">
        <f t="shared" si="10"/>
        <v>0</v>
      </c>
      <c r="G74">
        <f t="shared" si="11"/>
        <v>0</v>
      </c>
      <c r="H74">
        <v>0.69820000000000004</v>
      </c>
      <c r="J74" t="s">
        <v>0</v>
      </c>
      <c r="K74">
        <v>3.5916666666666659E-2</v>
      </c>
      <c r="L74">
        <v>2.3032012702154516E-2</v>
      </c>
      <c r="M74">
        <v>1.5594237086933724</v>
      </c>
      <c r="N74">
        <v>0.12575034653514749</v>
      </c>
      <c r="O74">
        <v>-1.044437033575657E-2</v>
      </c>
      <c r="P74">
        <v>8.2277703669089888E-2</v>
      </c>
      <c r="Q74">
        <v>-1.044437033575657E-2</v>
      </c>
      <c r="R74">
        <v>8.2277703669089888E-2</v>
      </c>
    </row>
    <row r="75" spans="1:18">
      <c r="A75">
        <v>-1</v>
      </c>
      <c r="B75">
        <v>1</v>
      </c>
      <c r="C75">
        <v>1</v>
      </c>
      <c r="D75">
        <f t="shared" si="8"/>
        <v>-1</v>
      </c>
      <c r="E75">
        <f t="shared" si="9"/>
        <v>-1</v>
      </c>
      <c r="F75">
        <f t="shared" si="10"/>
        <v>1</v>
      </c>
      <c r="G75">
        <f t="shared" si="11"/>
        <v>-1</v>
      </c>
      <c r="H75">
        <v>0.60550000000000004</v>
      </c>
      <c r="J75" t="s">
        <v>1</v>
      </c>
      <c r="K75">
        <v>6.3591666666666657E-2</v>
      </c>
      <c r="L75">
        <v>2.303201270215452E-2</v>
      </c>
      <c r="M75">
        <v>2.7610121394522329</v>
      </c>
      <c r="N75">
        <v>8.2500303994879794E-3</v>
      </c>
      <c r="O75">
        <v>1.7230629664243421E-2</v>
      </c>
      <c r="P75">
        <v>0.10995270366908989</v>
      </c>
      <c r="Q75">
        <v>1.7230629664243421E-2</v>
      </c>
      <c r="R75">
        <v>0.10995270366908989</v>
      </c>
    </row>
    <row r="76" spans="1:18">
      <c r="A76">
        <v>-1</v>
      </c>
      <c r="B76">
        <v>-1</v>
      </c>
      <c r="C76">
        <v>0</v>
      </c>
      <c r="D76">
        <f t="shared" si="8"/>
        <v>1</v>
      </c>
      <c r="E76">
        <f t="shared" si="9"/>
        <v>0</v>
      </c>
      <c r="F76">
        <f t="shared" si="10"/>
        <v>0</v>
      </c>
      <c r="G76">
        <f t="shared" si="11"/>
        <v>0</v>
      </c>
      <c r="H76">
        <v>0.61780000000000002</v>
      </c>
      <c r="J76" t="s">
        <v>2</v>
      </c>
      <c r="K76">
        <v>-2.3416666666666659E-3</v>
      </c>
      <c r="L76">
        <v>2.303201270215452E-2</v>
      </c>
      <c r="M76">
        <v>-0.10167008402386023</v>
      </c>
      <c r="N76">
        <v>0.91946043957990709</v>
      </c>
      <c r="O76">
        <v>-4.8702703669089902E-2</v>
      </c>
      <c r="P76">
        <v>4.401937033575657E-2</v>
      </c>
      <c r="Q76">
        <v>-4.8702703669089902E-2</v>
      </c>
      <c r="R76">
        <v>4.401937033575657E-2</v>
      </c>
    </row>
    <row r="77" spans="1:18">
      <c r="A77">
        <v>1</v>
      </c>
      <c r="B77">
        <v>0</v>
      </c>
      <c r="C77">
        <v>-1</v>
      </c>
      <c r="D77">
        <f t="shared" si="8"/>
        <v>0</v>
      </c>
      <c r="E77">
        <f t="shared" si="9"/>
        <v>-1</v>
      </c>
      <c r="F77">
        <f t="shared" si="10"/>
        <v>0</v>
      </c>
      <c r="G77">
        <f t="shared" si="11"/>
        <v>0</v>
      </c>
      <c r="H77">
        <v>0.77439999999999998</v>
      </c>
      <c r="J77" t="s">
        <v>293</v>
      </c>
      <c r="K77">
        <v>-4.1916666666666595E-3</v>
      </c>
      <c r="L77">
        <v>2.8208339434789689E-2</v>
      </c>
      <c r="M77">
        <v>-0.14859671822783818</v>
      </c>
      <c r="N77">
        <v>0.88252137961450283</v>
      </c>
      <c r="O77">
        <v>-6.0972108967780228E-2</v>
      </c>
      <c r="P77">
        <v>5.2588775634446902E-2</v>
      </c>
      <c r="Q77">
        <v>-6.0972108967780228E-2</v>
      </c>
      <c r="R77">
        <v>5.2588775634446902E-2</v>
      </c>
    </row>
    <row r="78" spans="1:18">
      <c r="A78">
        <v>1</v>
      </c>
      <c r="B78">
        <v>1</v>
      </c>
      <c r="C78">
        <v>1</v>
      </c>
      <c r="D78">
        <f t="shared" si="8"/>
        <v>1</v>
      </c>
      <c r="E78">
        <f t="shared" si="9"/>
        <v>1</v>
      </c>
      <c r="F78">
        <f t="shared" si="10"/>
        <v>1</v>
      </c>
      <c r="G78">
        <f t="shared" si="11"/>
        <v>1</v>
      </c>
      <c r="H78">
        <v>0.51329999999999998</v>
      </c>
      <c r="J78" t="s">
        <v>294</v>
      </c>
      <c r="K78">
        <v>-2.3904166666666664E-2</v>
      </c>
      <c r="L78">
        <v>2.8208339434789689E-2</v>
      </c>
      <c r="M78">
        <v>-0.84741488317406455</v>
      </c>
      <c r="N78">
        <v>0.40115157435446125</v>
      </c>
      <c r="O78">
        <v>-8.0684608967780236E-2</v>
      </c>
      <c r="P78">
        <v>3.2876275634446901E-2</v>
      </c>
      <c r="Q78">
        <v>-8.0684608967780236E-2</v>
      </c>
      <c r="R78">
        <v>3.2876275634446901E-2</v>
      </c>
    </row>
    <row r="79" spans="1:18">
      <c r="A79">
        <v>-1</v>
      </c>
      <c r="B79">
        <v>-1</v>
      </c>
      <c r="C79">
        <v>1</v>
      </c>
      <c r="D79">
        <f t="shared" si="8"/>
        <v>1</v>
      </c>
      <c r="E79">
        <f t="shared" si="9"/>
        <v>-1</v>
      </c>
      <c r="F79">
        <f t="shared" si="10"/>
        <v>-1</v>
      </c>
      <c r="G79">
        <f t="shared" si="11"/>
        <v>1</v>
      </c>
      <c r="H79">
        <v>0.41570000000000001</v>
      </c>
      <c r="J79" t="s">
        <v>296</v>
      </c>
      <c r="K79">
        <v>1.1395833333333338E-2</v>
      </c>
      <c r="L79">
        <v>2.8208339434789689E-2</v>
      </c>
      <c r="M79">
        <v>0.40398809577846745</v>
      </c>
      <c r="N79">
        <v>0.6880935707730339</v>
      </c>
      <c r="O79">
        <v>-4.5384608967780224E-2</v>
      </c>
      <c r="P79">
        <v>6.8176275634446906E-2</v>
      </c>
      <c r="Q79">
        <v>-4.5384608967780224E-2</v>
      </c>
      <c r="R79">
        <v>6.8176275634446906E-2</v>
      </c>
    </row>
    <row r="80" spans="1:18" ht="15" thickBot="1">
      <c r="A80">
        <v>1</v>
      </c>
      <c r="B80">
        <v>-1</v>
      </c>
      <c r="C80">
        <v>0</v>
      </c>
      <c r="D80">
        <f t="shared" si="8"/>
        <v>-1</v>
      </c>
      <c r="E80">
        <f t="shared" si="9"/>
        <v>0</v>
      </c>
      <c r="F80">
        <f t="shared" si="10"/>
        <v>0</v>
      </c>
      <c r="G80">
        <f t="shared" si="11"/>
        <v>0</v>
      </c>
      <c r="H80">
        <v>0.63349999999999995</v>
      </c>
      <c r="J80" s="7" t="s">
        <v>295</v>
      </c>
      <c r="K80" s="7">
        <v>-3.3868749999999989E-2</v>
      </c>
      <c r="L80" s="7">
        <v>3.4548019053231779E-2</v>
      </c>
      <c r="M80" s="7">
        <v>-0.98033840805213268</v>
      </c>
      <c r="N80" s="7">
        <v>0.33204716824928504</v>
      </c>
      <c r="O80" s="7">
        <v>-0.10341030550363485</v>
      </c>
      <c r="P80" s="7">
        <v>3.5672805503634872E-2</v>
      </c>
      <c r="Q80" s="7">
        <v>-0.10341030550363485</v>
      </c>
      <c r="R80" s="7">
        <v>3.5672805503634872E-2</v>
      </c>
    </row>
    <row r="81" spans="1:8">
      <c r="A81">
        <v>1</v>
      </c>
      <c r="B81">
        <v>1</v>
      </c>
      <c r="C81">
        <v>-1</v>
      </c>
      <c r="D81">
        <f t="shared" si="8"/>
        <v>1</v>
      </c>
      <c r="E81">
        <f t="shared" si="9"/>
        <v>-1</v>
      </c>
      <c r="F81">
        <f t="shared" si="10"/>
        <v>-1</v>
      </c>
      <c r="G81">
        <f t="shared" si="11"/>
        <v>-1</v>
      </c>
      <c r="H81">
        <v>0.65849999999999997</v>
      </c>
    </row>
    <row r="82" spans="1:8">
      <c r="A82">
        <v>0</v>
      </c>
      <c r="B82">
        <v>1</v>
      </c>
      <c r="C82">
        <v>1</v>
      </c>
      <c r="D82">
        <f t="shared" si="8"/>
        <v>0</v>
      </c>
      <c r="E82">
        <f t="shared" si="9"/>
        <v>0</v>
      </c>
      <c r="F82">
        <f t="shared" si="10"/>
        <v>1</v>
      </c>
      <c r="G82">
        <f t="shared" si="11"/>
        <v>0</v>
      </c>
      <c r="H82">
        <v>0.68589999999999995</v>
      </c>
    </row>
    <row r="83" spans="1:8">
      <c r="A83">
        <v>1</v>
      </c>
      <c r="B83">
        <v>-1</v>
      </c>
      <c r="C83">
        <v>0</v>
      </c>
      <c r="D83">
        <f t="shared" si="8"/>
        <v>-1</v>
      </c>
      <c r="E83">
        <f t="shared" si="9"/>
        <v>0</v>
      </c>
      <c r="F83">
        <f t="shared" si="10"/>
        <v>0</v>
      </c>
      <c r="G83">
        <f t="shared" si="11"/>
        <v>0</v>
      </c>
      <c r="H83">
        <v>0.63349999999999995</v>
      </c>
    </row>
    <row r="84" spans="1:8">
      <c r="A84">
        <v>1</v>
      </c>
      <c r="B84">
        <v>-1</v>
      </c>
      <c r="C84">
        <v>-1</v>
      </c>
      <c r="D84">
        <f t="shared" si="8"/>
        <v>-1</v>
      </c>
      <c r="E84">
        <f t="shared" si="9"/>
        <v>-1</v>
      </c>
      <c r="F84">
        <f t="shared" si="10"/>
        <v>1</v>
      </c>
      <c r="G84">
        <f t="shared" si="11"/>
        <v>1</v>
      </c>
      <c r="H84">
        <v>0.35699999999999998</v>
      </c>
    </row>
    <row r="85" spans="1:8">
      <c r="A85">
        <v>1</v>
      </c>
      <c r="B85">
        <v>0</v>
      </c>
      <c r="C85">
        <v>1</v>
      </c>
      <c r="D85">
        <f t="shared" si="8"/>
        <v>0</v>
      </c>
      <c r="E85">
        <f t="shared" si="9"/>
        <v>1</v>
      </c>
      <c r="F85">
        <f t="shared" si="10"/>
        <v>0</v>
      </c>
      <c r="G85">
        <f t="shared" si="11"/>
        <v>0</v>
      </c>
      <c r="H85">
        <v>0.84430000000000005</v>
      </c>
    </row>
    <row r="86" spans="1:8">
      <c r="A86">
        <v>1</v>
      </c>
      <c r="B86">
        <v>-1</v>
      </c>
      <c r="C86">
        <v>1</v>
      </c>
      <c r="D86">
        <f t="shared" si="8"/>
        <v>-1</v>
      </c>
      <c r="E86">
        <f t="shared" si="9"/>
        <v>1</v>
      </c>
      <c r="F86">
        <f t="shared" si="10"/>
        <v>-1</v>
      </c>
      <c r="G86">
        <f t="shared" si="11"/>
        <v>-1</v>
      </c>
      <c r="H86">
        <v>0.28870000000000001</v>
      </c>
    </row>
    <row r="87" spans="1:8">
      <c r="A87">
        <v>0</v>
      </c>
      <c r="B87">
        <v>-1</v>
      </c>
      <c r="C87">
        <v>-1</v>
      </c>
      <c r="D87">
        <f t="shared" si="8"/>
        <v>0</v>
      </c>
      <c r="E87">
        <f t="shared" si="9"/>
        <v>0</v>
      </c>
      <c r="F87">
        <f t="shared" si="10"/>
        <v>1</v>
      </c>
      <c r="G87">
        <f t="shared" si="11"/>
        <v>0</v>
      </c>
      <c r="H87">
        <v>0.56030000000000002</v>
      </c>
    </row>
    <row r="88" spans="1:8">
      <c r="A88">
        <v>-1</v>
      </c>
      <c r="B88">
        <v>0</v>
      </c>
      <c r="C88">
        <v>1</v>
      </c>
      <c r="D88">
        <f t="shared" si="8"/>
        <v>0</v>
      </c>
      <c r="E88">
        <f t="shared" si="9"/>
        <v>-1</v>
      </c>
      <c r="F88">
        <f t="shared" si="10"/>
        <v>0</v>
      </c>
      <c r="G88">
        <f t="shared" si="11"/>
        <v>0</v>
      </c>
      <c r="H88">
        <v>0.43309999999999998</v>
      </c>
    </row>
    <row r="89" spans="1:8">
      <c r="A89">
        <v>1</v>
      </c>
      <c r="B89">
        <v>1</v>
      </c>
      <c r="C89">
        <v>0</v>
      </c>
      <c r="D89">
        <f t="shared" si="8"/>
        <v>1</v>
      </c>
      <c r="E89">
        <f t="shared" si="9"/>
        <v>0</v>
      </c>
      <c r="F89">
        <f t="shared" si="10"/>
        <v>0</v>
      </c>
      <c r="G89">
        <f t="shared" si="11"/>
        <v>0</v>
      </c>
      <c r="H89">
        <v>0.41470000000000001</v>
      </c>
    </row>
    <row r="90" spans="1:8">
      <c r="A90">
        <v>0</v>
      </c>
      <c r="B90">
        <v>-1</v>
      </c>
      <c r="C90">
        <v>0</v>
      </c>
      <c r="D90">
        <f t="shared" si="8"/>
        <v>0</v>
      </c>
      <c r="E90">
        <f t="shared" si="9"/>
        <v>0</v>
      </c>
      <c r="F90">
        <f t="shared" si="10"/>
        <v>0</v>
      </c>
      <c r="G90">
        <f t="shared" si="11"/>
        <v>0</v>
      </c>
      <c r="H90">
        <v>0.62729999999999997</v>
      </c>
    </row>
    <row r="91" spans="1:8">
      <c r="A91">
        <v>-1</v>
      </c>
      <c r="B91">
        <v>0</v>
      </c>
      <c r="C91">
        <v>0</v>
      </c>
      <c r="D91">
        <f t="shared" si="8"/>
        <v>0</v>
      </c>
      <c r="E91">
        <f t="shared" si="9"/>
        <v>0</v>
      </c>
      <c r="F91">
        <f t="shared" si="10"/>
        <v>0</v>
      </c>
      <c r="G91">
        <f t="shared" si="11"/>
        <v>0</v>
      </c>
      <c r="H91">
        <v>0.6079</v>
      </c>
    </row>
    <row r="92" spans="1:8">
      <c r="A92">
        <v>1</v>
      </c>
      <c r="B92">
        <v>0</v>
      </c>
      <c r="C92">
        <v>-1</v>
      </c>
      <c r="D92">
        <f t="shared" si="8"/>
        <v>0</v>
      </c>
      <c r="E92">
        <f t="shared" si="9"/>
        <v>-1</v>
      </c>
      <c r="F92">
        <f t="shared" si="10"/>
        <v>0</v>
      </c>
      <c r="G92">
        <f t="shared" si="11"/>
        <v>0</v>
      </c>
      <c r="H92">
        <v>0.77439999999999998</v>
      </c>
    </row>
    <row r="93" spans="1:8">
      <c r="A93">
        <v>-1</v>
      </c>
      <c r="B93">
        <v>1</v>
      </c>
      <c r="C93">
        <v>-1</v>
      </c>
      <c r="D93">
        <f t="shared" si="8"/>
        <v>-1</v>
      </c>
      <c r="E93">
        <f t="shared" si="9"/>
        <v>1</v>
      </c>
      <c r="F93">
        <f t="shared" si="10"/>
        <v>-1</v>
      </c>
      <c r="G93">
        <f t="shared" si="11"/>
        <v>1</v>
      </c>
      <c r="H93">
        <v>0.42930000000000001</v>
      </c>
    </row>
    <row r="94" spans="1:8">
      <c r="A94">
        <v>-1</v>
      </c>
      <c r="B94">
        <v>0</v>
      </c>
      <c r="C94">
        <v>1</v>
      </c>
      <c r="D94">
        <f t="shared" si="8"/>
        <v>0</v>
      </c>
      <c r="E94">
        <f t="shared" si="9"/>
        <v>-1</v>
      </c>
      <c r="F94">
        <f t="shared" si="10"/>
        <v>0</v>
      </c>
      <c r="G94">
        <f t="shared" si="11"/>
        <v>0</v>
      </c>
      <c r="H94">
        <v>0.43309999999999998</v>
      </c>
    </row>
    <row r="95" spans="1:8">
      <c r="A95">
        <v>0</v>
      </c>
      <c r="B95">
        <v>1</v>
      </c>
      <c r="C95">
        <v>-1</v>
      </c>
      <c r="D95">
        <f t="shared" si="8"/>
        <v>0</v>
      </c>
      <c r="E95">
        <f t="shared" si="9"/>
        <v>0</v>
      </c>
      <c r="F95">
        <f t="shared" si="10"/>
        <v>-1</v>
      </c>
      <c r="G95">
        <f t="shared" si="11"/>
        <v>0</v>
      </c>
      <c r="H95">
        <v>0.7077</v>
      </c>
    </row>
    <row r="96" spans="1:8">
      <c r="A96">
        <v>-1</v>
      </c>
      <c r="B96">
        <v>1</v>
      </c>
      <c r="C96">
        <v>1</v>
      </c>
      <c r="D96">
        <f t="shared" si="8"/>
        <v>-1</v>
      </c>
      <c r="E96">
        <f t="shared" si="9"/>
        <v>-1</v>
      </c>
      <c r="F96">
        <f t="shared" si="10"/>
        <v>1</v>
      </c>
      <c r="G96">
        <f t="shared" si="11"/>
        <v>-1</v>
      </c>
      <c r="H96">
        <v>0.60550000000000004</v>
      </c>
    </row>
    <row r="97" spans="1:8">
      <c r="A97">
        <v>0</v>
      </c>
      <c r="B97">
        <v>-1</v>
      </c>
      <c r="C97">
        <v>1</v>
      </c>
      <c r="D97">
        <f t="shared" si="8"/>
        <v>0</v>
      </c>
      <c r="E97">
        <f t="shared" si="9"/>
        <v>0</v>
      </c>
      <c r="F97">
        <f t="shared" si="10"/>
        <v>-1</v>
      </c>
      <c r="G97">
        <f t="shared" si="11"/>
        <v>0</v>
      </c>
      <c r="H97">
        <v>0.52869999999999995</v>
      </c>
    </row>
    <row r="98" spans="1:8">
      <c r="A98">
        <v>-1</v>
      </c>
      <c r="B98">
        <v>0</v>
      </c>
      <c r="C98">
        <v>0</v>
      </c>
      <c r="D98">
        <f t="shared" si="8"/>
        <v>0</v>
      </c>
      <c r="E98">
        <f t="shared" si="9"/>
        <v>0</v>
      </c>
      <c r="F98">
        <f t="shared" si="10"/>
        <v>0</v>
      </c>
      <c r="G98">
        <f t="shared" si="11"/>
        <v>0</v>
      </c>
      <c r="H98">
        <v>0.6079</v>
      </c>
    </row>
    <row r="99" spans="1:8">
      <c r="A99">
        <v>0</v>
      </c>
      <c r="B99">
        <v>1</v>
      </c>
      <c r="C99">
        <v>0</v>
      </c>
      <c r="D99">
        <f t="shared" si="8"/>
        <v>0</v>
      </c>
      <c r="E99">
        <f t="shared" si="9"/>
        <v>0</v>
      </c>
      <c r="F99">
        <f t="shared" si="10"/>
        <v>0</v>
      </c>
      <c r="G99">
        <f t="shared" si="11"/>
        <v>0</v>
      </c>
      <c r="H99">
        <v>0.82640000000000002</v>
      </c>
    </row>
    <row r="100" spans="1:8">
      <c r="A100">
        <v>0</v>
      </c>
      <c r="B100">
        <v>0</v>
      </c>
      <c r="C100">
        <v>0</v>
      </c>
      <c r="D100">
        <f t="shared" si="8"/>
        <v>0</v>
      </c>
      <c r="E100">
        <f t="shared" si="9"/>
        <v>0</v>
      </c>
      <c r="F100">
        <f t="shared" si="10"/>
        <v>0</v>
      </c>
      <c r="G100">
        <f t="shared" si="11"/>
        <v>0</v>
      </c>
      <c r="H100">
        <v>0.51200000000000001</v>
      </c>
    </row>
    <row r="101" spans="1:8">
      <c r="A101">
        <v>-1</v>
      </c>
      <c r="B101">
        <v>-1</v>
      </c>
      <c r="C101">
        <v>1</v>
      </c>
      <c r="D101">
        <f t="shared" si="8"/>
        <v>1</v>
      </c>
      <c r="E101">
        <f t="shared" si="9"/>
        <v>-1</v>
      </c>
      <c r="F101">
        <f t="shared" si="10"/>
        <v>-1</v>
      </c>
      <c r="G101">
        <f t="shared" si="11"/>
        <v>1</v>
      </c>
      <c r="H101">
        <v>0.41570000000000001</v>
      </c>
    </row>
    <row r="102" spans="1:8">
      <c r="A102">
        <v>1</v>
      </c>
      <c r="B102">
        <v>1</v>
      </c>
      <c r="C102">
        <v>1</v>
      </c>
      <c r="D102">
        <f t="shared" si="8"/>
        <v>1</v>
      </c>
      <c r="E102">
        <f t="shared" si="9"/>
        <v>1</v>
      </c>
      <c r="F102">
        <f t="shared" si="10"/>
        <v>1</v>
      </c>
      <c r="G102">
        <f t="shared" si="11"/>
        <v>1</v>
      </c>
      <c r="H102">
        <v>0.51329999999999998</v>
      </c>
    </row>
    <row r="103" spans="1:8">
      <c r="A103">
        <v>-1</v>
      </c>
      <c r="B103">
        <v>1</v>
      </c>
      <c r="C103">
        <v>0</v>
      </c>
      <c r="D103">
        <f t="shared" si="8"/>
        <v>-1</v>
      </c>
      <c r="E103">
        <f t="shared" si="9"/>
        <v>0</v>
      </c>
      <c r="F103">
        <f t="shared" si="10"/>
        <v>0</v>
      </c>
      <c r="G103">
        <f t="shared" si="11"/>
        <v>0</v>
      </c>
      <c r="H103">
        <v>0.64400000000000002</v>
      </c>
    </row>
    <row r="104" spans="1:8">
      <c r="A104">
        <v>0</v>
      </c>
      <c r="B104">
        <v>1</v>
      </c>
      <c r="C104">
        <v>-1</v>
      </c>
      <c r="D104">
        <f t="shared" si="8"/>
        <v>0</v>
      </c>
      <c r="E104">
        <f t="shared" si="9"/>
        <v>0</v>
      </c>
      <c r="F104">
        <f t="shared" si="10"/>
        <v>-1</v>
      </c>
      <c r="G104">
        <f t="shared" si="11"/>
        <v>0</v>
      </c>
      <c r="H104">
        <v>0.64700000000000002</v>
      </c>
    </row>
    <row r="105" spans="1:8">
      <c r="A105">
        <v>1</v>
      </c>
      <c r="B105">
        <v>-1</v>
      </c>
      <c r="C105">
        <v>1</v>
      </c>
      <c r="D105">
        <f t="shared" si="8"/>
        <v>-1</v>
      </c>
      <c r="E105">
        <f t="shared" si="9"/>
        <v>1</v>
      </c>
      <c r="F105">
        <f t="shared" si="10"/>
        <v>-1</v>
      </c>
      <c r="G105">
        <f t="shared" si="11"/>
        <v>-1</v>
      </c>
      <c r="H105">
        <v>0.28870000000000001</v>
      </c>
    </row>
    <row r="106" spans="1:8">
      <c r="A106">
        <v>0</v>
      </c>
      <c r="B106">
        <v>0</v>
      </c>
      <c r="C106">
        <v>1</v>
      </c>
      <c r="D106">
        <f t="shared" si="8"/>
        <v>0</v>
      </c>
      <c r="E106">
        <f t="shared" si="9"/>
        <v>0</v>
      </c>
      <c r="F106">
        <f t="shared" si="10"/>
        <v>0</v>
      </c>
      <c r="G106">
        <f t="shared" si="11"/>
        <v>0</v>
      </c>
      <c r="H106">
        <v>0.66600000000000004</v>
      </c>
    </row>
    <row r="107" spans="1:8">
      <c r="A107">
        <v>1</v>
      </c>
      <c r="B107">
        <v>-1</v>
      </c>
      <c r="C107">
        <v>-1</v>
      </c>
      <c r="D107">
        <f t="shared" si="8"/>
        <v>-1</v>
      </c>
      <c r="E107">
        <f t="shared" si="9"/>
        <v>-1</v>
      </c>
      <c r="F107">
        <f t="shared" si="10"/>
        <v>1</v>
      </c>
      <c r="G107">
        <f t="shared" si="11"/>
        <v>1</v>
      </c>
      <c r="H107">
        <v>0.35699999999999998</v>
      </c>
    </row>
    <row r="108" spans="1:8">
      <c r="A108">
        <v>-1</v>
      </c>
      <c r="B108">
        <v>-1</v>
      </c>
      <c r="C108">
        <v>-1</v>
      </c>
      <c r="D108">
        <f t="shared" si="8"/>
        <v>1</v>
      </c>
      <c r="E108">
        <f t="shared" si="9"/>
        <v>1</v>
      </c>
      <c r="F108">
        <f t="shared" si="10"/>
        <v>1</v>
      </c>
      <c r="G108">
        <f t="shared" si="11"/>
        <v>-1</v>
      </c>
      <c r="H108">
        <v>0.40849999999999997</v>
      </c>
    </row>
    <row r="109" spans="1:8">
      <c r="A109">
        <v>-1</v>
      </c>
      <c r="B109">
        <v>0</v>
      </c>
      <c r="C109">
        <v>-1</v>
      </c>
      <c r="D109">
        <f t="shared" si="8"/>
        <v>0</v>
      </c>
      <c r="E109">
        <f t="shared" si="9"/>
        <v>1</v>
      </c>
      <c r="F109">
        <f t="shared" si="10"/>
        <v>0</v>
      </c>
      <c r="G109">
        <f t="shared" si="11"/>
        <v>0</v>
      </c>
      <c r="H109">
        <v>0.48680000000000001</v>
      </c>
    </row>
    <row r="110" spans="1:8">
      <c r="A110">
        <v>1</v>
      </c>
      <c r="B110">
        <v>0</v>
      </c>
      <c r="C110">
        <v>1</v>
      </c>
      <c r="D110">
        <f t="shared" si="8"/>
        <v>0</v>
      </c>
      <c r="E110">
        <f t="shared" si="9"/>
        <v>1</v>
      </c>
      <c r="F110">
        <f t="shared" si="10"/>
        <v>0</v>
      </c>
      <c r="G110">
        <f t="shared" si="11"/>
        <v>0</v>
      </c>
      <c r="H110">
        <v>0.84430000000000005</v>
      </c>
    </row>
    <row r="111" spans="1:8">
      <c r="A111">
        <v>-1</v>
      </c>
      <c r="B111">
        <v>1</v>
      </c>
      <c r="C111">
        <v>-1</v>
      </c>
      <c r="D111">
        <f t="shared" si="8"/>
        <v>-1</v>
      </c>
      <c r="E111">
        <f t="shared" si="9"/>
        <v>1</v>
      </c>
      <c r="F111">
        <f t="shared" si="10"/>
        <v>-1</v>
      </c>
      <c r="G111">
        <f t="shared" si="11"/>
        <v>1</v>
      </c>
      <c r="H111">
        <v>0.35949999999999999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NDVI</vt:lpstr>
      <vt:lpstr>Minitab - príprava dát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Nikolas Blahušiak</dc:creator>
  <cp:lastModifiedBy>Janette Kotianová</cp:lastModifiedBy>
  <dcterms:created xsi:type="dcterms:W3CDTF">2025-09-28T09:42:23Z</dcterms:created>
  <dcterms:modified xsi:type="dcterms:W3CDTF">2026-02-02T16:01:00Z</dcterms:modified>
</cp:coreProperties>
</file>