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persons/person.xml" ContentType="application/vnd.ms-excel.person+xml"/>
  <Override PartName="/xl/charts/colors110.xml" ContentType="application/vnd.ms-office.chartcolorstyle+xml"/>
  <Override PartName="/xl/charts/style1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tianova\Desktop\stranka mmpve\"/>
    </mc:Choice>
  </mc:AlternateContent>
  <bookViews>
    <workbookView xWindow="0" yWindow="0" windowWidth="25125" windowHeight="12330"/>
  </bookViews>
  <sheets>
    <sheet name="Hárok1" sheetId="1" r:id="rId1"/>
    <sheet name="Testy" sheetId="2" r:id="rId2"/>
    <sheet name="Grafy" sheetId="3" r:id="rId3"/>
    <sheet name="Validácia" sheetId="5" r:id="rId4"/>
    <sheet name="Porovnanie" sheetId="6" r:id="rId5"/>
  </sheets>
  <definedNames>
    <definedName name="_xlnm._FilterDatabase" localSheetId="2" hidden="1">Grafy!$B$50:$E$70</definedName>
    <definedName name="_xlchart.v1.0" hidden="1">Validácia!$E$29:$E$43</definedName>
    <definedName name="_xlchart.v1.1" hidden="1">Validácia!$J$29:$J$43</definedName>
    <definedName name="solver_adj" localSheetId="3" hidden="1">Validácia!$D$93:$D$95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Validácia!$D$93</definedName>
    <definedName name="solver_lhs2" localSheetId="3" hidden="1">Validácia!$D$93</definedName>
    <definedName name="solver_lhs3" localSheetId="3" hidden="1">Validácia!$D$94</definedName>
    <definedName name="solver_lhs4" localSheetId="3" hidden="1">Validácia!$D$94</definedName>
    <definedName name="solver_lhs5" localSheetId="3" hidden="1">Validácia!$D$95</definedName>
    <definedName name="solver_lhs6" localSheetId="3" hidden="1">Validácia!$D$95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6</definedName>
    <definedName name="solver_nwt" localSheetId="3" hidden="1">1</definedName>
    <definedName name="solver_opt" localSheetId="3" hidden="1">Validácia!$D$98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3</definedName>
    <definedName name="solver_rel3" localSheetId="3" hidden="1">1</definedName>
    <definedName name="solver_rel4" localSheetId="3" hidden="1">3</definedName>
    <definedName name="solver_rel5" localSheetId="3" hidden="1">1</definedName>
    <definedName name="solver_rel6" localSheetId="3" hidden="1">3</definedName>
    <definedName name="solver_rhs1" localSheetId="3" hidden="1">1</definedName>
    <definedName name="solver_rhs2" localSheetId="3" hidden="1">-1</definedName>
    <definedName name="solver_rhs3" localSheetId="3" hidden="1">1</definedName>
    <definedName name="solver_rhs4" localSheetId="3" hidden="1">-1</definedName>
    <definedName name="solver_rhs5" localSheetId="3" hidden="1">1</definedName>
    <definedName name="solver_rhs6" localSheetId="3" hidden="1">-1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200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5" l="1"/>
  <c r="C107" i="5"/>
  <c r="C106" i="5"/>
  <c r="C102" i="5"/>
  <c r="C103" i="5"/>
  <c r="C101" i="5"/>
  <c r="D97" i="5"/>
  <c r="D96" i="5"/>
  <c r="C78" i="5"/>
  <c r="C77" i="5"/>
  <c r="C76" i="5"/>
  <c r="C74" i="5"/>
  <c r="C67" i="5"/>
  <c r="R63" i="5"/>
  <c r="R62" i="5"/>
  <c r="R61" i="5"/>
  <c r="R59" i="5"/>
  <c r="R55" i="5"/>
  <c r="R54" i="5"/>
  <c r="R52" i="5"/>
  <c r="C46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29" i="5"/>
  <c r="M22" i="5"/>
  <c r="M21" i="5"/>
  <c r="H7" i="5"/>
  <c r="M8" i="5" s="1"/>
  <c r="H6" i="5"/>
  <c r="M7" i="5" s="1"/>
  <c r="H5" i="5"/>
  <c r="M6" i="5" s="1"/>
  <c r="R3" i="5"/>
  <c r="N14" i="5" s="1"/>
  <c r="L22" i="5" s="1"/>
  <c r="P3" i="5"/>
  <c r="L14" i="5" s="1"/>
  <c r="L21" i="5" s="1"/>
  <c r="N3" i="5"/>
  <c r="J14" i="5" s="1"/>
  <c r="L20" i="5" s="1"/>
  <c r="L3" i="5"/>
  <c r="H14" i="5" s="1"/>
  <c r="L19" i="5" s="1"/>
  <c r="J3" i="5"/>
  <c r="H3" i="5"/>
  <c r="N57" i="3"/>
  <c r="N56" i="3"/>
  <c r="N55" i="3"/>
  <c r="N66" i="3"/>
  <c r="N65" i="3"/>
  <c r="N64" i="3"/>
  <c r="N75" i="3"/>
  <c r="N74" i="3"/>
  <c r="N73" i="3"/>
  <c r="M73" i="3"/>
  <c r="M74" i="3"/>
  <c r="L74" i="3"/>
  <c r="L73" i="3"/>
  <c r="M64" i="3"/>
  <c r="M65" i="3"/>
  <c r="L65" i="3"/>
  <c r="L64" i="3"/>
  <c r="M55" i="3"/>
  <c r="M56" i="3"/>
  <c r="L56" i="3"/>
  <c r="L55" i="3"/>
  <c r="H15" i="3"/>
  <c r="H16" i="3" s="1"/>
  <c r="H14" i="3"/>
  <c r="H10" i="3"/>
  <c r="H9" i="3"/>
  <c r="H5" i="3"/>
  <c r="H4" i="3"/>
  <c r="C306" i="2"/>
  <c r="C305" i="2"/>
  <c r="C304" i="2"/>
  <c r="C302" i="2"/>
  <c r="C298" i="2"/>
  <c r="C297" i="2"/>
  <c r="C295" i="2"/>
  <c r="C273" i="2"/>
  <c r="C275" i="2" s="1"/>
  <c r="D264" i="2"/>
  <c r="D265" i="2" s="1"/>
  <c r="J255" i="2"/>
  <c r="I242" i="2"/>
  <c r="K242" i="2" s="1"/>
  <c r="I243" i="2"/>
  <c r="K243" i="2" s="1"/>
  <c r="I244" i="2"/>
  <c r="K244" i="2" s="1"/>
  <c r="I245" i="2"/>
  <c r="K245" i="2" s="1"/>
  <c r="I246" i="2"/>
  <c r="K246" i="2" s="1"/>
  <c r="I247" i="2"/>
  <c r="K247" i="2" s="1"/>
  <c r="I248" i="2"/>
  <c r="K248" i="2" s="1"/>
  <c r="I249" i="2"/>
  <c r="K249" i="2" s="1"/>
  <c r="I250" i="2"/>
  <c r="K250" i="2" s="1"/>
  <c r="I251" i="2"/>
  <c r="K251" i="2" s="1"/>
  <c r="I252" i="2"/>
  <c r="K252" i="2" s="1"/>
  <c r="I253" i="2"/>
  <c r="K253" i="2" s="1"/>
  <c r="I254" i="2"/>
  <c r="K254" i="2" s="1"/>
  <c r="I255" i="2"/>
  <c r="K255" i="2" s="1"/>
  <c r="I256" i="2"/>
  <c r="K256" i="2" s="1"/>
  <c r="I257" i="2"/>
  <c r="K257" i="2" s="1"/>
  <c r="I258" i="2"/>
  <c r="K258" i="2" s="1"/>
  <c r="I259" i="2"/>
  <c r="K259" i="2" s="1"/>
  <c r="I260" i="2"/>
  <c r="K260" i="2" s="1"/>
  <c r="I241" i="2"/>
  <c r="K241" i="2" s="1"/>
  <c r="H242" i="2"/>
  <c r="J242" i="2" s="1"/>
  <c r="H243" i="2"/>
  <c r="J243" i="2" s="1"/>
  <c r="H244" i="2"/>
  <c r="J244" i="2" s="1"/>
  <c r="H245" i="2"/>
  <c r="J245" i="2" s="1"/>
  <c r="H246" i="2"/>
  <c r="J246" i="2" s="1"/>
  <c r="H247" i="2"/>
  <c r="J247" i="2" s="1"/>
  <c r="H248" i="2"/>
  <c r="J248" i="2" s="1"/>
  <c r="H249" i="2"/>
  <c r="J249" i="2" s="1"/>
  <c r="H250" i="2"/>
  <c r="J250" i="2" s="1"/>
  <c r="H251" i="2"/>
  <c r="J251" i="2" s="1"/>
  <c r="H252" i="2"/>
  <c r="J252" i="2" s="1"/>
  <c r="H253" i="2"/>
  <c r="J253" i="2" s="1"/>
  <c r="H254" i="2"/>
  <c r="J254" i="2" s="1"/>
  <c r="H255" i="2"/>
  <c r="H256" i="2"/>
  <c r="J256" i="2" s="1"/>
  <c r="H257" i="2"/>
  <c r="J257" i="2" s="1"/>
  <c r="H258" i="2"/>
  <c r="J258" i="2" s="1"/>
  <c r="H259" i="2"/>
  <c r="J259" i="2" s="1"/>
  <c r="H260" i="2"/>
  <c r="J260" i="2" s="1"/>
  <c r="H241" i="2"/>
  <c r="J241" i="2" s="1"/>
  <c r="C218" i="2"/>
  <c r="C225" i="2" s="1"/>
  <c r="C221" i="2"/>
  <c r="C220" i="2"/>
  <c r="C227" i="2" s="1"/>
  <c r="C229" i="2" s="1"/>
  <c r="K108" i="2"/>
  <c r="K110" i="2" s="1"/>
  <c r="H115" i="2"/>
  <c r="H114" i="2"/>
  <c r="C103" i="2"/>
  <c r="C102" i="2"/>
  <c r="K59" i="2"/>
  <c r="G83" i="2"/>
  <c r="I68" i="2"/>
  <c r="C84" i="2" s="1"/>
  <c r="C83" i="2" s="1"/>
  <c r="L52" i="2" s="1"/>
  <c r="L54" i="2" s="1"/>
  <c r="H64" i="2"/>
  <c r="J8" i="2"/>
  <c r="J10" i="2" s="1"/>
  <c r="J7" i="2"/>
  <c r="J14" i="2" s="1"/>
  <c r="B225" i="1"/>
  <c r="B3" i="2" s="1"/>
  <c r="B47" i="2" s="1"/>
  <c r="C225" i="1"/>
  <c r="C3" i="2" s="1"/>
  <c r="C47" i="2" s="1"/>
  <c r="D225" i="1"/>
  <c r="D3" i="2" s="1"/>
  <c r="D47" i="2" s="1"/>
  <c r="E225" i="1"/>
  <c r="E3" i="2" s="1"/>
  <c r="E47" i="2" s="1"/>
  <c r="F225" i="1"/>
  <c r="F3" i="2" s="1"/>
  <c r="F47" i="2" s="1"/>
  <c r="G225" i="1"/>
  <c r="G3" i="2" s="1"/>
  <c r="G47" i="2" s="1"/>
  <c r="G226" i="1"/>
  <c r="G4" i="2" s="1"/>
  <c r="G48" i="2" s="1"/>
  <c r="G227" i="1"/>
  <c r="G5" i="2" s="1"/>
  <c r="G49" i="2" s="1"/>
  <c r="G228" i="1"/>
  <c r="G6" i="2" s="1"/>
  <c r="G50" i="2" s="1"/>
  <c r="G229" i="1"/>
  <c r="G7" i="2" s="1"/>
  <c r="G51" i="2" s="1"/>
  <c r="G230" i="1"/>
  <c r="G8" i="2" s="1"/>
  <c r="G52" i="2" s="1"/>
  <c r="G231" i="1"/>
  <c r="G9" i="2" s="1"/>
  <c r="G53" i="2" s="1"/>
  <c r="G232" i="1"/>
  <c r="G10" i="2" s="1"/>
  <c r="G54" i="2" s="1"/>
  <c r="G233" i="1"/>
  <c r="G11" i="2" s="1"/>
  <c r="G55" i="2" s="1"/>
  <c r="G234" i="1"/>
  <c r="G12" i="2" s="1"/>
  <c r="G56" i="2" s="1"/>
  <c r="G235" i="1"/>
  <c r="G13" i="2" s="1"/>
  <c r="G57" i="2" s="1"/>
  <c r="G236" i="1"/>
  <c r="G14" i="2" s="1"/>
  <c r="G58" i="2" s="1"/>
  <c r="G237" i="1"/>
  <c r="G15" i="2" s="1"/>
  <c r="G59" i="2" s="1"/>
  <c r="G238" i="1"/>
  <c r="G16" i="2" s="1"/>
  <c r="G60" i="2" s="1"/>
  <c r="G239" i="1"/>
  <c r="G17" i="2" s="1"/>
  <c r="G61" i="2" s="1"/>
  <c r="G240" i="1"/>
  <c r="G18" i="2" s="1"/>
  <c r="G62" i="2" s="1"/>
  <c r="G241" i="1"/>
  <c r="G19" i="2" s="1"/>
  <c r="G63" i="2" s="1"/>
  <c r="D217" i="1"/>
  <c r="M211" i="1"/>
  <c r="M217" i="1" s="1"/>
  <c r="K211" i="1"/>
  <c r="K217" i="1" s="1"/>
  <c r="I211" i="1"/>
  <c r="I217" i="1" s="1"/>
  <c r="G211" i="1"/>
  <c r="G217" i="1" s="1"/>
  <c r="E211" i="1"/>
  <c r="E217" i="1" s="1"/>
  <c r="C211" i="1"/>
  <c r="C217" i="1" s="1"/>
  <c r="D98" i="5" l="1"/>
  <c r="M9" i="5"/>
  <c r="M10" i="5"/>
  <c r="M11" i="5" s="1"/>
  <c r="D14" i="5"/>
  <c r="H8" i="5"/>
  <c r="F14" i="5"/>
  <c r="L18" i="5" s="1"/>
  <c r="E219" i="1"/>
  <c r="M219" i="1"/>
  <c r="I219" i="1"/>
  <c r="K219" i="1"/>
  <c r="G219" i="1"/>
  <c r="C219" i="1"/>
  <c r="H11" i="3"/>
  <c r="H6" i="3"/>
  <c r="J261" i="2"/>
  <c r="K261" i="2"/>
  <c r="C228" i="2"/>
  <c r="O103" i="2"/>
  <c r="H56" i="2"/>
  <c r="H48" i="2"/>
  <c r="H50" i="2"/>
  <c r="H52" i="2"/>
  <c r="H54" i="2"/>
  <c r="H62" i="2"/>
  <c r="H58" i="2"/>
  <c r="H60" i="2"/>
  <c r="D16" i="5" l="1"/>
  <c r="L17" i="5"/>
  <c r="M23" i="5" s="1"/>
  <c r="H68" i="2"/>
  <c r="D84" i="2" s="1"/>
  <c r="D83" i="2" s="1"/>
  <c r="D263" i="2"/>
  <c r="D266" i="2" s="1"/>
  <c r="C272" i="2" s="1"/>
  <c r="C277" i="2" s="1"/>
  <c r="E84" i="2" l="1"/>
  <c r="K107" i="2"/>
  <c r="K115" i="2" s="1"/>
  <c r="L51" i="2"/>
  <c r="L59" i="2" s="1"/>
  <c r="E83" i="2"/>
  <c r="F83" i="2" s="1"/>
  <c r="H83" i="2" s="1"/>
  <c r="O105" i="1"/>
  <c r="N105" i="1"/>
  <c r="O104" i="1"/>
  <c r="N104" i="1"/>
  <c r="O103" i="1"/>
  <c r="N103" i="1"/>
  <c r="H117" i="1" s="1"/>
  <c r="D137" i="1" s="1"/>
  <c r="I60" i="1"/>
  <c r="I62" i="1"/>
  <c r="I64" i="1"/>
  <c r="I66" i="1"/>
  <c r="I68" i="1"/>
  <c r="I70" i="1"/>
  <c r="I72" i="1"/>
  <c r="I58" i="1"/>
  <c r="I114" i="1" l="1"/>
  <c r="E134" i="1" s="1"/>
  <c r="J109" i="1"/>
  <c r="F129" i="1" s="1"/>
  <c r="F168" i="1" s="1"/>
  <c r="D230" i="1" s="1"/>
  <c r="D8" i="2" s="1"/>
  <c r="D52" i="2" s="1"/>
  <c r="J106" i="1"/>
  <c r="F126" i="1" s="1"/>
  <c r="F165" i="1" s="1"/>
  <c r="D227" i="1" s="1"/>
  <c r="D5" i="2" s="1"/>
  <c r="D49" i="2" s="1"/>
  <c r="H112" i="1"/>
  <c r="D132" i="1" s="1"/>
  <c r="H107" i="1"/>
  <c r="D127" i="1" s="1"/>
  <c r="D166" i="1" s="1"/>
  <c r="B228" i="1" s="1"/>
  <c r="B6" i="2" s="1"/>
  <c r="B50" i="2" s="1"/>
  <c r="H109" i="1"/>
  <c r="D129" i="1" s="1"/>
  <c r="D168" i="1" s="1"/>
  <c r="B230" i="1" s="1"/>
  <c r="B8" i="2" s="1"/>
  <c r="B52" i="2" s="1"/>
  <c r="H108" i="1"/>
  <c r="D128" i="1" s="1"/>
  <c r="D167" i="1" s="1"/>
  <c r="B229" i="1" s="1"/>
  <c r="B7" i="2" s="1"/>
  <c r="B51" i="2" s="1"/>
  <c r="H106" i="1"/>
  <c r="D126" i="1" s="1"/>
  <c r="H126" i="1" s="1"/>
  <c r="H165" i="1" s="1"/>
  <c r="F227" i="1" s="1"/>
  <c r="F5" i="2" s="1"/>
  <c r="F49" i="2" s="1"/>
  <c r="I113" i="1"/>
  <c r="E133" i="1" s="1"/>
  <c r="E172" i="1" s="1"/>
  <c r="C234" i="1" s="1"/>
  <c r="C12" i="2" s="1"/>
  <c r="C56" i="2" s="1"/>
  <c r="H105" i="1"/>
  <c r="D125" i="1" s="1"/>
  <c r="D164" i="1" s="1"/>
  <c r="B226" i="1" s="1"/>
  <c r="B4" i="2" s="1"/>
  <c r="B48" i="2" s="1"/>
  <c r="J105" i="1"/>
  <c r="F125" i="1" s="1"/>
  <c r="F164" i="1" s="1"/>
  <c r="D226" i="1" s="1"/>
  <c r="D4" i="2" s="1"/>
  <c r="D48" i="2" s="1"/>
  <c r="H120" i="1"/>
  <c r="D140" i="1" s="1"/>
  <c r="D179" i="1" s="1"/>
  <c r="B241" i="1" s="1"/>
  <c r="B19" i="2" s="1"/>
  <c r="B63" i="2" s="1"/>
  <c r="J117" i="1"/>
  <c r="F137" i="1" s="1"/>
  <c r="F176" i="1" s="1"/>
  <c r="D238" i="1" s="1"/>
  <c r="D16" i="2" s="1"/>
  <c r="D60" i="2" s="1"/>
  <c r="H119" i="1"/>
  <c r="D139" i="1" s="1"/>
  <c r="D178" i="1" s="1"/>
  <c r="B240" i="1" s="1"/>
  <c r="B18" i="2" s="1"/>
  <c r="B62" i="2" s="1"/>
  <c r="J116" i="1"/>
  <c r="F136" i="1" s="1"/>
  <c r="F175" i="1" s="1"/>
  <c r="D237" i="1" s="1"/>
  <c r="D15" i="2" s="1"/>
  <c r="D59" i="2" s="1"/>
  <c r="H118" i="1"/>
  <c r="D138" i="1" s="1"/>
  <c r="J114" i="1"/>
  <c r="F134" i="1" s="1"/>
  <c r="F173" i="1" s="1"/>
  <c r="D235" i="1" s="1"/>
  <c r="D13" i="2" s="1"/>
  <c r="D57" i="2" s="1"/>
  <c r="I117" i="1"/>
  <c r="E137" i="1" s="1"/>
  <c r="E176" i="1" s="1"/>
  <c r="C238" i="1" s="1"/>
  <c r="C16" i="2" s="1"/>
  <c r="C60" i="2" s="1"/>
  <c r="J115" i="1"/>
  <c r="F135" i="1" s="1"/>
  <c r="F174" i="1" s="1"/>
  <c r="D236" i="1" s="1"/>
  <c r="D14" i="2" s="1"/>
  <c r="D58" i="2" s="1"/>
  <c r="H110" i="1"/>
  <c r="D130" i="1" s="1"/>
  <c r="H113" i="1"/>
  <c r="D133" i="1" s="1"/>
  <c r="J111" i="1"/>
  <c r="F131" i="1" s="1"/>
  <c r="F170" i="1" s="1"/>
  <c r="D232" i="1" s="1"/>
  <c r="D10" i="2" s="1"/>
  <c r="D54" i="2" s="1"/>
  <c r="E173" i="1"/>
  <c r="C235" i="1" s="1"/>
  <c r="C13" i="2" s="1"/>
  <c r="C57" i="2" s="1"/>
  <c r="I134" i="1"/>
  <c r="I173" i="1" s="1"/>
  <c r="I112" i="1"/>
  <c r="E132" i="1" s="1"/>
  <c r="I111" i="1"/>
  <c r="E131" i="1" s="1"/>
  <c r="I110" i="1"/>
  <c r="E130" i="1" s="1"/>
  <c r="D176" i="1"/>
  <c r="B238" i="1" s="1"/>
  <c r="B16" i="2" s="1"/>
  <c r="B60" i="2" s="1"/>
  <c r="I105" i="1"/>
  <c r="E125" i="1" s="1"/>
  <c r="I109" i="1"/>
  <c r="E129" i="1" s="1"/>
  <c r="J129" i="1" s="1"/>
  <c r="J168" i="1" s="1"/>
  <c r="J113" i="1"/>
  <c r="F133" i="1" s="1"/>
  <c r="F172" i="1" s="1"/>
  <c r="D234" i="1" s="1"/>
  <c r="D12" i="2" s="1"/>
  <c r="D56" i="2" s="1"/>
  <c r="H116" i="1"/>
  <c r="D136" i="1" s="1"/>
  <c r="I120" i="1"/>
  <c r="E140" i="1" s="1"/>
  <c r="I108" i="1"/>
  <c r="E128" i="1" s="1"/>
  <c r="J112" i="1"/>
  <c r="F132" i="1" s="1"/>
  <c r="F171" i="1" s="1"/>
  <c r="D233" i="1" s="1"/>
  <c r="D11" i="2" s="1"/>
  <c r="D55" i="2" s="1"/>
  <c r="H115" i="1"/>
  <c r="D135" i="1" s="1"/>
  <c r="I119" i="1"/>
  <c r="E139" i="1" s="1"/>
  <c r="I107" i="1"/>
  <c r="E127" i="1" s="1"/>
  <c r="H114" i="1"/>
  <c r="D134" i="1" s="1"/>
  <c r="I118" i="1"/>
  <c r="E138" i="1" s="1"/>
  <c r="I106" i="1"/>
  <c r="E126" i="1" s="1"/>
  <c r="J110" i="1"/>
  <c r="F130" i="1" s="1"/>
  <c r="F169" i="1" s="1"/>
  <c r="D231" i="1" s="1"/>
  <c r="D9" i="2" s="1"/>
  <c r="D53" i="2" s="1"/>
  <c r="D171" i="1"/>
  <c r="B233" i="1" s="1"/>
  <c r="B11" i="2" s="1"/>
  <c r="B55" i="2" s="1"/>
  <c r="I116" i="1"/>
  <c r="E136" i="1" s="1"/>
  <c r="J120" i="1"/>
  <c r="F140" i="1" s="1"/>
  <c r="F179" i="1" s="1"/>
  <c r="D241" i="1" s="1"/>
  <c r="D19" i="2" s="1"/>
  <c r="D63" i="2" s="1"/>
  <c r="J108" i="1"/>
  <c r="F128" i="1" s="1"/>
  <c r="F167" i="1" s="1"/>
  <c r="D229" i="1" s="1"/>
  <c r="D7" i="2" s="1"/>
  <c r="D51" i="2" s="1"/>
  <c r="H111" i="1"/>
  <c r="D131" i="1" s="1"/>
  <c r="I115" i="1"/>
  <c r="E135" i="1" s="1"/>
  <c r="J119" i="1"/>
  <c r="F139" i="1" s="1"/>
  <c r="F178" i="1" s="1"/>
  <c r="D240" i="1" s="1"/>
  <c r="D18" i="2" s="1"/>
  <c r="D62" i="2" s="1"/>
  <c r="J107" i="1"/>
  <c r="F127" i="1" s="1"/>
  <c r="F166" i="1" s="1"/>
  <c r="D228" i="1" s="1"/>
  <c r="D6" i="2" s="1"/>
  <c r="D50" i="2" s="1"/>
  <c r="J118" i="1"/>
  <c r="F138" i="1" s="1"/>
  <c r="F177" i="1" s="1"/>
  <c r="D239" i="1" s="1"/>
  <c r="D17" i="2" s="1"/>
  <c r="D61" i="2" s="1"/>
  <c r="G127" i="1" l="1"/>
  <c r="G166" i="1" s="1"/>
  <c r="E228" i="1" s="1"/>
  <c r="E6" i="2" s="1"/>
  <c r="E50" i="2" s="1"/>
  <c r="H129" i="1"/>
  <c r="H168" i="1" s="1"/>
  <c r="F230" i="1" s="1"/>
  <c r="F8" i="2" s="1"/>
  <c r="F52" i="2" s="1"/>
  <c r="G137" i="1"/>
  <c r="G176" i="1" s="1"/>
  <c r="E238" i="1" s="1"/>
  <c r="E16" i="2" s="1"/>
  <c r="E60" i="2" s="1"/>
  <c r="G133" i="1"/>
  <c r="G172" i="1" s="1"/>
  <c r="E234" i="1" s="1"/>
  <c r="E12" i="2" s="1"/>
  <c r="E56" i="2" s="1"/>
  <c r="G132" i="1"/>
  <c r="G171" i="1" s="1"/>
  <c r="E233" i="1" s="1"/>
  <c r="E11" i="2" s="1"/>
  <c r="E55" i="2" s="1"/>
  <c r="D165" i="1"/>
  <c r="B227" i="1" s="1"/>
  <c r="B5" i="2" s="1"/>
  <c r="B49" i="2" s="1"/>
  <c r="G128" i="1"/>
  <c r="G167" i="1" s="1"/>
  <c r="E229" i="1" s="1"/>
  <c r="E7" i="2" s="1"/>
  <c r="E51" i="2" s="1"/>
  <c r="I137" i="1"/>
  <c r="I176" i="1" s="1"/>
  <c r="H130" i="1"/>
  <c r="H169" i="1" s="1"/>
  <c r="F231" i="1" s="1"/>
  <c r="F9" i="2" s="1"/>
  <c r="F53" i="2" s="1"/>
  <c r="J137" i="1"/>
  <c r="J176" i="1" s="1"/>
  <c r="H125" i="1"/>
  <c r="H164" i="1" s="1"/>
  <c r="F226" i="1" s="1"/>
  <c r="F4" i="2" s="1"/>
  <c r="F48" i="2" s="1"/>
  <c r="H137" i="1"/>
  <c r="H176" i="1" s="1"/>
  <c r="F238" i="1" s="1"/>
  <c r="F16" i="2" s="1"/>
  <c r="F60" i="2" s="1"/>
  <c r="D172" i="1"/>
  <c r="B234" i="1" s="1"/>
  <c r="B12" i="2" s="1"/>
  <c r="B56" i="2" s="1"/>
  <c r="J125" i="1"/>
  <c r="J164" i="1" s="1"/>
  <c r="D169" i="1"/>
  <c r="B231" i="1" s="1"/>
  <c r="B9" i="2" s="1"/>
  <c r="B53" i="2" s="1"/>
  <c r="H138" i="1"/>
  <c r="H177" i="1" s="1"/>
  <c r="F239" i="1" s="1"/>
  <c r="F17" i="2" s="1"/>
  <c r="F61" i="2" s="1"/>
  <c r="G125" i="1"/>
  <c r="G164" i="1" s="1"/>
  <c r="E226" i="1" s="1"/>
  <c r="E4" i="2" s="1"/>
  <c r="E48" i="2" s="1"/>
  <c r="G139" i="1"/>
  <c r="G178" i="1" s="1"/>
  <c r="E240" i="1" s="1"/>
  <c r="E18" i="2" s="1"/>
  <c r="E62" i="2" s="1"/>
  <c r="D177" i="1"/>
  <c r="B239" i="1" s="1"/>
  <c r="B17" i="2" s="1"/>
  <c r="B61" i="2" s="1"/>
  <c r="J132" i="1"/>
  <c r="J171" i="1" s="1"/>
  <c r="J138" i="1"/>
  <c r="J177" i="1" s="1"/>
  <c r="J127" i="1"/>
  <c r="J166" i="1" s="1"/>
  <c r="G130" i="1"/>
  <c r="G169" i="1" s="1"/>
  <c r="E231" i="1" s="1"/>
  <c r="E9" i="2" s="1"/>
  <c r="E53" i="2" s="1"/>
  <c r="I129" i="1"/>
  <c r="I168" i="1" s="1"/>
  <c r="E168" i="1"/>
  <c r="C230" i="1" s="1"/>
  <c r="C8" i="2" s="1"/>
  <c r="C52" i="2" s="1"/>
  <c r="J139" i="1"/>
  <c r="J178" i="1" s="1"/>
  <c r="E179" i="1"/>
  <c r="C241" i="1" s="1"/>
  <c r="C19" i="2" s="1"/>
  <c r="C63" i="2" s="1"/>
  <c r="I140" i="1"/>
  <c r="I179" i="1" s="1"/>
  <c r="J140" i="1"/>
  <c r="J179" i="1" s="1"/>
  <c r="E165" i="1"/>
  <c r="C227" i="1" s="1"/>
  <c r="C5" i="2" s="1"/>
  <c r="C49" i="2" s="1"/>
  <c r="I126" i="1"/>
  <c r="I165" i="1" s="1"/>
  <c r="I125" i="1"/>
  <c r="I164" i="1" s="1"/>
  <c r="E164" i="1"/>
  <c r="C226" i="1" s="1"/>
  <c r="C4" i="2" s="1"/>
  <c r="C48" i="2" s="1"/>
  <c r="H127" i="1"/>
  <c r="H166" i="1" s="1"/>
  <c r="F228" i="1" s="1"/>
  <c r="F6" i="2" s="1"/>
  <c r="F50" i="2" s="1"/>
  <c r="H139" i="1"/>
  <c r="H178" i="1" s="1"/>
  <c r="F240" i="1" s="1"/>
  <c r="F18" i="2" s="1"/>
  <c r="F62" i="2" s="1"/>
  <c r="J130" i="1"/>
  <c r="J169" i="1" s="1"/>
  <c r="J134" i="1"/>
  <c r="J173" i="1" s="1"/>
  <c r="D173" i="1"/>
  <c r="B235" i="1" s="1"/>
  <c r="B13" i="2" s="1"/>
  <c r="B57" i="2" s="1"/>
  <c r="H134" i="1"/>
  <c r="H173" i="1" s="1"/>
  <c r="F235" i="1" s="1"/>
  <c r="F13" i="2" s="1"/>
  <c r="F57" i="2" s="1"/>
  <c r="G134" i="1"/>
  <c r="G173" i="1" s="1"/>
  <c r="E235" i="1" s="1"/>
  <c r="E13" i="2" s="1"/>
  <c r="E57" i="2" s="1"/>
  <c r="I127" i="1"/>
  <c r="I166" i="1" s="1"/>
  <c r="E166" i="1"/>
  <c r="C228" i="1" s="1"/>
  <c r="C6" i="2" s="1"/>
  <c r="C50" i="2" s="1"/>
  <c r="J133" i="1"/>
  <c r="J172" i="1" s="1"/>
  <c r="G135" i="1"/>
  <c r="G174" i="1" s="1"/>
  <c r="E236" i="1" s="1"/>
  <c r="E14" i="2" s="1"/>
  <c r="E58" i="2" s="1"/>
  <c r="D174" i="1"/>
  <c r="B236" i="1" s="1"/>
  <c r="B14" i="2" s="1"/>
  <c r="B58" i="2" s="1"/>
  <c r="J135" i="1"/>
  <c r="J174" i="1" s="1"/>
  <c r="H135" i="1"/>
  <c r="H174" i="1" s="1"/>
  <c r="F236" i="1" s="1"/>
  <c r="F14" i="2" s="1"/>
  <c r="F58" i="2" s="1"/>
  <c r="J126" i="1"/>
  <c r="J165" i="1" s="1"/>
  <c r="J128" i="1"/>
  <c r="J167" i="1" s="1"/>
  <c r="I131" i="1"/>
  <c r="I170" i="1" s="1"/>
  <c r="E170" i="1"/>
  <c r="C232" i="1" s="1"/>
  <c r="C10" i="2" s="1"/>
  <c r="C54" i="2" s="1"/>
  <c r="E171" i="1"/>
  <c r="C233" i="1" s="1"/>
  <c r="C11" i="2" s="1"/>
  <c r="C55" i="2" s="1"/>
  <c r="I132" i="1"/>
  <c r="I171" i="1" s="1"/>
  <c r="D170" i="1"/>
  <c r="B232" i="1" s="1"/>
  <c r="B10" i="2" s="1"/>
  <c r="B54" i="2" s="1"/>
  <c r="G131" i="1"/>
  <c r="G170" i="1" s="1"/>
  <c r="E232" i="1" s="1"/>
  <c r="E10" i="2" s="1"/>
  <c r="E54" i="2" s="1"/>
  <c r="H131" i="1"/>
  <c r="H170" i="1" s="1"/>
  <c r="F232" i="1" s="1"/>
  <c r="F10" i="2" s="1"/>
  <c r="F54" i="2" s="1"/>
  <c r="J131" i="1"/>
  <c r="J170" i="1" s="1"/>
  <c r="G126" i="1"/>
  <c r="G165" i="1" s="1"/>
  <c r="E227" i="1" s="1"/>
  <c r="E5" i="2" s="1"/>
  <c r="E49" i="2" s="1"/>
  <c r="G136" i="1"/>
  <c r="G175" i="1" s="1"/>
  <c r="E237" i="1" s="1"/>
  <c r="E15" i="2" s="1"/>
  <c r="E59" i="2" s="1"/>
  <c r="D175" i="1"/>
  <c r="B237" i="1" s="1"/>
  <c r="B15" i="2" s="1"/>
  <c r="B59" i="2" s="1"/>
  <c r="H136" i="1"/>
  <c r="H175" i="1" s="1"/>
  <c r="F237" i="1" s="1"/>
  <c r="F15" i="2" s="1"/>
  <c r="F59" i="2" s="1"/>
  <c r="J136" i="1"/>
  <c r="J175" i="1" s="1"/>
  <c r="G140" i="1"/>
  <c r="G179" i="1" s="1"/>
  <c r="E241" i="1" s="1"/>
  <c r="E19" i="2" s="1"/>
  <c r="E63" i="2" s="1"/>
  <c r="H133" i="1"/>
  <c r="H172" i="1" s="1"/>
  <c r="F234" i="1" s="1"/>
  <c r="F12" i="2" s="1"/>
  <c r="F56" i="2" s="1"/>
  <c r="E177" i="1"/>
  <c r="C239" i="1" s="1"/>
  <c r="C17" i="2" s="1"/>
  <c r="C61" i="2" s="1"/>
  <c r="I138" i="1"/>
  <c r="I177" i="1" s="1"/>
  <c r="I135" i="1"/>
  <c r="I174" i="1" s="1"/>
  <c r="E174" i="1"/>
  <c r="C236" i="1" s="1"/>
  <c r="C14" i="2" s="1"/>
  <c r="C58" i="2" s="1"/>
  <c r="I133" i="1"/>
  <c r="I172" i="1" s="1"/>
  <c r="E178" i="1"/>
  <c r="C240" i="1" s="1"/>
  <c r="C18" i="2" s="1"/>
  <c r="C62" i="2" s="1"/>
  <c r="I139" i="1"/>
  <c r="I178" i="1" s="1"/>
  <c r="H128" i="1"/>
  <c r="H167" i="1" s="1"/>
  <c r="F229" i="1" s="1"/>
  <c r="F7" i="2" s="1"/>
  <c r="F51" i="2" s="1"/>
  <c r="I130" i="1"/>
  <c r="I169" i="1" s="1"/>
  <c r="E169" i="1"/>
  <c r="C231" i="1" s="1"/>
  <c r="C9" i="2" s="1"/>
  <c r="C53" i="2" s="1"/>
  <c r="G129" i="1"/>
  <c r="G168" i="1" s="1"/>
  <c r="E230" i="1" s="1"/>
  <c r="E8" i="2" s="1"/>
  <c r="E52" i="2" s="1"/>
  <c r="E175" i="1"/>
  <c r="C237" i="1" s="1"/>
  <c r="C15" i="2" s="1"/>
  <c r="C59" i="2" s="1"/>
  <c r="I136" i="1"/>
  <c r="I175" i="1" s="1"/>
  <c r="H132" i="1"/>
  <c r="H171" i="1" s="1"/>
  <c r="F233" i="1" s="1"/>
  <c r="F11" i="2" s="1"/>
  <c r="F55" i="2" s="1"/>
  <c r="E167" i="1"/>
  <c r="C229" i="1" s="1"/>
  <c r="C7" i="2" s="1"/>
  <c r="C51" i="2" s="1"/>
  <c r="I128" i="1"/>
  <c r="I167" i="1" s="1"/>
  <c r="G138" i="1"/>
  <c r="G177" i="1" s="1"/>
  <c r="E239" i="1" s="1"/>
  <c r="E17" i="2" s="1"/>
  <c r="E61" i="2" s="1"/>
  <c r="H140" i="1"/>
  <c r="H179" i="1" s="1"/>
  <c r="F241" i="1" s="1"/>
  <c r="F19" i="2" s="1"/>
  <c r="F63" i="2" s="1"/>
  <c r="C143" i="1" l="1" a="1"/>
  <c r="C143" i="1" l="1"/>
  <c r="C152" i="1" a="1"/>
  <c r="C152" i="1" l="1"/>
  <c r="F152" i="1" s="1"/>
  <c r="F159" i="1"/>
  <c r="F153" i="1"/>
  <c r="F157" i="1"/>
  <c r="F154" i="1"/>
  <c r="F158" i="1"/>
  <c r="F156" i="1"/>
  <c r="F155" i="1"/>
  <c r="C159" i="1"/>
  <c r="C158" i="1"/>
  <c r="C157" i="1"/>
  <c r="C156" i="1"/>
  <c r="C155" i="1"/>
  <c r="C154" i="1"/>
  <c r="C153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<sst xmlns="http://schemas.openxmlformats.org/spreadsheetml/2006/main" count="645" uniqueCount="283">
  <si>
    <t>Poradové číslo</t>
  </si>
  <si>
    <t>Dĺžka ramena [cm]</t>
  </si>
  <si>
    <t>Uhol odpalu [°]</t>
  </si>
  <si>
    <t>Napnutie gumičky [N]</t>
  </si>
  <si>
    <t>Hmotnosť guľôčky [g]</t>
  </si>
  <si>
    <t>Vzdialenosť dopadu [cm]</t>
  </si>
  <si>
    <t xml:space="preserve">Zo svojej profesijnej oblasti alebo záujmovej činnosti si zvoľte problém, ktorý je možné riešiť pomocou plánovaného experimentu. </t>
  </si>
  <si>
    <t xml:space="preserve">Vyberte si minimálne tri nezávislé a jednu závislú premennú, pri ktorých je možné nezávislé premenné merať minimálne na 3 úrovniach. </t>
  </si>
  <si>
    <t xml:space="preserve">Údaje, ktoré budete v práci vyhodnocovať, je potrebné reálne namerať, získať z prieskumu alebo z publikácii zverejnených v dostupných databázach, </t>
  </si>
  <si>
    <t xml:space="preserve">t.j. dáta by nemali byť z dôvodu zmysluplnosti interpretácii výsledkov vymyslené. Vlastné merania doložte obrázkom, náčrtom alebo fotografiou experimentu. </t>
  </si>
  <si>
    <t>Pri nameraných hodnotách prevzatých z dostupného zdroja je potrebné uviesť použitý zdroj. (±10 bodov)</t>
  </si>
  <si>
    <t xml:space="preserve">Ako faktory experimentu boli zvolené uhol odpalu 𝑥₁ ∈ 〈30; 60〉 °, napnutie gumičky 𝑥₂ ∈ 〈4,17; 4,80〉 N a hmotnosť guľôčky 𝑥₃ ∈ 〈6; 18〉 g. </t>
  </si>
  <si>
    <t>Merania boli realizované na dolných a horných úrovniach jednotlivých faktorov v rámci plného faktoriálneho experimentu typu 2³, pričom dĺžka ramena katapultu bola udržiavaná konštantná na hodnote 16 cm.</t>
  </si>
  <si>
    <t>ZADANIE:</t>
  </si>
  <si>
    <t>VYPRACOVANIE:</t>
  </si>
  <si>
    <t xml:space="preserve">S cieľom overenia vhodnosti navrhnutého lineárneho modelu a získania odhadu experimentálnej chyby boli experimentálne behy </t>
  </si>
  <si>
    <t>Namerané hodnoty je možné vidieť v následujúcich tabuľkách:</t>
  </si>
  <si>
    <t>Centrálne body:</t>
  </si>
  <si>
    <t>Fotografie z experimentu:</t>
  </si>
  <si>
    <t xml:space="preserve"> </t>
  </si>
  <si>
    <t>Priemer dopadu</t>
  </si>
  <si>
    <t xml:space="preserve">Bola skúmaná závislosť dopadu guľôčky od vybraných vstupných premenných pomocou simulačnej aplikácie Virtuálny katapult. </t>
  </si>
  <si>
    <t>1. Pomocou CPLOT-u zobrazte, aké priemerné odozvy boli namerané v jednotlivých bodoch plánovaného experimentu. (1 bod)</t>
  </si>
  <si>
    <t>2. Metódou najmenších štvorcov odhadnite koeficienty transformovanej regresnej funkcie lineárneho typu. (2 body)</t>
  </si>
  <si>
    <t>x1</t>
  </si>
  <si>
    <t>x2</t>
  </si>
  <si>
    <t>x3</t>
  </si>
  <si>
    <t>Y</t>
  </si>
  <si>
    <t>X=</t>
  </si>
  <si>
    <t>Transformacia:</t>
  </si>
  <si>
    <t>t1</t>
  </si>
  <si>
    <t>t2</t>
  </si>
  <si>
    <t>t3</t>
  </si>
  <si>
    <t>s</t>
  </si>
  <si>
    <t>lambda</t>
  </si>
  <si>
    <t>b0</t>
  </si>
  <si>
    <t>b1</t>
  </si>
  <si>
    <t>b2</t>
  </si>
  <si>
    <t>b3</t>
  </si>
  <si>
    <t>b12</t>
  </si>
  <si>
    <t>b13</t>
  </si>
  <si>
    <t>b23</t>
  </si>
  <si>
    <t>b123</t>
  </si>
  <si>
    <t>t1*t2</t>
  </si>
  <si>
    <t>t1*t3</t>
  </si>
  <si>
    <t>t2*t3</t>
  </si>
  <si>
    <t>t1*t2*t3</t>
  </si>
  <si>
    <t>XT=</t>
  </si>
  <si>
    <t>8x16</t>
  </si>
  <si>
    <t>XT*Y=</t>
  </si>
  <si>
    <t>b0=</t>
  </si>
  <si>
    <t>b1=</t>
  </si>
  <si>
    <t>b2=</t>
  </si>
  <si>
    <t>b3=</t>
  </si>
  <si>
    <t>b12=</t>
  </si>
  <si>
    <t>b13=</t>
  </si>
  <si>
    <t>b23=</t>
  </si>
  <si>
    <t>b123=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</si>
  <si>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</si>
  <si>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</si>
  <si>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</si>
  <si>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</si>
  <si>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</si>
  <si>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</si>
  <si>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</si>
  <si>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</si>
  <si>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</si>
  <si>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</si>
  <si>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</si>
  <si>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</si>
  <si>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</si>
  <si>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</si>
  <si>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</si>
  <si>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</si>
  <si>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</si>
  <si>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</si>
  <si>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</si>
  <si>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</si>
  <si>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</si>
  <si>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</si>
  <si>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</si>
  <si>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</si>
  <si>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3. Na hladine významnosti 0,05 rozhodnite, ktoré z faktorov a interakcií nie sú štatisticky významné a možno ich vylúčiť, ak má zostať regresný model hierarchický. (1 bod)</t>
  </si>
  <si>
    <t>Na hladine významnosti 0,05 možno vylúčiť interakcie faktorov t2*t3 a t1*t2*t3</t>
  </si>
  <si>
    <t>4. Napíšte bodový odhad transformovanej regresnej funkcie lineárneho typu, ktorý vznikne po vylúčení štatisticky nevýznamných členov. Ďalej pracujte s týmto modelom. (1 bod)</t>
  </si>
  <si>
    <t>fL(x1, x2, x3)=</t>
  </si>
  <si>
    <t>+</t>
  </si>
  <si>
    <t>*t1+</t>
  </si>
  <si>
    <t>*t2</t>
  </si>
  <si>
    <t>*t3+</t>
  </si>
  <si>
    <t>*t1*t2+</t>
  </si>
  <si>
    <t>*t1*t3</t>
  </si>
  <si>
    <t>*(x1-45)/15+</t>
  </si>
  <si>
    <t>*(x2-4,485/0,315)</t>
  </si>
  <si>
    <t>*(x3-12)/6 +</t>
  </si>
  <si>
    <t>*(x1-45)/15 * (x2-4,485)/0,315 +</t>
  </si>
  <si>
    <t>*(x1-45)/15 * (x3-12)/6</t>
  </si>
  <si>
    <t>*x1+</t>
  </si>
  <si>
    <t>*x2+</t>
  </si>
  <si>
    <t>*x3+</t>
  </si>
  <si>
    <t>*x1*x2 +</t>
  </si>
  <si>
    <t>(fL)t(t1, t2, t3)=</t>
  </si>
  <si>
    <t>5. Napíšte rovnicu pôvodnej regresnej funkcie lineárneho typu, t.j. rovnicu regresného modelu v nekódovaných hodnotách s upravenými koeficientami.</t>
  </si>
  <si>
    <t>6. Charakterizujte kvalitu získaného modelu pomocou indexu determinácie. Číselnú hodnotu interpretujte slovne.</t>
  </si>
  <si>
    <t>Model po vylúčení nevýznamných interakcií:</t>
  </si>
  <si>
    <t xml:space="preserve">Index determinácie R Square = 0,992519 znamená, že zvolený regresný model dokáže vysvetliť 99,25 % celkovej variability závislej premennej </t>
  </si>
  <si>
    <t>7. Porovnajte upravený index determinácie pri modeli so všetkými pôvodnými premennými a pri modeli, ktorý dostanete po ich vylúčení. Výsledok interpretujte. (2 body)</t>
  </si>
  <si>
    <t>Pred vylúčením:</t>
  </si>
  <si>
    <t>Po vylúčení:</t>
  </si>
  <si>
    <t>Po vylúčení štatisticky nevýznamných členov z pôvodného modelu došlo k miernemu poklesu upraveného indexu determinácie</t>
  </si>
  <si>
    <t>Tento pokles je malý, čo naznačuje, že redukovaný model stále veľmi dobre vysvetľuje variabilitu dostrelu katapultu, pričom je jednoduchší, prehľadnejší a obsahuje len významné faktory a interakcie.</t>
  </si>
  <si>
    <t>8. Charakterizujte kvalitu modelu z hľadiska jeho predikcie. (2 body)</t>
  </si>
  <si>
    <t>Koeficient determinácie predikcie Rsq pred=98,08% naznačuje, že model veľmi presne predikuje vzdialenosť dopadu guľôčky pre nové kombinácie faktorov v rámci skúmaného experimentálneho priestoru.</t>
  </si>
  <si>
    <t>9. Otestujte celkovú štatistickú významnosť regresného modelu pomocou F testu. (3 body)</t>
  </si>
  <si>
    <t>Hladina významnosti 𝛼 = 0,03</t>
  </si>
  <si>
    <t>H0: b1=b2=b3=b12=b13=0&gt;&lt;H1: aspoň jeden z uvedených koeficientov je nenulový</t>
  </si>
  <si>
    <t>F kv 5;10 (0,97)=</t>
  </si>
  <si>
    <t>; ∞)</t>
  </si>
  <si>
    <t>F0=</t>
  </si>
  <si>
    <t>F0 ∈ W</t>
  </si>
  <si>
    <t>H0 zamietame</t>
  </si>
  <si>
    <t>H1 prijímame</t>
  </si>
  <si>
    <r>
      <t xml:space="preserve">F0 ∈ </t>
    </r>
    <r>
      <rPr>
        <b/>
        <i/>
        <sz val="11"/>
        <color theme="1"/>
        <rFont val="Aptos Narrow"/>
        <family val="2"/>
        <scheme val="minor"/>
      </rPr>
      <t>W</t>
    </r>
  </si>
  <si>
    <t>p=</t>
  </si>
  <si>
    <r>
      <t>W=</t>
    </r>
    <r>
      <rPr>
        <b/>
        <sz val="11"/>
        <color theme="1"/>
        <rFont val="Aptos Narrow"/>
        <family val="2"/>
        <scheme val="minor"/>
      </rPr>
      <t>(</t>
    </r>
  </si>
  <si>
    <t>p&gt;𝛼</t>
  </si>
  <si>
    <t>&lt;0,03</t>
  </si>
  <si>
    <t>10. Otestujte kvalitu modelu testom Lack of Fit. (3 body)</t>
  </si>
  <si>
    <t>H0: NO LOF &gt;&lt; H1: LOF</t>
  </si>
  <si>
    <t>PE</t>
  </si>
  <si>
    <t>df pre PE</t>
  </si>
  <si>
    <t>Lower 97,0%</t>
  </si>
  <si>
    <t>Upper 97,0%</t>
  </si>
  <si>
    <t>Lack of Fit</t>
  </si>
  <si>
    <t>Pure error</t>
  </si>
  <si>
    <t>F krit</t>
  </si>
  <si>
    <t>F kv 3;11 (0,97)=</t>
  </si>
  <si>
    <r>
      <t xml:space="preserve">W= </t>
    </r>
    <r>
      <rPr>
        <b/>
        <sz val="11"/>
        <color theme="1"/>
        <rFont val="Aptos Narrow"/>
        <family val="2"/>
        <scheme val="minor"/>
      </rPr>
      <t>(</t>
    </r>
  </si>
  <si>
    <t>F0 neleži v kritickej oblasti W</t>
  </si>
  <si>
    <t>H0 nezamietame</t>
  </si>
  <si>
    <t>H1 zamietame</t>
  </si>
  <si>
    <t>&gt;𝛼</t>
  </si>
  <si>
    <t>Na hladine významnosti 𝛼 = 0,03 možno konštatovať, že regresný model lineárneho typu nie je nedostatočný (je dostatočný) a nie je potrebné do modelu zaraďovať kvadratické členy.</t>
  </si>
  <si>
    <t>Na hladine významnosti 𝛼 = 0,03 možno konštatovať, že regresný model je štatisticky významný</t>
  </si>
  <si>
    <t>11. Testom krivosti overte, či nie je potrebné do modelu zaradiť kvadratické členy. (3 body)</t>
  </si>
  <si>
    <t>Central point:</t>
  </si>
  <si>
    <t>Factorial point:</t>
  </si>
  <si>
    <t>y priem=</t>
  </si>
  <si>
    <t>nC=</t>
  </si>
  <si>
    <t>nF=</t>
  </si>
  <si>
    <t>SSCPQ=</t>
  </si>
  <si>
    <t>F kv 1;11 (0,97)=</t>
  </si>
  <si>
    <t>C</t>
  </si>
  <si>
    <t>Na hladine významnosti 𝛼 = 0,03 prijímame hypotézu, že do regresného modelu nie je potrebné zaraďovať kvadratické členy, t.j. nie je potrebný úplný kvadratický regresný model.</t>
  </si>
  <si>
    <t>12. Analyzujte reziduá graficky a overte, či spĺňajú požadované podmienky aj pomocou testov. (2 body)</t>
  </si>
  <si>
    <t>Normal Probability Plot: Body ležia približne na priamke, čo naznačuje, že reziduá majú približne normálne rozdelenie. Menšie odchýlky na okrajoch nie sú výrazné, normalita je prijateľná.</t>
  </si>
  <si>
    <t>Versus Fits: Nevidno systematický vzor ani lievikovitý tvar, reziduá sú rozptýlené náhodne okolo nuly. To naznačuje splnenie predpokladu lineárnosti aj konštantného rozptylu (homoskedasticity).</t>
  </si>
  <si>
    <t>Histogram: ukazuje veľmi miernu asymetriu, čo naznačuje malé odchýlenie od ideálneho normálneho rozdelenia.</t>
  </si>
  <si>
    <t>Versus Order: V grafe sa neprejavuje jasný trend ani dlhodobý vzor, reziduá kolíšu náhodne. To naznačuje, že predpoklad nezávislosti rezíduí je splnený.</t>
  </si>
  <si>
    <t>Celkovo možno zhodnotiť, že grafy naznačujú, že model je vhodný a reziduá majú požadované vlastnosti pre „dobre sediaci“ model.</t>
  </si>
  <si>
    <t>𝐻0: Dáta pochádzajú z normálneho rozdelenia &gt;&lt; 𝐻1: Dáta nepochádzajú z normálneho rozdelenia</t>
  </si>
  <si>
    <t>Test normality:</t>
  </si>
  <si>
    <t>Normálový pravdepodobnostný graf:</t>
  </si>
  <si>
    <t>Hladina významnosti 𝛼 = 0,05</t>
  </si>
  <si>
    <t>Na základe grafov možno prijať hypotézu, že dáta pochádzajú z normálneho rozdelenia</t>
  </si>
  <si>
    <t>13. Určte, či je samostatný vplyv vybraného faktoru na hodnotu regresnej funkcie lineárneho typu štatisticky významný. Použite t test nulovosti regresného koeficientu. (3 body)</t>
  </si>
  <si>
    <t>chceme otestovať, či je samostatné pôsobenie faktora 𝑥2 – napnutie gumičky, na hodnotu regresnej funkcie lineárneho typu štatisticky významné.</t>
  </si>
  <si>
    <t>H0: b2 = 0 &gt;&lt;H1:b2 ≠ 0</t>
  </si>
  <si>
    <t>W=(</t>
  </si>
  <si>
    <t>t0 (b2)=</t>
  </si>
  <si>
    <t>tkv 14 (0,985)=</t>
  </si>
  <si>
    <t>tkv 14 (0,015)=</t>
  </si>
  <si>
    <t>W=(-∞; -2,4149) ∪ (2,4149; ∞)</t>
  </si>
  <si>
    <t>t0 (b2) ∈ W</t>
  </si>
  <si>
    <t>&lt; 𝛼</t>
  </si>
  <si>
    <t>97% IS pre b2: (32,89; 40,96)</t>
  </si>
  <si>
    <t>0 ∉ (32,89; 40,96)</t>
  </si>
  <si>
    <t>Na hladine významnosti 𝛼 = 0,03 možno konštatovať, že regresný koeficient 𝑏2 je štatisticky významný, t.j. samostatný vplyv faktora 𝑡2 na hodnotu transformovanej regresnej funkcie (𝑓𝐿 )𝑡 (𝑡1,𝑡2,𝑡3 ) je štatisticky významný, t.j. nemožno ho zanedbať.</t>
  </si>
  <si>
    <t>14. Určte, či je samostatný vplyv vybraného faktoru na hodnotu regresnej funkcie lineárneho typu štatisticky významný. Použite F test dodatočného príspevku vybraného faktora na vysvetlenie variability závislej premennej. (3 body)</t>
  </si>
  <si>
    <t>𝐻0: Dodatočný príspevok faktora napnutie gumičky na vysvetlenie variability vzdialenosti dopadu nie je štatisticky významný &gt;&lt; 𝐻1: Dodatočný príspevok faktora napnutie gumičky na vysvetlenie variability vzdialenosti dopadu je štatisticky významný</t>
  </si>
  <si>
    <t>y</t>
  </si>
  <si>
    <t>y predik s t2</t>
  </si>
  <si>
    <t>y predik bez t2</t>
  </si>
  <si>
    <t>(delta s t2)^2</t>
  </si>
  <si>
    <t>(delta bez t2) ^2</t>
  </si>
  <si>
    <t>SS=</t>
  </si>
  <si>
    <t>príspevok t2=</t>
  </si>
  <si>
    <t>SSR pre t2=</t>
  </si>
  <si>
    <t>SSE (t2)=</t>
  </si>
  <si>
    <t>F0(t2)=</t>
  </si>
  <si>
    <t>F kv 1;14 (0,97)=</t>
  </si>
  <si>
    <t>Na hladine významnosti 𝛼 = 0,03 za predpokladu, že sa už uvažovalo s premennými t1 a 𝑡3, a interakciami 𝑡1 a 𝑡2, a t1 a t3, možno považovať dodatočný prínos premennej 𝑡2- napnutie gumičky štatisticky významný.</t>
  </si>
  <si>
    <t>15. Určte, či je vybraná interakcia faktorov na hodnotu regresnej funkcie lineárneho typu štatisticky významná. Použite t test nulovosti regresného koeficientu. (3 body)</t>
  </si>
  <si>
    <t>t0 (b12)=</t>
  </si>
  <si>
    <t>delta =</t>
  </si>
  <si>
    <t>b2-delta =</t>
  </si>
  <si>
    <t>b2+delta =</t>
  </si>
  <si>
    <t>H0: b12 = 0 &gt;&lt;H1:b12 ≠ 0</t>
  </si>
  <si>
    <t>t0 (b12) ∈ W</t>
  </si>
  <si>
    <t>delta=</t>
  </si>
  <si>
    <t>b12-delta=</t>
  </si>
  <si>
    <t>b12+delta=</t>
  </si>
  <si>
    <t>97% IS pre b12: (0,23; 8,3)</t>
  </si>
  <si>
    <t>0 ∉ (0,23; 8,3)</t>
  </si>
  <si>
    <t>Na hladine významnosti 𝛼 = 0,03 možno konštatovať, že regresný koeficient 𝑏12 je štatisticky významný, t.j. spoločný vplyv faktorov 𝑡1 a 𝑡2 na hodnotu transformovanej regresnej funkcie (𝑓𝐿 )𝑡 (𝑡1,𝑡2,𝑡3 ) je štatisticky významný, t.j. nemožno ho zanedbať.</t>
  </si>
  <si>
    <t>16. Vypočítajte a zobrazte grafy hlavných efektov sledovaných faktorov (main effect plots). Grafy porovnajte a interpretujte. (2 body)</t>
  </si>
  <si>
    <t>yi</t>
  </si>
  <si>
    <t>A_t1</t>
  </si>
  <si>
    <t>B_t2</t>
  </si>
  <si>
    <t>C_t3</t>
  </si>
  <si>
    <t>Hlavný efekt faktora A_Uhol odpalu</t>
  </si>
  <si>
    <t>Hlavný efekt faktora B_Napnutie gumičky</t>
  </si>
  <si>
    <t>Hlavný efekt faktora C_Hmotnosť guľôčky</t>
  </si>
  <si>
    <t>ef(A)=</t>
  </si>
  <si>
    <t>ef (B)=</t>
  </si>
  <si>
    <t>ef (C) =</t>
  </si>
  <si>
    <r>
      <t>Uhol odpalu (A):</t>
    </r>
    <r>
      <rPr>
        <sz val="11"/>
        <color theme="1"/>
        <rFont val="Aptos Narrow"/>
        <family val="2"/>
        <charset val="238"/>
        <scheme val="minor"/>
      </rPr>
      <t xml:space="preserve"> Zmena uhla odpalu má len malý vplyv na vzdialenosť dopadu, pričom jej mierne zvyšovanie vedie k nepatrnému nárastu výsledku.</t>
    </r>
  </si>
  <si>
    <r>
      <t>Napnutie gumičky (B):</t>
    </r>
    <r>
      <rPr>
        <sz val="11"/>
        <color theme="1"/>
        <rFont val="Aptos Narrow"/>
        <family val="2"/>
        <charset val="238"/>
        <scheme val="minor"/>
      </rPr>
      <t xml:space="preserve"> Napnutie gumičky má na vzdialenosť dopadu najsilnejší vplyv, keďže jeho zvýšenie výrazne zvyšuje hodnotu výsledku.</t>
    </r>
  </si>
  <si>
    <r>
      <t>Hmotnosť guľôčky (C):</t>
    </r>
    <r>
      <rPr>
        <sz val="11"/>
        <color theme="1"/>
        <rFont val="Aptos Narrow"/>
        <family val="2"/>
        <charset val="238"/>
        <scheme val="minor"/>
      </rPr>
      <t xml:space="preserve"> So zvyšujúcou sa hmotnosťou guľôčky hodnota vzdialenosť dopadu výrazne klesá, čo poukazuje na silný negatívny efekt tohto faktora.</t>
    </r>
  </si>
  <si>
    <t>17. Zobrazte efekt interakcií sledovaných faktorov (interaction plots) a interpretujte ich. (3 body)</t>
  </si>
  <si>
    <t>A</t>
  </si>
  <si>
    <t>B</t>
  </si>
  <si>
    <t>efekt interakcie faktora A a B - počítame efekt faktora B pri konštantnej úrovni faktora A alebo naopak :</t>
  </si>
  <si>
    <t>efekt interakcie faktora A a C - počítame efekt faktora C pri konštantnej úrovni faktora A alebo naopak :</t>
  </si>
  <si>
    <t>efekt interakcie faktora B a C - počítame efekt faktora C pri konštantnej úrovni faktora B alebo naopak :</t>
  </si>
  <si>
    <t>ef (BC)=</t>
  </si>
  <si>
    <t>ef (AC)=</t>
  </si>
  <si>
    <t>ef (AB)=</t>
  </si>
  <si>
    <t xml:space="preserve">Medzi faktormi A (uhol odpalu) a B (napnutie gumičky) je prítomná slabá interakcia, keďže úsečky v interakčných grafoch nie sú úplne rovnobežné. </t>
  </si>
  <si>
    <t>Najväčšiu vzdialenosť dopadu možno očakávať pri nastavení oboch faktorov na hornú úroveň a najmenšiu pri ich dolných úrovniach.</t>
  </si>
  <si>
    <t xml:space="preserve">Medzi faktormi A (uhol odpalu) a C (hmotnosť guľôčky) je interakcia, keďže úsečky v interakčných grafoch nie sú rovnobežné. </t>
  </si>
  <si>
    <t>Vplyv hmotnosti guľôčky na priemernú vzdialenosť dopadu sa mení v závislosti od uhla odpalu, pričom najväčšiu odozvu možno očakávať pri nižšej hmotnosti guľôčky a vyššom uhle odpalu.</t>
  </si>
  <si>
    <t>Čiary v grafe sú rovnobežné, medzi faktormi B a C sa neprejavuje významná interakcia.</t>
  </si>
  <si>
    <t>18. Pomocou nájdeného regresného modelu predikujte hodnotu odozvy pre zvolené úrovne faktorov. Správnosť výsledku overte výpočtom cez model v pôvodných aj kódovaných jednotkách. (3 body)</t>
  </si>
  <si>
    <t>*x1*x3</t>
  </si>
  <si>
    <t>yLt(t1, t2, t3)=</t>
  </si>
  <si>
    <t>x1=50 -&gt; t1=</t>
  </si>
  <si>
    <t>x2=4,6 -&gt; t2=</t>
  </si>
  <si>
    <t>x3=8 -&gt; t3=</t>
  </si>
  <si>
    <t>yLt(0,33; 0,36508; -0,66)=</t>
  </si>
  <si>
    <t>yL(50; 4,6; 8)=</t>
  </si>
  <si>
    <t>19. Overte správnosť nájdeného regresného modelu pomocou kontrolného merania. (3 body)</t>
  </si>
  <si>
    <t>Kontrolné meranie:</t>
  </si>
  <si>
    <t>Predikcia pôvodné:</t>
  </si>
  <si>
    <t>y predikované</t>
  </si>
  <si>
    <t>Predikcia transformované:</t>
  </si>
  <si>
    <t>r=</t>
  </si>
  <si>
    <t>y kontr.</t>
  </si>
  <si>
    <t>H0: b1=1 &gt;&lt; H1: b1≠1</t>
  </si>
  <si>
    <t>t0=</t>
  </si>
  <si>
    <t>tkv 13 (0,985)=</t>
  </si>
  <si>
    <t>tkv 13 (0,015)=</t>
  </si>
  <si>
    <t>W=(-∞; -2,4358) ∪ (2,4358; ∞)</t>
  </si>
  <si>
    <t>t0 ∉ W</t>
  </si>
  <si>
    <t>&gt; 𝛼</t>
  </si>
  <si>
    <t>97% IS pre b1: (0,209857; 1,17969)</t>
  </si>
  <si>
    <t>1 ∈ (0,209857; 1,17969)</t>
  </si>
  <si>
    <t>H0: b0=0 &gt;&lt; H1: b0≠0</t>
  </si>
  <si>
    <t>97% IS pre b1: (-27,7665; 43,96075)</t>
  </si>
  <si>
    <t>1 ∈ (-27,7665; 43,96075)</t>
  </si>
  <si>
    <t>Na hladine významnosti 𝛼 = 0,03 možno prijať hypotézu, že regresný koeficient 𝑏1 je rovný jednej.</t>
  </si>
  <si>
    <t>Na hladine významnosti 𝛼 = 0,03 možno prijať hypotézu, že koeficient 𝑏0 je rovný nule. Vzhľadom na to, že je možné prijať hypotézu, že lokujúca konštanta 𝑏0 je rovná nule,</t>
  </si>
  <si>
    <t xml:space="preserve">to znamená preložená priamka prechádza začiatkom súradnicovej sústavy a súčasne regresný koeficient 𝑏1, t.j. smernica preloženej priamky je rovná jednej, môžeme prijať tvrdenie, </t>
  </si>
  <si>
    <t>že predikované hodnoty vzdialenosti dopadu získané z nájdeného regresného modelu a hodnoty namerané pri kontrolnom meraní pre rovnaké úrovne nami skúmaných parametrov sú v pomere 1:1. Toto možno tvrdiť so spoľahlivosťou 97%.</t>
  </si>
  <si>
    <t>20. Analyzujte pri akom nastavení faktorov možno dostať požadovanú odozvu. (3 body)</t>
  </si>
  <si>
    <t>y modelované =</t>
  </si>
  <si>
    <t>úroveň faktora v kódovaných jednotkách</t>
  </si>
  <si>
    <t>úroveň faktora v pôvodných jednotkách</t>
  </si>
  <si>
    <t xml:space="preserve">Na základe vytvoreného modelu boli určené hodnoty vstupných parametrov, pri ktorých model predpovedá dosiahnutie požadovanej vzdialenosti dopadu 200 cm. </t>
  </si>
  <si>
    <t>Tieto hodnoty sú: uhol odpalu 45,92°, napnutie gumičky 4,57N a hmotnosť guľôčky 9,98g.</t>
  </si>
  <si>
    <t>21. Porovnajte výsledky softvérového riešenia DOE v Exceli a v Minitabe. (3 bodov)</t>
  </si>
  <si>
    <t>CPLOT:</t>
  </si>
  <si>
    <t>REGRESSION:</t>
  </si>
  <si>
    <t>ROVNICA PÔVODNEJ REGRESNEJ FUNKCIE:</t>
  </si>
  <si>
    <t>REGRESSION S CENTRÁLNYMI BODMI:</t>
  </si>
  <si>
    <t>ROVNICA PÔVODNEJ REGRESNEJ FUNKCIE S CENTRÁLNYMI BODMI:</t>
  </si>
  <si>
    <t>GRAFY HLAVNÝCH EFEKTOV:</t>
  </si>
  <si>
    <t>EFEKT INTERAKCIÍ:</t>
  </si>
  <si>
    <t>PREDIKCIA:</t>
  </si>
  <si>
    <t>OPTIMALIZÁCIA:</t>
  </si>
  <si>
    <t>doplnené o merania v centrálnych bodoch experimentálneho priestoru, ktoré budú využité pri teste Lack of fit a ďalších nasledujúcich testoch.</t>
  </si>
  <si>
    <t>H1 nezamietame</t>
  </si>
  <si>
    <t>Výsledky DOE v Exceli a v Minitabe sú prakticky zhodné a vedú k rovnakým záverom. Menšie rozdiely sa objavili v C-plote a optimalizácii.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</si>
</sst>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  <font>
      <b/>
      <sz val="11"/>
      <color rgb="FF00B050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1"/>
      <color rgb="FF000000"/>
      <name val="Aptos Narrow"/>
      <family val="2"/>
    </font>
    <font>
      <b/>
      <sz val="11"/>
      <color rgb="FFC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2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2" xfId="0" applyBorder="1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1" xfId="0" applyBorder="1"/>
    <xf numFmtId="0" fontId="4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2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5" xfId="0" applyFont="1" applyBorder="1"/>
    <xf numFmtId="0" fontId="2" fillId="2" borderId="2" xfId="0" applyFont="1" applyFill="1" applyBorder="1"/>
    <xf numFmtId="0" fontId="2" fillId="2" borderId="14" xfId="0" applyFont="1" applyFill="1" applyBorder="1"/>
    <xf numFmtId="0" fontId="2" fillId="2" borderId="3" xfId="0" applyFont="1" applyFill="1" applyBorder="1"/>
    <xf numFmtId="0" fontId="3" fillId="2" borderId="0" xfId="0" applyFont="1" applyFill="1"/>
    <xf numFmtId="0" fontId="3" fillId="2" borderId="15" xfId="0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7" fillId="0" borderId="1" xfId="0" applyFont="1" applyBorder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3" borderId="2" xfId="0" applyFill="1" applyBorder="1"/>
    <xf numFmtId="0" fontId="0" fillId="3" borderId="14" xfId="0" applyFill="1" applyBorder="1"/>
    <xf numFmtId="0" fontId="0" fillId="3" borderId="3" xfId="0" applyFill="1" applyBorder="1"/>
    <xf numFmtId="0" fontId="0" fillId="3" borderId="1" xfId="0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5" xfId="0" applyFont="1" applyBorder="1"/>
    <xf numFmtId="0" fontId="2" fillId="0" borderId="0" xfId="0" applyFont="1" applyBorder="1" applyAlignment="1">
      <alignment horizontal="center" vertical="center" wrapText="1"/>
    </xf>
    <xf numFmtId="22" fontId="0" fillId="0" borderId="0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a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Hlavný efekt faktora uhol odpalu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Grafy!$G$4:$G$5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Grafy!$H$4:$H$5</c:f>
              <c:numCache>
                <c:formatCode>General</c:formatCode>
                <c:ptCount val="2"/>
                <c:pt idx="0">
                  <c:v>166.05938749999999</c:v>
                </c:pt>
                <c:pt idx="1">
                  <c:v>183.51341250000002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6B-4D9C-BD51-287AF83D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19599"/>
        <c:axId val="2119716719"/>
      </c:scatterChart>
      <c:valAx>
        <c:axId val="2119719599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A_Uhol</a:t>
                </a:r>
                <a:r>
                  <a:rPr lang="sk-SK" baseline="0"/>
                  <a:t> odpalu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19716719"/>
        <c:crosses val="autoZero"/>
        <c:crossBetween val="midCat"/>
      </c:valAx>
      <c:valAx>
        <c:axId val="2119716719"/>
        <c:scaling>
          <c:orientation val="minMax"/>
          <c:max val="22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1971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Validácia regresného modelu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24938757655293"/>
                  <c:y val="-0.254169218431029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Validácia!$J$29:$J$43</c:f>
              <c:numCache>
                <c:formatCode>General</c:formatCode>
                <c:ptCount val="15"/>
                <c:pt idx="0">
                  <c:v>184.25983033465602</c:v>
                </c:pt>
                <c:pt idx="1">
                  <c:v>173.07713184391523</c:v>
                </c:pt>
                <c:pt idx="2">
                  <c:v>142.69878161640202</c:v>
                </c:pt>
                <c:pt idx="3">
                  <c:v>193.58428663095233</c:v>
                </c:pt>
                <c:pt idx="4">
                  <c:v>192.5100807380951</c:v>
                </c:pt>
                <c:pt idx="5">
                  <c:v>189.12149785978826</c:v>
                </c:pt>
                <c:pt idx="6">
                  <c:v>122.66916485714276</c:v>
                </c:pt>
                <c:pt idx="7">
                  <c:v>163.50973704431212</c:v>
                </c:pt>
                <c:pt idx="8">
                  <c:v>170.27927250264551</c:v>
                </c:pt>
                <c:pt idx="9">
                  <c:v>152.1390712777777</c:v>
                </c:pt>
                <c:pt idx="10">
                  <c:v>164.24709028571419</c:v>
                </c:pt>
                <c:pt idx="11">
                  <c:v>238.84399807936495</c:v>
                </c:pt>
                <c:pt idx="12">
                  <c:v>116.9619674781745</c:v>
                </c:pt>
                <c:pt idx="13">
                  <c:v>185.95719336904756</c:v>
                </c:pt>
                <c:pt idx="14">
                  <c:v>131.51825642063474</c:v>
                </c:pt>
              </c:numCache>
            </c:numRef>
          </c:xVal>
          <c:yVal>
            <c:numRef>
              <c:f>Validácia!$E$29:$E$43</c:f>
              <c:numCache>
                <c:formatCode>General</c:formatCode>
                <c:ptCount val="15"/>
                <c:pt idx="0">
                  <c:v>186.92439999999999</c:v>
                </c:pt>
                <c:pt idx="1">
                  <c:v>164.0813</c:v>
                </c:pt>
                <c:pt idx="2">
                  <c:v>151.8775</c:v>
                </c:pt>
                <c:pt idx="3">
                  <c:v>181.5547</c:v>
                </c:pt>
                <c:pt idx="4">
                  <c:v>199.1593</c:v>
                </c:pt>
                <c:pt idx="5">
                  <c:v>192.5453</c:v>
                </c:pt>
                <c:pt idx="6">
                  <c:v>127.0318</c:v>
                </c:pt>
                <c:pt idx="7">
                  <c:v>173.69479999999999</c:v>
                </c:pt>
                <c:pt idx="8">
                  <c:v>159.8237</c:v>
                </c:pt>
                <c:pt idx="9">
                  <c:v>144.44569999999999</c:v>
                </c:pt>
                <c:pt idx="10">
                  <c:v>158.65600000000001</c:v>
                </c:pt>
                <c:pt idx="11">
                  <c:v>248.2585</c:v>
                </c:pt>
                <c:pt idx="12">
                  <c:v>124.1249</c:v>
                </c:pt>
                <c:pt idx="13">
                  <c:v>205.39660000000001</c:v>
                </c:pt>
                <c:pt idx="14">
                  <c:v>149.19649999999999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47-4A07-93C2-94FB290DF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653328"/>
        <c:axId val="725654288"/>
      </c:scatterChart>
      <c:valAx>
        <c:axId val="72565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Predikované hodnoty [cm]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5654288"/>
        <c:crosses val="autoZero"/>
        <c:crossBetween val="midCat"/>
      </c:valAx>
      <c:valAx>
        <c:axId val="72565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Namerané hodnoty [cm]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565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Hlavný efekt faktora uhol odpalu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Grafy!$G$4:$G$5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Grafy!$H$4:$H$5</c:f>
              <c:numCache>
                <c:formatCode>General</c:formatCode>
                <c:ptCount val="2"/>
                <c:pt idx="0">
                  <c:v>166.05938749999999</c:v>
                </c:pt>
                <c:pt idx="1">
                  <c:v>183.51341250000002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4F-41C6-9D2F-312ED6ED5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19599"/>
        <c:axId val="2119716719"/>
      </c:scatterChart>
      <c:valAx>
        <c:axId val="2119719599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A_Uhol</a:t>
                </a:r>
                <a:r>
                  <a:rPr lang="sk-SK" baseline="0"/>
                  <a:t> odpalu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19716719"/>
        <c:crosses val="autoZero"/>
        <c:crossBetween val="midCat"/>
      </c:valAx>
      <c:valAx>
        <c:axId val="2119716719"/>
        <c:scaling>
          <c:orientation val="minMax"/>
          <c:max val="22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1971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Hlavný efekt faktora napnutie gumičky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Grafy!$G$9:$G$10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Grafy!$H$9:$H$10</c:f>
              <c:numCache>
                <c:formatCode>General</c:formatCode>
                <c:ptCount val="2"/>
                <c:pt idx="0">
                  <c:v>137.86324999999999</c:v>
                </c:pt>
                <c:pt idx="1">
                  <c:v>211.70954999999998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59-432B-886F-46DCF6CE5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447200"/>
        <c:axId val="356447680"/>
      </c:scatterChart>
      <c:valAx>
        <c:axId val="356447200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B_Napnutie gumičky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6447680"/>
        <c:crosses val="autoZero"/>
        <c:crossBetween val="midCat"/>
      </c:valAx>
      <c:valAx>
        <c:axId val="356447680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644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Hlavný efekt faktora hmotnosť guľôčky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Grafy!$G$14:$G$15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Grafy!$H$14:$H$15</c:f>
              <c:numCache>
                <c:formatCode>General</c:formatCode>
                <c:ptCount val="2"/>
                <c:pt idx="0">
                  <c:v>222.58748749999998</c:v>
                </c:pt>
                <c:pt idx="1">
                  <c:v>126.98531250000001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6D-48E9-BAD9-4C2CC5E1F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623"/>
        <c:axId val="1467103"/>
      </c:scatterChart>
      <c:valAx>
        <c:axId val="1466623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C_Hmotnosť guľôčky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67103"/>
        <c:crosses val="autoZero"/>
        <c:crossBetween val="midCat"/>
      </c:valAx>
      <c:valAx>
        <c:axId val="1467103"/>
        <c:scaling>
          <c:orientation val="minMax"/>
          <c:max val="22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66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Interakcia faktorov A a 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Grafy!$K$55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Grafy!$L$54:$M$54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Grafy!$L$55:$M$55</c:f>
              <c:numCache>
                <c:formatCode>General</c:formatCode>
                <c:ptCount val="2"/>
                <c:pt idx="0">
                  <c:v>133.39985000000001</c:v>
                </c:pt>
                <c:pt idx="1">
                  <c:v>142.32664999999997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69-4F02-A1D8-E405BE5BB0EF}"/>
            </c:ext>
          </c:extLst>
        </c:ser>
        <c:ser>
          <c:idx val="1"/>
          <c:order val="1"/>
          <c:tx>
            <c:strRef>
              <c:f>Grafy!$K$56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Grafy!$L$54:$M$54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Grafy!$L$56:$M$56</c:f>
              <c:numCache>
                <c:formatCode>General</c:formatCode>
                <c:ptCount val="2"/>
                <c:pt idx="0">
                  <c:v>198.71892500000001</c:v>
                </c:pt>
                <c:pt idx="1">
                  <c:v>224.700175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69-4F02-A1D8-E405BE5B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501487"/>
        <c:axId val="2131504367"/>
      </c:scatterChart>
      <c:valAx>
        <c:axId val="213150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A_Uhol odpalu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4367"/>
        <c:crosses val="autoZero"/>
        <c:crossBetween val="midCat"/>
      </c:valAx>
      <c:valAx>
        <c:axId val="21315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1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Interakcia faktorov A a 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Grafy!$L$54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Grafy!$K$55:$K$56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Grafy!$L$55:$L$56</c:f>
              <c:numCache>
                <c:formatCode>General</c:formatCode>
                <c:ptCount val="2"/>
                <c:pt idx="0">
                  <c:v>133.39985000000001</c:v>
                </c:pt>
                <c:pt idx="1">
                  <c:v>198.71892500000001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DE-4962-8FF0-D577561890F5}"/>
            </c:ext>
          </c:extLst>
        </c:ser>
        <c:ser>
          <c:idx val="1"/>
          <c:order val="1"/>
          <c:tx>
            <c:strRef>
              <c:f>Grafy!$M$54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Grafy!$K$55:$K$56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Grafy!$M$55:$M$56</c:f>
              <c:numCache>
                <c:formatCode>General</c:formatCode>
                <c:ptCount val="2"/>
                <c:pt idx="0">
                  <c:v>142.32664999999997</c:v>
                </c:pt>
                <c:pt idx="1">
                  <c:v>224.700175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DE-4962-8FF0-D57756189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501487"/>
        <c:axId val="2131504367"/>
      </c:scatterChart>
      <c:valAx>
        <c:axId val="213150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B_Napnutie gumičky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4367"/>
        <c:crosses val="autoZero"/>
        <c:crossBetween val="midCat"/>
      </c:valAx>
      <c:valAx>
        <c:axId val="21315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1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A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Grafy!$K$64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Grafy!$L$63:$M$63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Grafy!$L$64:$M$64</c:f>
              <c:numCache>
                <c:formatCode>General</c:formatCode>
                <c:ptCount val="2"/>
                <c:pt idx="0">
                  <c:v>220.069275</c:v>
                </c:pt>
                <c:pt idx="1">
                  <c:v>225.10570000000001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5A-4E90-878A-B1A6EDDC2666}"/>
            </c:ext>
          </c:extLst>
        </c:ser>
        <c:ser>
          <c:idx val="1"/>
          <c:order val="1"/>
          <c:tx>
            <c:strRef>
              <c:f>Grafy!$K$65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Grafy!$L$63:$M$63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Grafy!$L$65:$M$65</c:f>
              <c:numCache>
                <c:formatCode>General</c:formatCode>
                <c:ptCount val="2"/>
                <c:pt idx="0">
                  <c:v>112.04950000000002</c:v>
                </c:pt>
                <c:pt idx="1">
                  <c:v>141.92112499999999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5A-4E90-878A-B1A6EDDC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88880"/>
        <c:axId val="73689840"/>
      </c:scatterChart>
      <c:valAx>
        <c:axId val="7368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A_Uhol odpalu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9840"/>
        <c:crosses val="autoZero"/>
        <c:crossBetween val="midCat"/>
      </c:valAx>
      <c:valAx>
        <c:axId val="7368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A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Grafy!$L$63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Grafy!$K$64:$K$65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Grafy!$L$64:$L$65</c:f>
              <c:numCache>
                <c:formatCode>General</c:formatCode>
                <c:ptCount val="2"/>
                <c:pt idx="0">
                  <c:v>220.069275</c:v>
                </c:pt>
                <c:pt idx="1">
                  <c:v>112.04950000000002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76-4112-BDBA-E727ED7B88F2}"/>
            </c:ext>
          </c:extLst>
        </c:ser>
        <c:ser>
          <c:idx val="1"/>
          <c:order val="1"/>
          <c:tx>
            <c:strRef>
              <c:f>Grafy!$M$63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Grafy!$K$64:$K$65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Grafy!$M$64:$M$65</c:f>
              <c:numCache>
                <c:formatCode>General</c:formatCode>
                <c:ptCount val="2"/>
                <c:pt idx="0">
                  <c:v>225.10570000000001</c:v>
                </c:pt>
                <c:pt idx="1">
                  <c:v>141.92112499999999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76-4112-BDBA-E727ED7B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88880"/>
        <c:axId val="73689840"/>
      </c:scatterChart>
      <c:valAx>
        <c:axId val="7368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C_Hmotnosť guľôčky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9840"/>
        <c:crosses val="autoZero"/>
        <c:crossBetween val="midCat"/>
      </c:valAx>
      <c:valAx>
        <c:axId val="7368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B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Grafy!$K$73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Grafy!$L$72:$M$72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Grafy!$L$73:$M$73</c:f>
              <c:numCache>
                <c:formatCode>General</c:formatCode>
                <c:ptCount val="2"/>
                <c:pt idx="0">
                  <c:v>183.06094999999999</c:v>
                </c:pt>
                <c:pt idx="1">
                  <c:v>262.11402499999997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44-4256-9140-97BEA457C675}"/>
            </c:ext>
          </c:extLst>
        </c:ser>
        <c:ser>
          <c:idx val="1"/>
          <c:order val="1"/>
          <c:tx>
            <c:strRef>
              <c:f>Grafy!$K$74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Grafy!$L$72:$M$72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Grafy!$L$74:$M$74</c:f>
              <c:numCache>
                <c:formatCode>General</c:formatCode>
                <c:ptCount val="2"/>
                <c:pt idx="0">
                  <c:v>92.665549999999996</c:v>
                </c:pt>
                <c:pt idx="1">
                  <c:v>161.30507500000002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44-4256-9140-97BEA457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705711"/>
        <c:axId val="2132714351"/>
      </c:scatterChart>
      <c:valAx>
        <c:axId val="2132705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B_Napnutie gumičky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14351"/>
        <c:crosses val="autoZero"/>
        <c:crossBetween val="midCat"/>
      </c:valAx>
      <c:valAx>
        <c:axId val="213271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05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B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Grafy!$L$72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Grafy!$K$73:$K$74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Grafy!$L$73:$L$74</c:f>
              <c:numCache>
                <c:formatCode>General</c:formatCode>
                <c:ptCount val="2"/>
                <c:pt idx="0">
                  <c:v>183.06094999999999</c:v>
                </c:pt>
                <c:pt idx="1">
                  <c:v>92.665549999999996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B-4C6E-AD4E-B5D12DEA34AC}"/>
            </c:ext>
          </c:extLst>
        </c:ser>
        <c:ser>
          <c:idx val="1"/>
          <c:order val="1"/>
          <c:tx>
            <c:strRef>
              <c:f>Grafy!$M$72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Grafy!$K$73:$K$74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Grafy!$M$73:$M$74</c:f>
              <c:numCache>
                <c:formatCode>General</c:formatCode>
                <c:ptCount val="2"/>
                <c:pt idx="0">
                  <c:v>262.11402499999997</c:v>
                </c:pt>
                <c:pt idx="1">
                  <c:v>161.30507500000002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B-4C6E-AD4E-B5D12DEA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705711"/>
        <c:axId val="2132714351"/>
      </c:scatterChart>
      <c:valAx>
        <c:axId val="2132705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C_Hmotnosť guľôčky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14351"/>
        <c:crosses val="autoZero"/>
        <c:crossBetween val="midCat"/>
      </c:valAx>
      <c:valAx>
        <c:axId val="213271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05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Hlavný efekt faktora napnutie gumičky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Grafy!$G$9:$G$10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Grafy!$H$9:$H$10</c:f>
              <c:numCache>
                <c:formatCode>General</c:formatCode>
                <c:ptCount val="2"/>
                <c:pt idx="0">
                  <c:v>137.86324999999999</c:v>
                </c:pt>
                <c:pt idx="1">
                  <c:v>211.70954999999998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F6-4BF2-9B2A-E42F4D4D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447200"/>
        <c:axId val="356447680"/>
      </c:scatterChart>
      <c:valAx>
        <c:axId val="356447200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B_Napnutie gumičky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6447680"/>
        <c:crosses val="autoZero"/>
        <c:crossBetween val="midCat"/>
      </c:valAx>
      <c:valAx>
        <c:axId val="356447680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644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Hlavný efekt faktora hmotnosť guľôčky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Grafy!$G$14:$G$15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Grafy!$H$14:$H$15</c:f>
              <c:numCache>
                <c:formatCode>General</c:formatCode>
                <c:ptCount val="2"/>
                <c:pt idx="0">
                  <c:v>222.58748749999998</c:v>
                </c:pt>
                <c:pt idx="1">
                  <c:v>126.98531250000001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6-4C4C-9E90-ADA66AA1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623"/>
        <c:axId val="1467103"/>
      </c:scatterChart>
      <c:valAx>
        <c:axId val="1466623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C_Hmotnosť guľôčky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67103"/>
        <c:crosses val="autoZero"/>
        <c:crossBetween val="midCat"/>
      </c:valAx>
      <c:valAx>
        <c:axId val="1467103"/>
        <c:scaling>
          <c:orientation val="minMax"/>
          <c:max val="22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66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Interakcia faktorov A a 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Grafy!$K$55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Grafy!$L$54:$M$54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Grafy!$L$55:$M$55</c:f>
              <c:numCache>
                <c:formatCode>General</c:formatCode>
                <c:ptCount val="2"/>
                <c:pt idx="0">
                  <c:v>133.39985000000001</c:v>
                </c:pt>
                <c:pt idx="1">
                  <c:v>142.32664999999997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86-437A-8851-5BA9D6A9B415}"/>
            </c:ext>
          </c:extLst>
        </c:ser>
        <c:ser>
          <c:idx val="1"/>
          <c:order val="1"/>
          <c:tx>
            <c:strRef>
              <c:f>Grafy!$K$56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Grafy!$L$54:$M$54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Grafy!$L$56:$M$56</c:f>
              <c:numCache>
                <c:formatCode>General</c:formatCode>
                <c:ptCount val="2"/>
                <c:pt idx="0">
                  <c:v>198.71892500000001</c:v>
                </c:pt>
                <c:pt idx="1">
                  <c:v>224.700175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86-437A-8851-5BA9D6A9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501487"/>
        <c:axId val="2131504367"/>
      </c:scatterChart>
      <c:valAx>
        <c:axId val="213150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A_Uhol odpalu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4367"/>
        <c:crosses val="autoZero"/>
        <c:crossBetween val="midCat"/>
      </c:valAx>
      <c:valAx>
        <c:axId val="21315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1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Interakcia faktorov A a 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Grafy!$L$54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Grafy!$K$55:$K$56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Grafy!$L$55:$L$56</c:f>
              <c:numCache>
                <c:formatCode>General</c:formatCode>
                <c:ptCount val="2"/>
                <c:pt idx="0">
                  <c:v>133.39985000000001</c:v>
                </c:pt>
                <c:pt idx="1">
                  <c:v>198.71892500000001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4B-4B6A-BA14-F2C990A87B33}"/>
            </c:ext>
          </c:extLst>
        </c:ser>
        <c:ser>
          <c:idx val="1"/>
          <c:order val="1"/>
          <c:tx>
            <c:strRef>
              <c:f>Grafy!$M$54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Grafy!$K$55:$K$56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Grafy!$M$55:$M$56</c:f>
              <c:numCache>
                <c:formatCode>General</c:formatCode>
                <c:ptCount val="2"/>
                <c:pt idx="0">
                  <c:v>142.32664999999997</c:v>
                </c:pt>
                <c:pt idx="1">
                  <c:v>224.700175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4B-4B6A-BA14-F2C990A8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501487"/>
        <c:axId val="2131504367"/>
      </c:scatterChart>
      <c:valAx>
        <c:axId val="213150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B_Napnutie gumičky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4367"/>
        <c:crosses val="autoZero"/>
        <c:crossBetween val="midCat"/>
      </c:valAx>
      <c:valAx>
        <c:axId val="21315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1501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A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Grafy!$K$64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Grafy!$L$63:$M$63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Grafy!$L$64:$M$64</c:f>
              <c:numCache>
                <c:formatCode>General</c:formatCode>
                <c:ptCount val="2"/>
                <c:pt idx="0">
                  <c:v>220.069275</c:v>
                </c:pt>
                <c:pt idx="1">
                  <c:v>225.10570000000001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9C-4973-8293-15CA436F2823}"/>
            </c:ext>
          </c:extLst>
        </c:ser>
        <c:ser>
          <c:idx val="1"/>
          <c:order val="1"/>
          <c:tx>
            <c:strRef>
              <c:f>Grafy!$K$65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Grafy!$L$63:$M$63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Grafy!$L$65:$M$65</c:f>
              <c:numCache>
                <c:formatCode>General</c:formatCode>
                <c:ptCount val="2"/>
                <c:pt idx="0">
                  <c:v>112.04950000000002</c:v>
                </c:pt>
                <c:pt idx="1">
                  <c:v>141.92112499999999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9C-4973-8293-15CA436F2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88880"/>
        <c:axId val="73689840"/>
      </c:scatterChart>
      <c:valAx>
        <c:axId val="7368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A_Uhol odpalu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9840"/>
        <c:crosses val="autoZero"/>
        <c:crossBetween val="midCat"/>
      </c:valAx>
      <c:valAx>
        <c:axId val="7368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A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Grafy!$L$63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Grafy!$K$64:$K$65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Grafy!$L$64:$L$65</c:f>
              <c:numCache>
                <c:formatCode>General</c:formatCode>
                <c:ptCount val="2"/>
                <c:pt idx="0">
                  <c:v>220.069275</c:v>
                </c:pt>
                <c:pt idx="1">
                  <c:v>112.04950000000002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ED-4BA6-9236-0BFE955E6AB6}"/>
            </c:ext>
          </c:extLst>
        </c:ser>
        <c:ser>
          <c:idx val="1"/>
          <c:order val="1"/>
          <c:tx>
            <c:strRef>
              <c:f>Grafy!$M$63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Grafy!$K$64:$K$65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Grafy!$M$64:$M$65</c:f>
              <c:numCache>
                <c:formatCode>General</c:formatCode>
                <c:ptCount val="2"/>
                <c:pt idx="0">
                  <c:v>225.10570000000001</c:v>
                </c:pt>
                <c:pt idx="1">
                  <c:v>141.92112499999999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ED-4BA6-9236-0BFE955E6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88880"/>
        <c:axId val="73689840"/>
      </c:scatterChart>
      <c:valAx>
        <c:axId val="7368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C_Hmotnosť guľôčky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9840"/>
        <c:crosses val="autoZero"/>
        <c:crossBetween val="midCat"/>
      </c:valAx>
      <c:valAx>
        <c:axId val="7368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B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Grafy!$K$73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Grafy!$L$72:$M$72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Grafy!$L$73:$M$73</c:f>
              <c:numCache>
                <c:formatCode>General</c:formatCode>
                <c:ptCount val="2"/>
                <c:pt idx="0">
                  <c:v>183.06094999999999</c:v>
                </c:pt>
                <c:pt idx="1">
                  <c:v>262.11402499999997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91-4074-B9A1-86F60D598F0A}"/>
            </c:ext>
          </c:extLst>
        </c:ser>
        <c:ser>
          <c:idx val="1"/>
          <c:order val="1"/>
          <c:tx>
            <c:strRef>
              <c:f>Grafy!$K$74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Grafy!$L$72:$M$72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Grafy!$L$74:$M$74</c:f>
              <c:numCache>
                <c:formatCode>General</c:formatCode>
                <c:ptCount val="2"/>
                <c:pt idx="0">
                  <c:v>92.665549999999996</c:v>
                </c:pt>
                <c:pt idx="1">
                  <c:v>161.30507500000002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91-4074-B9A1-86F60D59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705711"/>
        <c:axId val="2132714351"/>
      </c:scatterChart>
      <c:valAx>
        <c:axId val="2132705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B_Napnutie gumičky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14351"/>
        <c:crosses val="autoZero"/>
        <c:crossBetween val="midCat"/>
      </c:valAx>
      <c:valAx>
        <c:axId val="213271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05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Interakcia faktorov B a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Grafy!$L$72</c:f>
              <c:strCache>
                <c:ptCount val="1"/>
                <c:pt idx="0">
                  <c:v>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Grafy!$K$73:$K$74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Grafy!$L$73:$L$74</c:f>
              <c:numCache>
                <c:formatCode>General</c:formatCode>
                <c:ptCount val="2"/>
                <c:pt idx="0">
                  <c:v>183.06094999999999</c:v>
                </c:pt>
                <c:pt idx="1">
                  <c:v>92.665549999999996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82-419D-8426-1F9ACF36B480}"/>
            </c:ext>
          </c:extLst>
        </c:ser>
        <c:ser>
          <c:idx val="1"/>
          <c:order val="1"/>
          <c:tx>
            <c:strRef>
              <c:f>Grafy!$M$72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Grafy!$K$73:$K$74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xVal>
          <c:yVal>
            <c:numRef>
              <c:f>Grafy!$M$73:$M$74</c:f>
              <c:numCache>
                <c:formatCode>General</c:formatCode>
                <c:ptCount val="2"/>
                <c:pt idx="0">
                  <c:v>262.11402499999997</c:v>
                </c:pt>
                <c:pt idx="1">
                  <c:v>161.30507500000002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82-419D-8426-1F9ACF36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705711"/>
        <c:axId val="2132714351"/>
      </c:scatterChart>
      <c:valAx>
        <c:axId val="2132705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C_Hmotnosť guľôčky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14351"/>
        <c:crosses val="autoZero"/>
        <c:crossBetween val="midCat"/>
      </c:valAx>
      <c:valAx>
        <c:axId val="213271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Priemerná vzdialenpsť dopadu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32705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_xlchart.v1.0</cx:f>
      </cx:numDim>
    </cx:data>
  </cx:chartData>
  <cx:chart>
    <cx:plotArea>
      <cx:plotAreaRegion>
        <cx:series layoutId="boxWhisker" uniqueId="{81B4D42A-3FD4-4F7C-A1A7-9312F51DC1F1}">
          <cx:tx>
            <cx:txData>
              <cx:f/>
              <cx:v>y predikované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64CE-49B8-AA38-F3CD17D83014}">
          <cx:tx>
            <cx:txData>
              <cx:f/>
              <cx:v>y kontrolné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ax="260" min="100"/>
        <cx:title>
          <cx:tx>
            <cx:txData>
              <cx:v>Vzdialenosť dopadu [cm]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sk-SK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Vzdialenosť dopadu [cm]</a:t>
              </a:r>
            </a:p>
          </cx:txPr>
        </cx:title>
        <cx:majorGridlines/>
        <cx:tickLabels/>
      </cx:axis>
    </cx:plotArea>
    <cx:legend pos="r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microsoft.com/office/2014/relationships/chartEx" Target="../charts/chartEx1.xml"/><Relationship Id="rId1" Type="http://schemas.openxmlformats.org/officeDocument/2006/relationships/chart" Target="../charts/chart10.xml"/><Relationship Id="rId4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9.png"/><Relationship Id="rId21" Type="http://schemas.openxmlformats.org/officeDocument/2006/relationships/image" Target="../media/image28.png"/><Relationship Id="rId7" Type="http://schemas.openxmlformats.org/officeDocument/2006/relationships/image" Target="../media/image23.png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image" Target="../media/image32.png"/><Relationship Id="rId2" Type="http://schemas.openxmlformats.org/officeDocument/2006/relationships/image" Target="../media/image3.png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8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24" Type="http://schemas.openxmlformats.org/officeDocument/2006/relationships/image" Target="../media/image31.png"/><Relationship Id="rId5" Type="http://schemas.openxmlformats.org/officeDocument/2006/relationships/image" Target="../media/image21.png"/><Relationship Id="rId15" Type="http://schemas.openxmlformats.org/officeDocument/2006/relationships/chart" Target="../charts/chart14.xml"/><Relationship Id="rId23" Type="http://schemas.openxmlformats.org/officeDocument/2006/relationships/image" Target="../media/image30.png"/><Relationship Id="rId10" Type="http://schemas.openxmlformats.org/officeDocument/2006/relationships/image" Target="../media/image26.png"/><Relationship Id="rId19" Type="http://schemas.openxmlformats.org/officeDocument/2006/relationships/chart" Target="../charts/chart18.xml"/><Relationship Id="rId4" Type="http://schemas.openxmlformats.org/officeDocument/2006/relationships/image" Target="../media/image20.png"/><Relationship Id="rId9" Type="http://schemas.openxmlformats.org/officeDocument/2006/relationships/image" Target="../media/image25.png"/><Relationship Id="rId14" Type="http://schemas.openxmlformats.org/officeDocument/2006/relationships/chart" Target="../charts/chart13.xml"/><Relationship Id="rId22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433975</xdr:colOff>
      <xdr:row>24</xdr:row>
      <xdr:rowOff>11767</xdr:rowOff>
    </xdr:from>
    <xdr:to>
      <xdr:col>23</xdr:col>
      <xdr:colOff>418374</xdr:colOff>
      <xdr:row>49</xdr:row>
      <xdr:rowOff>155563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FC0BBBD-9BD3-FAED-874F-EFC4C3FC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3154" y="5155267"/>
          <a:ext cx="8276382" cy="4906296"/>
        </a:xfrm>
        <a:prstGeom prst="rect">
          <a:avLst/>
        </a:prstGeom>
      </xdr:spPr>
    </xdr:pic>
    <xdr:clientData/>
  </xdr:twoCellAnchor>
  <xdr:twoCellAnchor editAs="oneCell">
    <xdr:from>
      <xdr:col>1</xdr:col>
      <xdr:colOff>83004</xdr:colOff>
      <xdr:row>37</xdr:row>
      <xdr:rowOff>111066</xdr:rowOff>
    </xdr:from>
    <xdr:to>
      <xdr:col>11</xdr:col>
      <xdr:colOff>35019</xdr:colOff>
      <xdr:row>52</xdr:row>
      <xdr:rowOff>45446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4E437AB-C8B8-FA11-31D4-EECC58A5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7731066"/>
          <a:ext cx="7135017" cy="27918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77</xdr:row>
      <xdr:rowOff>176892</xdr:rowOff>
    </xdr:from>
    <xdr:to>
      <xdr:col>8</xdr:col>
      <xdr:colOff>557894</xdr:colOff>
      <xdr:row>97</xdr:row>
      <xdr:rowOff>90954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4F6EE315-BDDB-5B37-9D12-C3B968C61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822" y="15797892"/>
          <a:ext cx="4708072" cy="372406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258</xdr:row>
      <xdr:rowOff>66675</xdr:rowOff>
    </xdr:from>
    <xdr:to>
      <xdr:col>4</xdr:col>
      <xdr:colOff>266700</xdr:colOff>
      <xdr:row>264</xdr:row>
      <xdr:rowOff>35502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650DCC1C-C760-C690-CEC5-265C12F51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53139975"/>
          <a:ext cx="2514600" cy="1111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260902</xdr:colOff>
      <xdr:row>97</xdr:row>
      <xdr:rowOff>141218</xdr:rowOff>
    </xdr:from>
    <xdr:to>
      <xdr:col>12</xdr:col>
      <xdr:colOff>470039</xdr:colOff>
      <xdr:row>100</xdr:row>
      <xdr:rowOff>17393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5FB9F0E-C3BF-42CE-9499-D5A248AD4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54" y="18727392"/>
          <a:ext cx="278502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20080</xdr:colOff>
      <xdr:row>102</xdr:row>
      <xdr:rowOff>62946</xdr:rowOff>
    </xdr:from>
    <xdr:to>
      <xdr:col>11</xdr:col>
      <xdr:colOff>219623</xdr:colOff>
      <xdr:row>105</xdr:row>
      <xdr:rowOff>167833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B39CA89B-4A45-26EE-B641-7281BF0BF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6384" y="19601620"/>
          <a:ext cx="1902211" cy="676387"/>
        </a:xfrm>
        <a:prstGeom prst="rect">
          <a:avLst/>
        </a:prstGeom>
      </xdr:spPr>
    </xdr:pic>
    <xdr:clientData/>
  </xdr:twoCellAnchor>
  <xdr:twoCellAnchor editAs="oneCell">
    <xdr:from>
      <xdr:col>0</xdr:col>
      <xdr:colOff>612912</xdr:colOff>
      <xdr:row>122</xdr:row>
      <xdr:rowOff>173935</xdr:rowOff>
    </xdr:from>
    <xdr:to>
      <xdr:col>8</xdr:col>
      <xdr:colOff>737414</xdr:colOff>
      <xdr:row>143</xdr:row>
      <xdr:rowOff>173935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5B1D9701-1741-46F5-5261-866EA83BA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912" y="23522609"/>
          <a:ext cx="6000750" cy="4000500"/>
        </a:xfrm>
        <a:prstGeom prst="rect">
          <a:avLst/>
        </a:prstGeom>
      </xdr:spPr>
    </xdr:pic>
    <xdr:clientData/>
  </xdr:twoCellAnchor>
  <xdr:twoCellAnchor editAs="oneCell">
    <xdr:from>
      <xdr:col>1</xdr:col>
      <xdr:colOff>33130</xdr:colOff>
      <xdr:row>155</xdr:row>
      <xdr:rowOff>8284</xdr:rowOff>
    </xdr:from>
    <xdr:to>
      <xdr:col>8</xdr:col>
      <xdr:colOff>260073</xdr:colOff>
      <xdr:row>174</xdr:row>
      <xdr:rowOff>46384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B6D2B5BB-EE15-63BE-EF20-5B6CFA488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6043" y="29643458"/>
          <a:ext cx="5486400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91108</xdr:rowOff>
    </xdr:from>
    <xdr:to>
      <xdr:col>8</xdr:col>
      <xdr:colOff>226943</xdr:colOff>
      <xdr:row>196</xdr:row>
      <xdr:rowOff>129208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765D9B5D-76A4-F629-F9C8-81D966A5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2913" y="33917282"/>
          <a:ext cx="5486400" cy="3657600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438150</xdr:colOff>
      <xdr:row>3</xdr:row>
      <xdr:rowOff>61647</xdr:rowOff>
    </xdr:from>
    <xdr:to>
      <xdr:col>27</xdr:col>
      <xdr:colOff>496882</xdr:colOff>
      <xdr:row>35</xdr:row>
      <xdr:rowOff>39228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B8F8802-4EDF-9AEF-96DA-71EBBC75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77450" y="633147"/>
          <a:ext cx="8593132" cy="6130731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44</xdr:row>
      <xdr:rowOff>144383</xdr:rowOff>
    </xdr:from>
    <xdr:to>
      <xdr:col>29</xdr:col>
      <xdr:colOff>563939</xdr:colOff>
      <xdr:row>66</xdr:row>
      <xdr:rowOff>10300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85EEDEB-5F38-0656-F03E-9DD41946D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0" y="8593058"/>
          <a:ext cx="10260389" cy="4056917"/>
        </a:xfrm>
        <a:prstGeom prst="rect">
          <a:avLst/>
        </a:prstGeom>
      </xdr:spPr>
    </xdr:pic>
    <xdr:clientData/>
  </xdr:twoCellAnchor>
  <xdr:twoCellAnchor editAs="oneCell">
    <xdr:from>
      <xdr:col>15</xdr:col>
      <xdr:colOff>79294</xdr:colOff>
      <xdr:row>93</xdr:row>
      <xdr:rowOff>76200</xdr:rowOff>
    </xdr:from>
    <xdr:to>
      <xdr:col>22</xdr:col>
      <xdr:colOff>134200</xdr:colOff>
      <xdr:row>124</xdr:row>
      <xdr:rowOff>1146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FD21B4CC-24E4-6AEC-2E6F-6F0FBF2B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37794" y="17916525"/>
          <a:ext cx="4322106" cy="5830446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204</xdr:row>
      <xdr:rowOff>141525</xdr:rowOff>
    </xdr:from>
    <xdr:to>
      <xdr:col>26</xdr:col>
      <xdr:colOff>30491</xdr:colOff>
      <xdr:row>234</xdr:row>
      <xdr:rowOff>77298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97966BED-96BE-96F9-F670-D93CF047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15250" y="39127350"/>
          <a:ext cx="9879341" cy="5669823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239</xdr:row>
      <xdr:rowOff>110065</xdr:rowOff>
    </xdr:from>
    <xdr:to>
      <xdr:col>27</xdr:col>
      <xdr:colOff>544629</xdr:colOff>
      <xdr:row>265</xdr:row>
      <xdr:rowOff>39198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6CE9CEB3-25DC-8852-9241-A1050380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96625" y="45782440"/>
          <a:ext cx="7621704" cy="4910708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284</xdr:row>
      <xdr:rowOff>10525</xdr:rowOff>
    </xdr:from>
    <xdr:to>
      <xdr:col>25</xdr:col>
      <xdr:colOff>1925</xdr:colOff>
      <xdr:row>311</xdr:row>
      <xdr:rowOff>172564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90FE3AED-0A31-76A5-779A-3F3EB3F7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72400" y="54293500"/>
          <a:ext cx="9184025" cy="5315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</xdr:row>
      <xdr:rowOff>71437</xdr:rowOff>
    </xdr:from>
    <xdr:to>
      <xdr:col>8</xdr:col>
      <xdr:colOff>371475</xdr:colOff>
      <xdr:row>37</xdr:row>
      <xdr:rowOff>147637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167D8C-2833-26F4-39BA-C0EB9CA3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452437</xdr:colOff>
      <xdr:row>23</xdr:row>
      <xdr:rowOff>61912</xdr:rowOff>
    </xdr:from>
    <xdr:to>
      <xdr:col>16</xdr:col>
      <xdr:colOff>147637</xdr:colOff>
      <xdr:row>37</xdr:row>
      <xdr:rowOff>138112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79D9726-8ECC-A481-C6AE-49C5DC373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252412</xdr:colOff>
      <xdr:row>23</xdr:row>
      <xdr:rowOff>61912</xdr:rowOff>
    </xdr:from>
    <xdr:to>
      <xdr:col>23</xdr:col>
      <xdr:colOff>557212</xdr:colOff>
      <xdr:row>37</xdr:row>
      <xdr:rowOff>138112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1FAB7B8-1224-E2C9-C3EF-7DFBE9E72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142875</xdr:colOff>
      <xdr:row>46</xdr:row>
      <xdr:rowOff>147637</xdr:rowOff>
    </xdr:from>
    <xdr:to>
      <xdr:col>24</xdr:col>
      <xdr:colOff>447675</xdr:colOff>
      <xdr:row>61</xdr:row>
      <xdr:rowOff>33337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CB3EBB7-FFD6-FEBF-BAC1-36E8F9F8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571500</xdr:colOff>
      <xdr:row>46</xdr:row>
      <xdr:rowOff>142875</xdr:rowOff>
    </xdr:from>
    <xdr:to>
      <xdr:col>32</xdr:col>
      <xdr:colOff>266700</xdr:colOff>
      <xdr:row>61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4053CD7F-4C9E-4318-9795-E29921224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30816</xdr:colOff>
      <xdr:row>67</xdr:row>
      <xdr:rowOff>65834</xdr:rowOff>
    </xdr:from>
    <xdr:to>
      <xdr:col>24</xdr:col>
      <xdr:colOff>335616</xdr:colOff>
      <xdr:row>81</xdr:row>
      <xdr:rowOff>142034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3B230625-F73C-0F7D-90B8-6EBC7FC9D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402291</xdr:colOff>
      <xdr:row>67</xdr:row>
      <xdr:rowOff>42022</xdr:rowOff>
    </xdr:from>
    <xdr:to>
      <xdr:col>32</xdr:col>
      <xdr:colOff>97491</xdr:colOff>
      <xdr:row>81</xdr:row>
      <xdr:rowOff>118222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727DED4-E95B-437E-839B-1C219F739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295275</xdr:colOff>
      <xdr:row>77</xdr:row>
      <xdr:rowOff>33337</xdr:rowOff>
    </xdr:from>
    <xdr:to>
      <xdr:col>7</xdr:col>
      <xdr:colOff>600075</xdr:colOff>
      <xdr:row>91</xdr:row>
      <xdr:rowOff>109537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9368B89-A5FD-6601-034C-05A596C03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38100</xdr:colOff>
      <xdr:row>76</xdr:row>
      <xdr:rowOff>190499</xdr:rowOff>
    </xdr:from>
    <xdr:to>
      <xdr:col>15</xdr:col>
      <xdr:colOff>342900</xdr:colOff>
      <xdr:row>91</xdr:row>
      <xdr:rowOff>104774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75C93A8E-D5F8-4DF4-8377-115181DE1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18316</xdr:colOff>
      <xdr:row>46</xdr:row>
      <xdr:rowOff>13189</xdr:rowOff>
    </xdr:from>
    <xdr:to>
      <xdr:col>7</xdr:col>
      <xdr:colOff>304066</xdr:colOff>
      <xdr:row>60</xdr:row>
      <xdr:rowOff>89389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736DE47-9BD8-912E-1F7C-3519026C9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769326</xdr:colOff>
      <xdr:row>46</xdr:row>
      <xdr:rowOff>13190</xdr:rowOff>
    </xdr:from>
    <xdr:to>
      <xdr:col>14</xdr:col>
      <xdr:colOff>740019</xdr:colOff>
      <xdr:row>60</xdr:row>
      <xdr:rowOff>89390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C13EC528-A5AA-9CB7-D12E-98A8B5A801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3" name="Obdĺžnik 2"/>
            <xdr:cNvSpPr>
              <a:spLocks noTextEdit="1"/>
            </xdr:cNvSpPr>
          </xdr:nvSpPr>
          <xdr:spPr>
            <a:xfrm>
              <a:off x="5674701" y="8880965"/>
              <a:ext cx="4583968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 editAs="oneCell">
    <xdr:from>
      <xdr:col>24</xdr:col>
      <xdr:colOff>528448</xdr:colOff>
      <xdr:row>44</xdr:row>
      <xdr:rowOff>123265</xdr:rowOff>
    </xdr:from>
    <xdr:to>
      <xdr:col>39</xdr:col>
      <xdr:colOff>116781</xdr:colOff>
      <xdr:row>71</xdr:row>
      <xdr:rowOff>89662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F51BEEA1-6CF8-64A0-75DF-14379B863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51154" y="8583706"/>
          <a:ext cx="8665098" cy="5121103"/>
        </a:xfrm>
        <a:prstGeom prst="rect">
          <a:avLst/>
        </a:prstGeom>
      </xdr:spPr>
    </xdr:pic>
    <xdr:clientData/>
  </xdr:twoCellAnchor>
  <xdr:twoCellAnchor editAs="oneCell">
    <xdr:from>
      <xdr:col>6</xdr:col>
      <xdr:colOff>21541</xdr:colOff>
      <xdr:row>60</xdr:row>
      <xdr:rowOff>134469</xdr:rowOff>
    </xdr:from>
    <xdr:to>
      <xdr:col>15</xdr:col>
      <xdr:colOff>504526</xdr:colOff>
      <xdr:row>82</xdr:row>
      <xdr:rowOff>22412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AF6E779C-D36D-E429-5FB5-6C5BDDB2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89276" y="11654116"/>
          <a:ext cx="6791897" cy="40789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483577</xdr:colOff>
      <xdr:row>2</xdr:row>
      <xdr:rowOff>178045</xdr:rowOff>
    </xdr:from>
    <xdr:to>
      <xdr:col>7</xdr:col>
      <xdr:colOff>189768</xdr:colOff>
      <xdr:row>16</xdr:row>
      <xdr:rowOff>158995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34D3E60-9C05-2323-6063-26E53462C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77" y="559045"/>
          <a:ext cx="3963133" cy="2647950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</xdr:colOff>
      <xdr:row>17</xdr:row>
      <xdr:rowOff>86458</xdr:rowOff>
    </xdr:from>
    <xdr:to>
      <xdr:col>6</xdr:col>
      <xdr:colOff>366346</xdr:colOff>
      <xdr:row>31</xdr:row>
      <xdr:rowOff>101981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4771ED6-78B2-4DD2-80CE-1A7EF234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81" y="3324958"/>
          <a:ext cx="3383573" cy="26825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95250</xdr:rowOff>
    </xdr:from>
    <xdr:to>
      <xdr:col>8</xdr:col>
      <xdr:colOff>269615</xdr:colOff>
      <xdr:row>52</xdr:row>
      <xdr:rowOff>125778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98F854F8-BEBE-DC4D-FEC0-BF8CDC12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72250"/>
          <a:ext cx="5134692" cy="3496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65942</xdr:rowOff>
    </xdr:from>
    <xdr:to>
      <xdr:col>8</xdr:col>
      <xdr:colOff>263769</xdr:colOff>
      <xdr:row>66</xdr:row>
      <xdr:rowOff>139211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6B5FE22-F0D8-0BDD-A156-217E60E3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08577"/>
          <a:ext cx="5128846" cy="27475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51290</xdr:rowOff>
    </xdr:from>
    <xdr:to>
      <xdr:col>8</xdr:col>
      <xdr:colOff>116498</xdr:colOff>
      <xdr:row>75</xdr:row>
      <xdr:rowOff>41765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89AD5E03-3CA6-37B1-AFDC-113027C6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239752"/>
          <a:ext cx="4981575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75</xdr:row>
      <xdr:rowOff>168520</xdr:rowOff>
    </xdr:from>
    <xdr:to>
      <xdr:col>18</xdr:col>
      <xdr:colOff>115104</xdr:colOff>
      <xdr:row>77</xdr:row>
      <xdr:rowOff>187626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2A6CFC5E-FCD1-5F33-11B7-296A8C2E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616" y="14499982"/>
          <a:ext cx="11002911" cy="4001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8</xdr:col>
      <xdr:colOff>279141</xdr:colOff>
      <xdr:row>97</xdr:row>
      <xdr:rowOff>180724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A368C948-2721-8F73-2C7A-62780BF5D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283962"/>
          <a:ext cx="5144218" cy="344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7327</xdr:rowOff>
    </xdr:from>
    <xdr:to>
      <xdr:col>8</xdr:col>
      <xdr:colOff>318331</xdr:colOff>
      <xdr:row>113</xdr:row>
      <xdr:rowOff>65942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966B3FAE-CAD6-B1EA-44ED-F473F3C55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720289"/>
          <a:ext cx="5183408" cy="2923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51288</xdr:rowOff>
    </xdr:from>
    <xdr:to>
      <xdr:col>8</xdr:col>
      <xdr:colOff>116498</xdr:colOff>
      <xdr:row>122</xdr:row>
      <xdr:rowOff>41763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A759C9DE-C427-B647-70A2-BB1D95E54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237211"/>
          <a:ext cx="4981575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36634</xdr:rowOff>
    </xdr:from>
    <xdr:to>
      <xdr:col>17</xdr:col>
      <xdr:colOff>235938</xdr:colOff>
      <xdr:row>124</xdr:row>
      <xdr:rowOff>103345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64E4D69-E4E0-7568-ADDD-43309D813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3556057"/>
          <a:ext cx="10574226" cy="2572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7327</xdr:rowOff>
    </xdr:from>
    <xdr:to>
      <xdr:col>9</xdr:col>
      <xdr:colOff>13188</xdr:colOff>
      <xdr:row>146</xdr:row>
      <xdr:rowOff>45427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A5EEAD1D-2F3C-CB10-DB4F-6F205D9E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288750"/>
          <a:ext cx="5486400" cy="3657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68141</xdr:rowOff>
    </xdr:from>
    <xdr:to>
      <xdr:col>7</xdr:col>
      <xdr:colOff>283681</xdr:colOff>
      <xdr:row>160</xdr:row>
      <xdr:rowOff>144341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77C404A5-6714-4163-ADE9-51280BE26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364643</xdr:colOff>
      <xdr:row>146</xdr:row>
      <xdr:rowOff>58616</xdr:rowOff>
    </xdr:from>
    <xdr:to>
      <xdr:col>15</xdr:col>
      <xdr:colOff>35707</xdr:colOff>
      <xdr:row>160</xdr:row>
      <xdr:rowOff>134816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21F8B4C8-027B-4FEB-B004-80870D9C0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140482</xdr:colOff>
      <xdr:row>146</xdr:row>
      <xdr:rowOff>58616</xdr:rowOff>
    </xdr:from>
    <xdr:to>
      <xdr:col>22</xdr:col>
      <xdr:colOff>424163</xdr:colOff>
      <xdr:row>160</xdr:row>
      <xdr:rowOff>134816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9E47E3CB-9A5B-4391-93D5-C66DB196D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281181</xdr:colOff>
      <xdr:row>161</xdr:row>
      <xdr:rowOff>4762</xdr:rowOff>
    </xdr:from>
    <xdr:to>
      <xdr:col>16</xdr:col>
      <xdr:colOff>561847</xdr:colOff>
      <xdr:row>175</xdr:row>
      <xdr:rowOff>80962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C130169C-3B1E-42E5-9F5B-574DF7763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596025</xdr:colOff>
      <xdr:row>160</xdr:row>
      <xdr:rowOff>168088</xdr:rowOff>
    </xdr:from>
    <xdr:to>
      <xdr:col>24</xdr:col>
      <xdr:colOff>270105</xdr:colOff>
      <xdr:row>175</xdr:row>
      <xdr:rowOff>53788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30E8AB23-2886-4AC6-97E4-952071C5D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258769</xdr:colOff>
      <xdr:row>175</xdr:row>
      <xdr:rowOff>57430</xdr:rowOff>
    </xdr:from>
    <xdr:to>
      <xdr:col>16</xdr:col>
      <xdr:colOff>542452</xdr:colOff>
      <xdr:row>189</xdr:row>
      <xdr:rowOff>133630</xdr:rowOff>
    </xdr:to>
    <xdr:graphicFrame macro="">
      <xdr:nvGraphicFramePr>
        <xdr:cNvPr id="18" name="Graf 17">
          <a:extLst>
            <a:ext uri="{FF2B5EF4-FFF2-40B4-BE49-F238E27FC236}">
              <a16:creationId xmlns:a16="http://schemas.microsoft.com/office/drawing/2014/main" id="{34967BCE-2940-4B5E-9356-15584B33F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572492</xdr:colOff>
      <xdr:row>175</xdr:row>
      <xdr:rowOff>11207</xdr:rowOff>
    </xdr:from>
    <xdr:to>
      <xdr:col>24</xdr:col>
      <xdr:colOff>246572</xdr:colOff>
      <xdr:row>189</xdr:row>
      <xdr:rowOff>87407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B12755C9-7721-4042-BE42-E42FA1349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100852</xdr:colOff>
      <xdr:row>182</xdr:row>
      <xdr:rowOff>136991</xdr:rowOff>
    </xdr:from>
    <xdr:to>
      <xdr:col>7</xdr:col>
      <xdr:colOff>384534</xdr:colOff>
      <xdr:row>197</xdr:row>
      <xdr:rowOff>22691</xdr:rowOff>
    </xdr:to>
    <xdr:graphicFrame macro="">
      <xdr:nvGraphicFramePr>
        <xdr:cNvPr id="20" name="Graf 19">
          <a:extLst>
            <a:ext uri="{FF2B5EF4-FFF2-40B4-BE49-F238E27FC236}">
              <a16:creationId xmlns:a16="http://schemas.microsoft.com/office/drawing/2014/main" id="{AB8ACB78-D666-485F-94E8-82270B582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248382</xdr:colOff>
      <xdr:row>189</xdr:row>
      <xdr:rowOff>182094</xdr:rowOff>
    </xdr:from>
    <xdr:to>
      <xdr:col>16</xdr:col>
      <xdr:colOff>529047</xdr:colOff>
      <xdr:row>204</xdr:row>
      <xdr:rowOff>96369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856E773A-D006-4401-AEC6-011044B57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163</xdr:row>
      <xdr:rowOff>-1</xdr:rowOff>
    </xdr:from>
    <xdr:to>
      <xdr:col>9</xdr:col>
      <xdr:colOff>285749</xdr:colOff>
      <xdr:row>183</xdr:row>
      <xdr:rowOff>11204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BFBD1E80-E60A-4D9E-07A8-3A0FDD0A4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1185970"/>
          <a:ext cx="5731808" cy="3821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8</xdr:col>
      <xdr:colOff>550961</xdr:colOff>
      <xdr:row>228</xdr:row>
      <xdr:rowOff>86269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61C6B816-B02D-5A62-DFC4-F091E838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9758471"/>
          <a:ext cx="5391902" cy="3896269"/>
        </a:xfrm>
        <a:prstGeom prst="rect">
          <a:avLst/>
        </a:prstGeom>
      </xdr:spPr>
    </xdr:pic>
    <xdr:clientData/>
  </xdr:twoCellAnchor>
  <xdr:twoCellAnchor editAs="oneCell">
    <xdr:from>
      <xdr:col>9</xdr:col>
      <xdr:colOff>33617</xdr:colOff>
      <xdr:row>206</xdr:row>
      <xdr:rowOff>83112</xdr:rowOff>
    </xdr:from>
    <xdr:to>
      <xdr:col>30</xdr:col>
      <xdr:colOff>464768</xdr:colOff>
      <xdr:row>229</xdr:row>
      <xdr:rowOff>146342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DA0B926F-83BD-2371-4847-A023DE3D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79676" y="39460583"/>
          <a:ext cx="13138621" cy="4444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7</xdr:col>
      <xdr:colOff>108182</xdr:colOff>
      <xdr:row>261</xdr:row>
      <xdr:rowOff>153219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724EA68C-58EA-AD3F-11DA-AC164490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44139971"/>
          <a:ext cx="4344006" cy="5868219"/>
        </a:xfrm>
        <a:prstGeom prst="rect">
          <a:avLst/>
        </a:prstGeom>
      </xdr:spPr>
    </xdr:pic>
    <xdr:clientData/>
  </xdr:twoCellAnchor>
  <xdr:twoCellAnchor editAs="oneCell">
    <xdr:from>
      <xdr:col>7</xdr:col>
      <xdr:colOff>515470</xdr:colOff>
      <xdr:row>232</xdr:row>
      <xdr:rowOff>89647</xdr:rowOff>
    </xdr:from>
    <xdr:to>
      <xdr:col>15</xdr:col>
      <xdr:colOff>44823</xdr:colOff>
      <xdr:row>260</xdr:row>
      <xdr:rowOff>101452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873DD02B-0C39-5349-F9F3-0FDD673D4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51294" y="44420118"/>
          <a:ext cx="4370294" cy="53458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6"/>
  <sheetViews>
    <sheetView tabSelected="1" topLeftCell="A82" zoomScale="85" zoomScaleNormal="85" workbookViewId="0">
      <selection activeCell="N14" sqref="N14"/>
    </sheetView>
  </sheetViews>
  <sheetFormatPr defaultRowHeight="14.25"/>
  <cols>
    <col min="2" max="2" width="9.125" customWidth="1"/>
    <col min="6" max="6" width="11.625" customWidth="1"/>
    <col min="7" max="7" width="10.125" customWidth="1"/>
    <col min="8" max="8" width="12.25" customWidth="1"/>
    <col min="9" max="9" width="18.375" customWidth="1"/>
    <col min="12" max="12" width="13.625" customWidth="1"/>
    <col min="17" max="17" width="12.25" customWidth="1"/>
    <col min="18" max="18" width="15.75" customWidth="1"/>
  </cols>
  <sheetData>
    <row r="1" spans="1:2" ht="15">
      <c r="A1" s="16" t="s">
        <v>13</v>
      </c>
      <c r="B1" s="15" t="s">
        <v>6</v>
      </c>
    </row>
    <row r="2" spans="1:2" ht="15">
      <c r="B2" s="16" t="s">
        <v>7</v>
      </c>
    </row>
    <row r="3" spans="1:2" ht="15">
      <c r="B3" s="16" t="s">
        <v>8</v>
      </c>
    </row>
    <row r="4" spans="1:2" ht="15">
      <c r="B4" s="16" t="s">
        <v>9</v>
      </c>
    </row>
    <row r="5" spans="1:2" ht="15">
      <c r="B5" s="16" t="s">
        <v>10</v>
      </c>
    </row>
    <row r="7" spans="1:2" ht="15">
      <c r="A7" s="18" t="s">
        <v>14</v>
      </c>
    </row>
    <row r="8" spans="1:2" ht="15">
      <c r="A8" s="14" t="s">
        <v>21</v>
      </c>
    </row>
    <row r="9" spans="1:2" ht="15">
      <c r="A9" s="14" t="s">
        <v>11</v>
      </c>
    </row>
    <row r="10" spans="1:2" ht="15">
      <c r="A10" s="14" t="s">
        <v>12</v>
      </c>
    </row>
    <row r="12" spans="1:2" ht="15">
      <c r="A12" s="14" t="s">
        <v>15</v>
      </c>
    </row>
    <row r="13" spans="1:2" ht="15">
      <c r="A13" s="14" t="s">
        <v>280</v>
      </c>
    </row>
    <row r="14" spans="1:2" ht="15">
      <c r="A14" s="14"/>
    </row>
    <row r="15" spans="1:2" ht="15">
      <c r="A15" s="14" t="s">
        <v>16</v>
      </c>
    </row>
    <row r="16" spans="1:2" ht="15">
      <c r="A16" s="14"/>
    </row>
    <row r="17" spans="3:18" ht="15">
      <c r="K17" s="14" t="s">
        <v>17</v>
      </c>
    </row>
    <row r="18" spans="3:18" ht="60">
      <c r="C18" s="5" t="s">
        <v>0</v>
      </c>
      <c r="D18" s="5" t="s">
        <v>1</v>
      </c>
      <c r="E18" s="5" t="s">
        <v>2</v>
      </c>
      <c r="F18" s="5" t="s">
        <v>3</v>
      </c>
      <c r="G18" s="5" t="s">
        <v>4</v>
      </c>
      <c r="H18" s="5" t="s">
        <v>5</v>
      </c>
      <c r="I18" s="94"/>
      <c r="L18" s="5" t="s">
        <v>0</v>
      </c>
      <c r="M18" s="5" t="s">
        <v>1</v>
      </c>
      <c r="N18" s="5" t="s">
        <v>2</v>
      </c>
      <c r="O18" s="5" t="s">
        <v>3</v>
      </c>
      <c r="P18" s="5" t="s">
        <v>4</v>
      </c>
      <c r="Q18" s="5" t="s">
        <v>5</v>
      </c>
      <c r="R18" s="94"/>
    </row>
    <row r="19" spans="3:18" ht="15">
      <c r="C19" s="5">
        <v>1</v>
      </c>
      <c r="D19" s="3">
        <v>16</v>
      </c>
      <c r="E19" s="3">
        <v>60</v>
      </c>
      <c r="F19" s="3">
        <v>4.17</v>
      </c>
      <c r="G19" s="3">
        <v>6</v>
      </c>
      <c r="H19" s="3">
        <v>177.66919999999999</v>
      </c>
      <c r="I19" s="95"/>
      <c r="L19" s="5">
        <v>17</v>
      </c>
      <c r="M19" s="3">
        <v>16</v>
      </c>
      <c r="N19" s="3">
        <v>45</v>
      </c>
      <c r="O19" s="3">
        <v>4.4850000000000003</v>
      </c>
      <c r="P19" s="3">
        <v>12</v>
      </c>
      <c r="Q19" s="3">
        <v>175.0677</v>
      </c>
      <c r="R19" s="95"/>
    </row>
    <row r="20" spans="3:18" ht="15">
      <c r="C20" s="5">
        <v>2</v>
      </c>
      <c r="D20" s="3">
        <v>16</v>
      </c>
      <c r="E20" s="3">
        <v>60</v>
      </c>
      <c r="F20" s="3">
        <v>4.17</v>
      </c>
      <c r="G20" s="3">
        <v>6</v>
      </c>
      <c r="H20" s="3">
        <v>182.143</v>
      </c>
      <c r="I20" s="95"/>
      <c r="L20" s="5">
        <v>18</v>
      </c>
      <c r="M20" s="3">
        <v>16</v>
      </c>
      <c r="N20" s="3">
        <v>45</v>
      </c>
      <c r="O20" s="3">
        <v>4.4850000000000003</v>
      </c>
      <c r="P20" s="3">
        <v>12</v>
      </c>
      <c r="Q20" s="3">
        <v>165.96080000000001</v>
      </c>
      <c r="R20" s="95"/>
    </row>
    <row r="21" spans="3:18" ht="15">
      <c r="C21" s="5">
        <v>3</v>
      </c>
      <c r="D21" s="3">
        <v>16</v>
      </c>
      <c r="E21" s="3">
        <v>30</v>
      </c>
      <c r="F21" s="3">
        <v>4.8</v>
      </c>
      <c r="G21" s="3">
        <v>18</v>
      </c>
      <c r="H21" s="3">
        <v>141.2878</v>
      </c>
      <c r="I21" s="95"/>
      <c r="L21" s="5">
        <v>19</v>
      </c>
      <c r="M21" s="3">
        <v>16</v>
      </c>
      <c r="N21" s="3">
        <v>45</v>
      </c>
      <c r="O21" s="3">
        <v>4.4850000000000003</v>
      </c>
      <c r="P21" s="3">
        <v>12</v>
      </c>
      <c r="Q21" s="3">
        <v>174.0453</v>
      </c>
      <c r="R21" s="95"/>
    </row>
    <row r="22" spans="3:18" ht="15">
      <c r="C22" s="5">
        <v>4</v>
      </c>
      <c r="D22" s="3">
        <v>16</v>
      </c>
      <c r="E22" s="3">
        <v>30</v>
      </c>
      <c r="F22" s="3">
        <v>4.8</v>
      </c>
      <c r="G22" s="3">
        <v>18</v>
      </c>
      <c r="H22" s="3">
        <v>145.7424</v>
      </c>
      <c r="I22" s="95"/>
      <c r="L22" s="5">
        <v>20</v>
      </c>
      <c r="M22" s="3">
        <v>16</v>
      </c>
      <c r="N22" s="3">
        <v>45</v>
      </c>
      <c r="O22" s="3">
        <v>4.4850000000000003</v>
      </c>
      <c r="P22" s="3">
        <v>12</v>
      </c>
      <c r="Q22" s="3">
        <v>164.31030000000001</v>
      </c>
      <c r="R22" s="95"/>
    </row>
    <row r="23" spans="3:18" ht="15">
      <c r="C23" s="5">
        <v>5</v>
      </c>
      <c r="D23" s="3">
        <v>16</v>
      </c>
      <c r="E23" s="3">
        <v>60</v>
      </c>
      <c r="F23" s="3">
        <v>4.8</v>
      </c>
      <c r="G23" s="3">
        <v>6</v>
      </c>
      <c r="H23" s="3">
        <v>268.84870000000001</v>
      </c>
      <c r="I23" s="95"/>
    </row>
    <row r="24" spans="3:18" ht="15">
      <c r="C24" s="5">
        <v>6</v>
      </c>
      <c r="D24" s="3">
        <v>16</v>
      </c>
      <c r="E24" s="3">
        <v>60</v>
      </c>
      <c r="F24" s="3">
        <v>4.8</v>
      </c>
      <c r="G24" s="3">
        <v>6</v>
      </c>
      <c r="H24" s="3">
        <v>271.76190000000003</v>
      </c>
      <c r="I24" s="95"/>
    </row>
    <row r="25" spans="3:18" ht="15">
      <c r="C25" s="5">
        <v>7</v>
      </c>
      <c r="D25" s="3">
        <v>16</v>
      </c>
      <c r="E25" s="3">
        <v>30</v>
      </c>
      <c r="F25" s="3">
        <v>4.17</v>
      </c>
      <c r="G25" s="3">
        <v>6</v>
      </c>
      <c r="H25" s="3">
        <v>189.28829999999999</v>
      </c>
      <c r="I25" s="95"/>
    </row>
    <row r="26" spans="3:18" ht="15">
      <c r="C26" s="5">
        <v>8</v>
      </c>
      <c r="D26" s="3">
        <v>16</v>
      </c>
      <c r="E26" s="3">
        <v>30</v>
      </c>
      <c r="F26" s="3">
        <v>4.17</v>
      </c>
      <c r="G26" s="3">
        <v>6</v>
      </c>
      <c r="H26" s="3">
        <v>183.14330000000001</v>
      </c>
      <c r="I26" s="95"/>
    </row>
    <row r="27" spans="3:18" ht="15">
      <c r="C27" s="5">
        <v>9</v>
      </c>
      <c r="D27" s="3">
        <v>16</v>
      </c>
      <c r="E27" s="3">
        <v>60</v>
      </c>
      <c r="F27" s="3">
        <v>4.17</v>
      </c>
      <c r="G27" s="3">
        <v>18</v>
      </c>
      <c r="H27" s="3">
        <v>100.1876</v>
      </c>
      <c r="I27" s="95"/>
    </row>
    <row r="28" spans="3:18" ht="15">
      <c r="C28" s="5">
        <v>10</v>
      </c>
      <c r="D28" s="3">
        <v>16</v>
      </c>
      <c r="E28" s="3">
        <v>60</v>
      </c>
      <c r="F28" s="3">
        <v>4.17</v>
      </c>
      <c r="G28" s="3">
        <v>18</v>
      </c>
      <c r="H28" s="3">
        <v>109.3068</v>
      </c>
      <c r="I28" s="95"/>
    </row>
    <row r="29" spans="3:18" ht="15">
      <c r="C29" s="5">
        <v>11</v>
      </c>
      <c r="D29" s="3">
        <v>16</v>
      </c>
      <c r="E29" s="3">
        <v>30</v>
      </c>
      <c r="F29" s="3">
        <v>4.8</v>
      </c>
      <c r="G29" s="3">
        <v>6</v>
      </c>
      <c r="H29" s="3">
        <v>259.6343</v>
      </c>
      <c r="I29" s="95"/>
    </row>
    <row r="30" spans="3:18" ht="15">
      <c r="C30" s="5">
        <v>12</v>
      </c>
      <c r="D30" s="3">
        <v>16</v>
      </c>
      <c r="E30" s="3">
        <v>30</v>
      </c>
      <c r="F30" s="3">
        <v>4.8</v>
      </c>
      <c r="G30" s="3">
        <v>6</v>
      </c>
      <c r="H30" s="3">
        <v>248.21119999999999</v>
      </c>
      <c r="I30" s="95"/>
    </row>
    <row r="31" spans="3:18" ht="15">
      <c r="C31" s="5">
        <v>13</v>
      </c>
      <c r="D31" s="3">
        <v>16</v>
      </c>
      <c r="E31" s="3">
        <v>60</v>
      </c>
      <c r="F31" s="3">
        <v>4.8</v>
      </c>
      <c r="G31" s="3">
        <v>18</v>
      </c>
      <c r="H31" s="3">
        <v>181.59819999999999</v>
      </c>
      <c r="I31" s="95"/>
    </row>
    <row r="32" spans="3:18" ht="15">
      <c r="C32" s="5">
        <v>14</v>
      </c>
      <c r="D32" s="3">
        <v>16</v>
      </c>
      <c r="E32" s="3">
        <v>60</v>
      </c>
      <c r="F32" s="3">
        <v>4.8</v>
      </c>
      <c r="G32" s="3">
        <v>18</v>
      </c>
      <c r="H32" s="3">
        <v>176.59190000000001</v>
      </c>
      <c r="I32" s="95"/>
    </row>
    <row r="33" spans="2:9" ht="15">
      <c r="C33" s="5">
        <v>15</v>
      </c>
      <c r="D33" s="3">
        <v>16</v>
      </c>
      <c r="E33" s="3">
        <v>30</v>
      </c>
      <c r="F33" s="3">
        <v>4.17</v>
      </c>
      <c r="G33" s="3">
        <v>18</v>
      </c>
      <c r="H33" s="3">
        <v>71.826899999999995</v>
      </c>
      <c r="I33" s="95"/>
    </row>
    <row r="34" spans="2:9" ht="15">
      <c r="C34" s="5">
        <v>16</v>
      </c>
      <c r="D34" s="3">
        <v>16</v>
      </c>
      <c r="E34" s="3">
        <v>30</v>
      </c>
      <c r="F34" s="3">
        <v>4.17</v>
      </c>
      <c r="G34" s="3">
        <v>18</v>
      </c>
      <c r="H34" s="3">
        <v>89.340900000000005</v>
      </c>
      <c r="I34" s="95"/>
    </row>
    <row r="37" spans="2:9" ht="15">
      <c r="B37" s="14" t="s">
        <v>18</v>
      </c>
    </row>
    <row r="57" spans="1:9" ht="45">
      <c r="A57" s="16"/>
      <c r="C57" s="5" t="s">
        <v>0</v>
      </c>
      <c r="D57" s="5" t="s">
        <v>1</v>
      </c>
      <c r="E57" s="5" t="s">
        <v>2</v>
      </c>
      <c r="F57" s="5" t="s">
        <v>3</v>
      </c>
      <c r="G57" s="5" t="s">
        <v>4</v>
      </c>
      <c r="H57" s="5" t="s">
        <v>5</v>
      </c>
      <c r="I57" s="5" t="s">
        <v>20</v>
      </c>
    </row>
    <row r="58" spans="1:9" ht="15">
      <c r="C58" s="5">
        <v>1</v>
      </c>
      <c r="D58" s="3">
        <v>16</v>
      </c>
      <c r="E58" s="3">
        <v>60</v>
      </c>
      <c r="F58" s="3">
        <v>4.17</v>
      </c>
      <c r="G58" s="3">
        <v>6</v>
      </c>
      <c r="H58" s="3">
        <v>177.66919999999999</v>
      </c>
      <c r="I58" s="96">
        <f>AVERAGE(H58,H59)</f>
        <v>179.90609999999998</v>
      </c>
    </row>
    <row r="59" spans="1:9" ht="15">
      <c r="C59" s="5">
        <v>2</v>
      </c>
      <c r="D59" s="3">
        <v>16</v>
      </c>
      <c r="E59" s="3">
        <v>60</v>
      </c>
      <c r="F59" s="3">
        <v>4.17</v>
      </c>
      <c r="G59" s="3">
        <v>6</v>
      </c>
      <c r="H59" s="3">
        <v>182.143</v>
      </c>
      <c r="I59" s="97"/>
    </row>
    <row r="60" spans="1:9" ht="15">
      <c r="C60" s="5">
        <v>3</v>
      </c>
      <c r="D60" s="3">
        <v>16</v>
      </c>
      <c r="E60" s="3">
        <v>30</v>
      </c>
      <c r="F60" s="3">
        <v>4.8</v>
      </c>
      <c r="G60" s="3">
        <v>18</v>
      </c>
      <c r="H60" s="3">
        <v>141.2878</v>
      </c>
      <c r="I60" s="96">
        <f t="shared" ref="I60" si="0">AVERAGE(H60,H61)</f>
        <v>143.51510000000002</v>
      </c>
    </row>
    <row r="61" spans="1:9" ht="15">
      <c r="C61" s="5">
        <v>4</v>
      </c>
      <c r="D61" s="3">
        <v>16</v>
      </c>
      <c r="E61" s="3">
        <v>30</v>
      </c>
      <c r="F61" s="3">
        <v>4.8</v>
      </c>
      <c r="G61" s="3">
        <v>18</v>
      </c>
      <c r="H61" s="3">
        <v>145.7424</v>
      </c>
      <c r="I61" s="97"/>
    </row>
    <row r="62" spans="1:9" ht="15">
      <c r="C62" s="5">
        <v>5</v>
      </c>
      <c r="D62" s="3">
        <v>16</v>
      </c>
      <c r="E62" s="3">
        <v>60</v>
      </c>
      <c r="F62" s="3">
        <v>4.8</v>
      </c>
      <c r="G62" s="3">
        <v>6</v>
      </c>
      <c r="H62" s="3">
        <v>268.84870000000001</v>
      </c>
      <c r="I62" s="96">
        <f t="shared" ref="I62" si="1">AVERAGE(H62,H63)</f>
        <v>270.30529999999999</v>
      </c>
    </row>
    <row r="63" spans="1:9" ht="15">
      <c r="C63" s="5">
        <v>6</v>
      </c>
      <c r="D63" s="3">
        <v>16</v>
      </c>
      <c r="E63" s="3">
        <v>60</v>
      </c>
      <c r="F63" s="3">
        <v>4.8</v>
      </c>
      <c r="G63" s="3">
        <v>6</v>
      </c>
      <c r="H63" s="3">
        <v>271.76190000000003</v>
      </c>
      <c r="I63" s="97"/>
    </row>
    <row r="64" spans="1:9" ht="15">
      <c r="C64" s="5">
        <v>7</v>
      </c>
      <c r="D64" s="3">
        <v>16</v>
      </c>
      <c r="E64" s="3">
        <v>30</v>
      </c>
      <c r="F64" s="3">
        <v>4.17</v>
      </c>
      <c r="G64" s="3">
        <v>6</v>
      </c>
      <c r="H64" s="3">
        <v>189.28829999999999</v>
      </c>
      <c r="I64" s="96">
        <f t="shared" ref="I64" si="2">AVERAGE(H64,H65)</f>
        <v>186.2158</v>
      </c>
    </row>
    <row r="65" spans="1:13" ht="15">
      <c r="C65" s="5">
        <v>8</v>
      </c>
      <c r="D65" s="3">
        <v>16</v>
      </c>
      <c r="E65" s="3">
        <v>30</v>
      </c>
      <c r="F65" s="3">
        <v>4.17</v>
      </c>
      <c r="G65" s="3">
        <v>6</v>
      </c>
      <c r="H65" s="3">
        <v>183.14330000000001</v>
      </c>
      <c r="I65" s="97"/>
      <c r="M65" t="s">
        <v>19</v>
      </c>
    </row>
    <row r="66" spans="1:13" ht="15">
      <c r="C66" s="5">
        <v>9</v>
      </c>
      <c r="D66" s="3">
        <v>16</v>
      </c>
      <c r="E66" s="3">
        <v>60</v>
      </c>
      <c r="F66" s="3">
        <v>4.17</v>
      </c>
      <c r="G66" s="3">
        <v>18</v>
      </c>
      <c r="H66" s="3">
        <v>100.1876</v>
      </c>
      <c r="I66" s="96">
        <f t="shared" ref="I66" si="3">AVERAGE(H66,H67)</f>
        <v>104.74719999999999</v>
      </c>
    </row>
    <row r="67" spans="1:13" ht="15">
      <c r="C67" s="5">
        <v>10</v>
      </c>
      <c r="D67" s="3">
        <v>16</v>
      </c>
      <c r="E67" s="3">
        <v>60</v>
      </c>
      <c r="F67" s="3">
        <v>4.17</v>
      </c>
      <c r="G67" s="3">
        <v>18</v>
      </c>
      <c r="H67" s="3">
        <v>109.3068</v>
      </c>
      <c r="I67" s="97"/>
    </row>
    <row r="68" spans="1:13" ht="15">
      <c r="C68" s="5">
        <v>11</v>
      </c>
      <c r="D68" s="3">
        <v>16</v>
      </c>
      <c r="E68" s="3">
        <v>30</v>
      </c>
      <c r="F68" s="3">
        <v>4.8</v>
      </c>
      <c r="G68" s="3">
        <v>6</v>
      </c>
      <c r="H68" s="3">
        <v>259.6343</v>
      </c>
      <c r="I68" s="96">
        <f t="shared" ref="I68" si="4">AVERAGE(H68,H69)</f>
        <v>253.92275000000001</v>
      </c>
    </row>
    <row r="69" spans="1:13" ht="15">
      <c r="C69" s="5">
        <v>12</v>
      </c>
      <c r="D69" s="3">
        <v>16</v>
      </c>
      <c r="E69" s="3">
        <v>30</v>
      </c>
      <c r="F69" s="3">
        <v>4.8</v>
      </c>
      <c r="G69" s="3">
        <v>6</v>
      </c>
      <c r="H69" s="3">
        <v>248.21119999999999</v>
      </c>
      <c r="I69" s="97"/>
    </row>
    <row r="70" spans="1:13" ht="15">
      <c r="C70" s="5">
        <v>13</v>
      </c>
      <c r="D70" s="3">
        <v>16</v>
      </c>
      <c r="E70" s="3">
        <v>60</v>
      </c>
      <c r="F70" s="3">
        <v>4.8</v>
      </c>
      <c r="G70" s="3">
        <v>18</v>
      </c>
      <c r="H70" s="3">
        <v>181.59819999999999</v>
      </c>
      <c r="I70" s="96">
        <f t="shared" ref="I70" si="5">AVERAGE(H70,H71)</f>
        <v>179.09505000000001</v>
      </c>
    </row>
    <row r="71" spans="1:13" ht="15">
      <c r="C71" s="5">
        <v>14</v>
      </c>
      <c r="D71" s="3">
        <v>16</v>
      </c>
      <c r="E71" s="3">
        <v>60</v>
      </c>
      <c r="F71" s="3">
        <v>4.8</v>
      </c>
      <c r="G71" s="3">
        <v>18</v>
      </c>
      <c r="H71" s="3">
        <v>176.59190000000001</v>
      </c>
      <c r="I71" s="97"/>
    </row>
    <row r="72" spans="1:13" ht="15">
      <c r="C72" s="5">
        <v>15</v>
      </c>
      <c r="D72" s="3">
        <v>16</v>
      </c>
      <c r="E72" s="3">
        <v>30</v>
      </c>
      <c r="F72" s="3">
        <v>4.17</v>
      </c>
      <c r="G72" s="3">
        <v>18</v>
      </c>
      <c r="H72" s="3">
        <v>71.826899999999995</v>
      </c>
      <c r="I72" s="96">
        <f t="shared" ref="I72" si="6">AVERAGE(H72,H73)</f>
        <v>80.5839</v>
      </c>
    </row>
    <row r="73" spans="1:13" ht="15">
      <c r="C73" s="5">
        <v>16</v>
      </c>
      <c r="D73" s="3">
        <v>16</v>
      </c>
      <c r="E73" s="3">
        <v>30</v>
      </c>
      <c r="F73" s="3">
        <v>4.17</v>
      </c>
      <c r="G73" s="3">
        <v>18</v>
      </c>
      <c r="H73" s="3">
        <v>89.340900000000005</v>
      </c>
      <c r="I73" s="97"/>
    </row>
    <row r="76" spans="1:13" ht="15">
      <c r="A76" s="16" t="s">
        <v>22</v>
      </c>
    </row>
    <row r="100" spans="1:20" ht="15">
      <c r="A100" s="16" t="s">
        <v>23</v>
      </c>
    </row>
    <row r="102" spans="1:20" ht="15">
      <c r="B102" s="6"/>
      <c r="H102" s="6"/>
      <c r="N102" s="20" t="s">
        <v>33</v>
      </c>
      <c r="O102" s="21" t="s">
        <v>34</v>
      </c>
    </row>
    <row r="103" spans="1:20" ht="15">
      <c r="B103" s="6"/>
      <c r="C103" s="19" t="s">
        <v>29</v>
      </c>
      <c r="H103" s="8"/>
      <c r="N103" s="20">
        <f>(30+60)/2</f>
        <v>45</v>
      </c>
      <c r="O103" s="21">
        <f>(60-30)/2</f>
        <v>15</v>
      </c>
    </row>
    <row r="104" spans="1:20" ht="15">
      <c r="B104" s="6"/>
      <c r="C104" s="5" t="s">
        <v>24</v>
      </c>
      <c r="D104" s="5" t="s">
        <v>25</v>
      </c>
      <c r="E104" s="5" t="s">
        <v>26</v>
      </c>
      <c r="F104" s="5" t="s">
        <v>27</v>
      </c>
      <c r="H104" s="4" t="s">
        <v>30</v>
      </c>
      <c r="I104" s="5" t="s">
        <v>31</v>
      </c>
      <c r="J104" s="5" t="s">
        <v>32</v>
      </c>
      <c r="K104" s="5" t="s">
        <v>27</v>
      </c>
      <c r="N104" s="22">
        <f>(4.8+4.17)/2</f>
        <v>4.4849999999999994</v>
      </c>
      <c r="O104" s="23">
        <f>(4.8-4.17)/2</f>
        <v>0.31499999999999995</v>
      </c>
    </row>
    <row r="105" spans="1:20" ht="15">
      <c r="B105" s="6"/>
      <c r="C105" s="3">
        <v>60</v>
      </c>
      <c r="D105" s="3">
        <v>4.17</v>
      </c>
      <c r="E105" s="3">
        <v>6</v>
      </c>
      <c r="F105" s="3">
        <v>177.66919999999999</v>
      </c>
      <c r="H105" s="3">
        <f>(C105-$N$103)/$O$103</f>
        <v>1</v>
      </c>
      <c r="I105" s="27">
        <f>(D105-$N$104)/$O$104</f>
        <v>-0.99999999999999856</v>
      </c>
      <c r="J105" s="27">
        <f>(E105-$N$105)/$O$105</f>
        <v>-1</v>
      </c>
      <c r="K105" s="3">
        <v>177.66919999999999</v>
      </c>
      <c r="M105" s="1"/>
      <c r="N105" s="24">
        <f>(6+18)/2</f>
        <v>12</v>
      </c>
      <c r="O105" s="25">
        <f>(18-6)/2</f>
        <v>6</v>
      </c>
    </row>
    <row r="106" spans="1:20" ht="15">
      <c r="B106" s="6"/>
      <c r="C106" s="3">
        <v>60</v>
      </c>
      <c r="D106" s="3">
        <v>4.17</v>
      </c>
      <c r="E106" s="3">
        <v>6</v>
      </c>
      <c r="F106" s="3">
        <v>182.143</v>
      </c>
      <c r="H106" s="3">
        <f t="shared" ref="H106:H120" si="7">(C106-$N$103)/$O$103</f>
        <v>1</v>
      </c>
      <c r="I106" s="27">
        <f t="shared" ref="I106:I120" si="8">(D106-$N$104)/$O$104</f>
        <v>-0.99999999999999856</v>
      </c>
      <c r="J106" s="27">
        <f t="shared" ref="J106:J120" si="9">(E106-$N$105)/$O$105</f>
        <v>-1</v>
      </c>
      <c r="K106" s="3">
        <v>182.143</v>
      </c>
      <c r="M106" s="1"/>
      <c r="Q106" s="19"/>
      <c r="R106" s="19"/>
      <c r="S106" s="19"/>
      <c r="T106" s="19"/>
    </row>
    <row r="107" spans="1:20" ht="15">
      <c r="B107" s="6"/>
      <c r="C107" s="3">
        <v>30</v>
      </c>
      <c r="D107" s="3">
        <v>4.8</v>
      </c>
      <c r="E107" s="3">
        <v>18</v>
      </c>
      <c r="F107" s="3">
        <v>141.2878</v>
      </c>
      <c r="H107" s="3">
        <f t="shared" si="7"/>
        <v>-1</v>
      </c>
      <c r="I107" s="27">
        <f t="shared" si="8"/>
        <v>1.0000000000000013</v>
      </c>
      <c r="J107" s="27">
        <f t="shared" si="9"/>
        <v>1</v>
      </c>
      <c r="K107" s="3">
        <v>141.2878</v>
      </c>
      <c r="M107" s="1"/>
      <c r="Q107" s="19"/>
      <c r="R107" s="19"/>
      <c r="S107" s="19"/>
      <c r="T107" s="19"/>
    </row>
    <row r="108" spans="1:20" ht="15">
      <c r="B108" s="6"/>
      <c r="C108" s="3">
        <v>30</v>
      </c>
      <c r="D108" s="3">
        <v>4.8</v>
      </c>
      <c r="E108" s="3">
        <v>18</v>
      </c>
      <c r="F108" s="3">
        <v>145.7424</v>
      </c>
      <c r="H108" s="3">
        <f t="shared" si="7"/>
        <v>-1</v>
      </c>
      <c r="I108" s="27">
        <f t="shared" si="8"/>
        <v>1.0000000000000013</v>
      </c>
      <c r="J108" s="27">
        <f t="shared" si="9"/>
        <v>1</v>
      </c>
      <c r="K108" s="3">
        <v>145.7424</v>
      </c>
      <c r="M108" s="1"/>
      <c r="Q108" s="19"/>
      <c r="R108" s="19"/>
      <c r="S108" s="19"/>
      <c r="T108" s="19"/>
    </row>
    <row r="109" spans="1:20" ht="15">
      <c r="B109" s="6"/>
      <c r="C109" s="3">
        <v>60</v>
      </c>
      <c r="D109" s="3">
        <v>4.8</v>
      </c>
      <c r="E109" s="3">
        <v>6</v>
      </c>
      <c r="F109" s="3">
        <v>268.84870000000001</v>
      </c>
      <c r="H109" s="3">
        <f t="shared" si="7"/>
        <v>1</v>
      </c>
      <c r="I109" s="27">
        <f t="shared" si="8"/>
        <v>1.0000000000000013</v>
      </c>
      <c r="J109" s="27">
        <f t="shared" si="9"/>
        <v>-1</v>
      </c>
      <c r="K109" s="3">
        <v>268.84870000000001</v>
      </c>
      <c r="M109" s="1"/>
      <c r="Q109" s="19"/>
      <c r="R109" s="19"/>
      <c r="S109" s="19"/>
      <c r="T109" s="19"/>
    </row>
    <row r="110" spans="1:20" ht="15">
      <c r="B110" s="6"/>
      <c r="C110" s="3">
        <v>60</v>
      </c>
      <c r="D110" s="3">
        <v>4.8</v>
      </c>
      <c r="E110" s="3">
        <v>6</v>
      </c>
      <c r="F110" s="3">
        <v>271.76190000000003</v>
      </c>
      <c r="H110" s="3">
        <f t="shared" si="7"/>
        <v>1</v>
      </c>
      <c r="I110" s="27">
        <f t="shared" si="8"/>
        <v>1.0000000000000013</v>
      </c>
      <c r="J110" s="27">
        <f t="shared" si="9"/>
        <v>-1</v>
      </c>
      <c r="K110" s="3">
        <v>271.76190000000003</v>
      </c>
      <c r="M110" s="1"/>
      <c r="N110" s="47"/>
      <c r="O110" s="47"/>
      <c r="Q110" s="19"/>
      <c r="R110" s="19"/>
      <c r="S110" s="19"/>
      <c r="T110" s="19"/>
    </row>
    <row r="111" spans="1:20" ht="15">
      <c r="B111" s="6"/>
      <c r="C111" s="3">
        <v>30</v>
      </c>
      <c r="D111" s="3">
        <v>4.17</v>
      </c>
      <c r="E111" s="3">
        <v>6</v>
      </c>
      <c r="F111" s="3">
        <v>189.28829999999999</v>
      </c>
      <c r="H111" s="3">
        <f t="shared" si="7"/>
        <v>-1</v>
      </c>
      <c r="I111" s="27">
        <f t="shared" si="8"/>
        <v>-0.99999999999999856</v>
      </c>
      <c r="J111" s="27">
        <f t="shared" si="9"/>
        <v>-1</v>
      </c>
      <c r="K111" s="3">
        <v>189.28829999999999</v>
      </c>
      <c r="M111" s="1"/>
      <c r="Q111" s="19"/>
      <c r="R111" s="19"/>
      <c r="S111" s="19"/>
      <c r="T111" s="19"/>
    </row>
    <row r="112" spans="1:20" ht="15">
      <c r="B112" s="6"/>
      <c r="C112" s="3">
        <v>30</v>
      </c>
      <c r="D112" s="3">
        <v>4.17</v>
      </c>
      <c r="E112" s="3">
        <v>6</v>
      </c>
      <c r="F112" s="3">
        <v>183.14330000000001</v>
      </c>
      <c r="H112" s="3">
        <f t="shared" si="7"/>
        <v>-1</v>
      </c>
      <c r="I112" s="27">
        <f t="shared" si="8"/>
        <v>-0.99999999999999856</v>
      </c>
      <c r="J112" s="27">
        <f t="shared" si="9"/>
        <v>-1</v>
      </c>
      <c r="K112" s="3">
        <v>183.14330000000001</v>
      </c>
      <c r="M112" s="1"/>
      <c r="Q112" s="19"/>
      <c r="R112" s="19"/>
      <c r="S112" s="19"/>
      <c r="T112" s="19"/>
    </row>
    <row r="113" spans="2:22" ht="15">
      <c r="B113" s="6"/>
      <c r="C113" s="3">
        <v>60</v>
      </c>
      <c r="D113" s="3">
        <v>4.17</v>
      </c>
      <c r="E113" s="3">
        <v>18</v>
      </c>
      <c r="F113" s="3">
        <v>100.1876</v>
      </c>
      <c r="H113" s="3">
        <f t="shared" si="7"/>
        <v>1</v>
      </c>
      <c r="I113" s="27">
        <f t="shared" si="8"/>
        <v>-0.99999999999999856</v>
      </c>
      <c r="J113" s="27">
        <f t="shared" si="9"/>
        <v>1</v>
      </c>
      <c r="K113" s="3">
        <v>100.1876</v>
      </c>
      <c r="M113" s="1"/>
      <c r="Q113" s="19"/>
      <c r="R113" s="19"/>
      <c r="S113" s="19"/>
      <c r="T113" s="19"/>
    </row>
    <row r="114" spans="2:22" ht="15">
      <c r="B114" s="6"/>
      <c r="C114" s="3">
        <v>60</v>
      </c>
      <c r="D114" s="3">
        <v>4.17</v>
      </c>
      <c r="E114" s="3">
        <v>18</v>
      </c>
      <c r="F114" s="3">
        <v>109.3068</v>
      </c>
      <c r="H114" s="3">
        <f t="shared" si="7"/>
        <v>1</v>
      </c>
      <c r="I114" s="27">
        <f t="shared" si="8"/>
        <v>-0.99999999999999856</v>
      </c>
      <c r="J114" s="27">
        <f t="shared" si="9"/>
        <v>1</v>
      </c>
      <c r="K114" s="3">
        <v>109.3068</v>
      </c>
      <c r="M114" s="1"/>
      <c r="Q114" s="19"/>
      <c r="R114" s="19"/>
      <c r="S114" s="19"/>
      <c r="T114" s="19"/>
    </row>
    <row r="115" spans="2:22" ht="15">
      <c r="B115" s="6"/>
      <c r="C115" s="3">
        <v>30</v>
      </c>
      <c r="D115" s="3">
        <v>4.8</v>
      </c>
      <c r="E115" s="3">
        <v>6</v>
      </c>
      <c r="F115" s="3">
        <v>259.6343</v>
      </c>
      <c r="H115" s="3">
        <f t="shared" si="7"/>
        <v>-1</v>
      </c>
      <c r="I115" s="27">
        <f t="shared" si="8"/>
        <v>1.0000000000000013</v>
      </c>
      <c r="J115" s="27">
        <f t="shared" si="9"/>
        <v>-1</v>
      </c>
      <c r="K115" s="3">
        <v>259.6343</v>
      </c>
      <c r="M115" s="1"/>
      <c r="Q115" s="19"/>
      <c r="R115" s="19"/>
      <c r="S115" s="19"/>
      <c r="T115" s="19"/>
    </row>
    <row r="116" spans="2:22" ht="15">
      <c r="B116" s="6"/>
      <c r="C116" s="3">
        <v>30</v>
      </c>
      <c r="D116" s="3">
        <v>4.8</v>
      </c>
      <c r="E116" s="3">
        <v>6</v>
      </c>
      <c r="F116" s="3">
        <v>248.21119999999999</v>
      </c>
      <c r="H116" s="3">
        <f t="shared" si="7"/>
        <v>-1</v>
      </c>
      <c r="I116" s="27">
        <f t="shared" si="8"/>
        <v>1.0000000000000013</v>
      </c>
      <c r="J116" s="27">
        <f t="shared" si="9"/>
        <v>-1</v>
      </c>
      <c r="K116" s="3">
        <v>248.21119999999999</v>
      </c>
      <c r="M116" s="1"/>
      <c r="Q116" s="52"/>
      <c r="R116" s="19"/>
      <c r="S116" s="52"/>
      <c r="T116" s="19"/>
    </row>
    <row r="117" spans="2:22" ht="15">
      <c r="B117" s="6"/>
      <c r="C117" s="3">
        <v>60</v>
      </c>
      <c r="D117" s="3">
        <v>4.8</v>
      </c>
      <c r="E117" s="3">
        <v>18</v>
      </c>
      <c r="F117" s="3">
        <v>181.59819999999999</v>
      </c>
      <c r="H117" s="3">
        <f t="shared" si="7"/>
        <v>1</v>
      </c>
      <c r="I117" s="27">
        <f t="shared" si="8"/>
        <v>1.0000000000000013</v>
      </c>
      <c r="J117" s="27">
        <f t="shared" si="9"/>
        <v>1</v>
      </c>
      <c r="K117" s="3">
        <v>181.59819999999999</v>
      </c>
      <c r="M117" s="1"/>
      <c r="Q117" s="19"/>
      <c r="R117" s="19"/>
      <c r="S117" s="19"/>
      <c r="T117" s="19"/>
    </row>
    <row r="118" spans="2:22" ht="15">
      <c r="B118" s="6"/>
      <c r="C118" s="3">
        <v>60</v>
      </c>
      <c r="D118" s="3">
        <v>4.8</v>
      </c>
      <c r="E118" s="3">
        <v>18</v>
      </c>
      <c r="F118" s="3">
        <v>176.59190000000001</v>
      </c>
      <c r="H118" s="3">
        <f t="shared" si="7"/>
        <v>1</v>
      </c>
      <c r="I118" s="27">
        <f t="shared" si="8"/>
        <v>1.0000000000000013</v>
      </c>
      <c r="J118" s="27">
        <f t="shared" si="9"/>
        <v>1</v>
      </c>
      <c r="K118" s="3">
        <v>176.59190000000001</v>
      </c>
      <c r="M118" s="1"/>
      <c r="N118" s="48"/>
      <c r="O118" s="48"/>
      <c r="P118" s="48"/>
      <c r="Q118" s="19"/>
      <c r="R118" s="19"/>
      <c r="S118" s="19"/>
      <c r="T118" s="19"/>
    </row>
    <row r="119" spans="2:22">
      <c r="C119" s="3">
        <v>30</v>
      </c>
      <c r="D119" s="3">
        <v>4.17</v>
      </c>
      <c r="E119" s="3">
        <v>18</v>
      </c>
      <c r="F119" s="3">
        <v>71.826899999999995</v>
      </c>
      <c r="H119" s="3">
        <f t="shared" si="7"/>
        <v>-1</v>
      </c>
      <c r="I119" s="27">
        <f t="shared" si="8"/>
        <v>-0.99999999999999856</v>
      </c>
      <c r="J119" s="27">
        <f t="shared" si="9"/>
        <v>1</v>
      </c>
      <c r="K119" s="3">
        <v>71.826899999999995</v>
      </c>
      <c r="M119" s="1"/>
      <c r="Q119" s="19"/>
      <c r="R119" s="19"/>
      <c r="S119" s="19"/>
      <c r="T119" s="19"/>
    </row>
    <row r="120" spans="2:22">
      <c r="C120" s="3">
        <v>30</v>
      </c>
      <c r="D120" s="3">
        <v>4.17</v>
      </c>
      <c r="E120" s="3">
        <v>18</v>
      </c>
      <c r="F120" s="3">
        <v>89.340900000000005</v>
      </c>
      <c r="H120" s="3">
        <f t="shared" si="7"/>
        <v>-1</v>
      </c>
      <c r="I120" s="27">
        <f t="shared" si="8"/>
        <v>-0.99999999999999856</v>
      </c>
      <c r="J120" s="27">
        <f t="shared" si="9"/>
        <v>1</v>
      </c>
      <c r="K120" s="3">
        <v>89.340900000000005</v>
      </c>
      <c r="M120" s="1"/>
      <c r="Q120" s="19"/>
      <c r="R120" s="19"/>
      <c r="S120" s="19"/>
      <c r="T120" s="19"/>
    </row>
    <row r="121" spans="2:22">
      <c r="Q121" s="19"/>
      <c r="R121" s="19"/>
      <c r="S121" s="19"/>
      <c r="T121" s="19"/>
    </row>
    <row r="123" spans="2:22">
      <c r="D123" t="s">
        <v>30</v>
      </c>
      <c r="E123" t="s">
        <v>31</v>
      </c>
      <c r="F123" t="s">
        <v>32</v>
      </c>
      <c r="G123" t="s">
        <v>43</v>
      </c>
      <c r="H123" t="s">
        <v>44</v>
      </c>
      <c r="I123" t="s">
        <v>45</v>
      </c>
      <c r="J123" t="s">
        <v>46</v>
      </c>
      <c r="N123" s="48"/>
      <c r="O123" s="48"/>
      <c r="P123" s="48"/>
      <c r="Q123" s="48"/>
      <c r="R123" s="48"/>
      <c r="S123" s="48"/>
      <c r="T123" s="48"/>
      <c r="U123" s="48"/>
      <c r="V123" s="48"/>
    </row>
    <row r="124" spans="2:22">
      <c r="C124" t="s">
        <v>35</v>
      </c>
      <c r="D124" t="s">
        <v>36</v>
      </c>
      <c r="E124" t="s">
        <v>37</v>
      </c>
      <c r="F124" t="s">
        <v>38</v>
      </c>
      <c r="G124" t="s">
        <v>39</v>
      </c>
      <c r="H124" t="s">
        <v>40</v>
      </c>
      <c r="I124" t="s">
        <v>41</v>
      </c>
      <c r="J124" t="s">
        <v>42</v>
      </c>
    </row>
    <row r="125" spans="2:22">
      <c r="B125" s="11" t="s">
        <v>28</v>
      </c>
      <c r="C125" s="33">
        <v>1</v>
      </c>
      <c r="D125" s="34">
        <f>H105</f>
        <v>1</v>
      </c>
      <c r="E125" s="34">
        <f>I105</f>
        <v>-0.99999999999999856</v>
      </c>
      <c r="F125" s="34">
        <f>J105</f>
        <v>-1</v>
      </c>
      <c r="G125" s="34">
        <f>D125*E125</f>
        <v>-0.99999999999999856</v>
      </c>
      <c r="H125" s="34">
        <f>D125*F125</f>
        <v>-1</v>
      </c>
      <c r="I125" s="34">
        <f>E125*F125</f>
        <v>0.99999999999999856</v>
      </c>
      <c r="J125" s="21">
        <f>D125*E125*F125</f>
        <v>0.99999999999999856</v>
      </c>
      <c r="Q125" s="19"/>
      <c r="R125" s="19"/>
      <c r="S125" s="19"/>
    </row>
    <row r="126" spans="2:22">
      <c r="C126" s="35">
        <v>1</v>
      </c>
      <c r="D126" s="12">
        <f t="shared" ref="D126:D140" si="10">H106</f>
        <v>1</v>
      </c>
      <c r="E126" s="12">
        <f t="shared" ref="E126:E140" si="11">I106</f>
        <v>-0.99999999999999856</v>
      </c>
      <c r="F126" s="12">
        <f t="shared" ref="F126:F140" si="12">J106</f>
        <v>-1</v>
      </c>
      <c r="G126" s="12">
        <f t="shared" ref="G126:G140" si="13">D126*E126</f>
        <v>-0.99999999999999856</v>
      </c>
      <c r="H126" s="12">
        <f t="shared" ref="H126:H140" si="14">D126*F126</f>
        <v>-1</v>
      </c>
      <c r="I126" s="12">
        <f t="shared" ref="I126:I140" si="15">E126*F126</f>
        <v>0.99999999999999856</v>
      </c>
      <c r="J126" s="23">
        <f t="shared" ref="J126:J140" si="16">D126*E126*F126</f>
        <v>0.99999999999999856</v>
      </c>
      <c r="Q126" s="19"/>
      <c r="R126" s="19"/>
      <c r="S126" s="19"/>
    </row>
    <row r="127" spans="2:22">
      <c r="C127" s="35">
        <v>1</v>
      </c>
      <c r="D127" s="12">
        <f t="shared" si="10"/>
        <v>-1</v>
      </c>
      <c r="E127" s="12">
        <f t="shared" si="11"/>
        <v>1.0000000000000013</v>
      </c>
      <c r="F127" s="12">
        <f t="shared" si="12"/>
        <v>1</v>
      </c>
      <c r="G127" s="12">
        <f t="shared" si="13"/>
        <v>-1.0000000000000013</v>
      </c>
      <c r="H127" s="12">
        <f t="shared" si="14"/>
        <v>-1</v>
      </c>
      <c r="I127" s="12">
        <f t="shared" si="15"/>
        <v>1.0000000000000013</v>
      </c>
      <c r="J127" s="23">
        <f t="shared" si="16"/>
        <v>-1.0000000000000013</v>
      </c>
      <c r="Q127" s="19"/>
      <c r="R127" s="19"/>
      <c r="S127" s="19"/>
    </row>
    <row r="128" spans="2:22">
      <c r="C128" s="35">
        <v>1</v>
      </c>
      <c r="D128" s="12">
        <f t="shared" si="10"/>
        <v>-1</v>
      </c>
      <c r="E128" s="12">
        <f t="shared" si="11"/>
        <v>1.0000000000000013</v>
      </c>
      <c r="F128" s="12">
        <f t="shared" si="12"/>
        <v>1</v>
      </c>
      <c r="G128" s="12">
        <f t="shared" si="13"/>
        <v>-1.0000000000000013</v>
      </c>
      <c r="H128" s="12">
        <f t="shared" si="14"/>
        <v>-1</v>
      </c>
      <c r="I128" s="12">
        <f t="shared" si="15"/>
        <v>1.0000000000000013</v>
      </c>
      <c r="J128" s="23">
        <f t="shared" si="16"/>
        <v>-1.0000000000000013</v>
      </c>
      <c r="Q128" s="19"/>
      <c r="R128" s="19"/>
      <c r="S128" s="19"/>
    </row>
    <row r="129" spans="2:19">
      <c r="C129" s="35">
        <v>1</v>
      </c>
      <c r="D129" s="12">
        <f t="shared" si="10"/>
        <v>1</v>
      </c>
      <c r="E129" s="12">
        <f t="shared" si="11"/>
        <v>1.0000000000000013</v>
      </c>
      <c r="F129" s="12">
        <f t="shared" si="12"/>
        <v>-1</v>
      </c>
      <c r="G129" s="12">
        <f t="shared" si="13"/>
        <v>1.0000000000000013</v>
      </c>
      <c r="H129" s="12">
        <f t="shared" si="14"/>
        <v>-1</v>
      </c>
      <c r="I129" s="12">
        <f t="shared" si="15"/>
        <v>-1.0000000000000013</v>
      </c>
      <c r="J129" s="23">
        <f t="shared" si="16"/>
        <v>-1.0000000000000013</v>
      </c>
      <c r="Q129" s="19"/>
      <c r="R129" s="19"/>
      <c r="S129" s="19"/>
    </row>
    <row r="130" spans="2:19">
      <c r="C130" s="35">
        <v>1</v>
      </c>
      <c r="D130" s="12">
        <f t="shared" si="10"/>
        <v>1</v>
      </c>
      <c r="E130" s="12">
        <f t="shared" si="11"/>
        <v>1.0000000000000013</v>
      </c>
      <c r="F130" s="12">
        <f t="shared" si="12"/>
        <v>-1</v>
      </c>
      <c r="G130" s="12">
        <f t="shared" si="13"/>
        <v>1.0000000000000013</v>
      </c>
      <c r="H130" s="12">
        <f t="shared" si="14"/>
        <v>-1</v>
      </c>
      <c r="I130" s="12">
        <f t="shared" si="15"/>
        <v>-1.0000000000000013</v>
      </c>
      <c r="J130" s="23">
        <f t="shared" si="16"/>
        <v>-1.0000000000000013</v>
      </c>
      <c r="Q130" s="19"/>
      <c r="R130" s="19"/>
      <c r="S130" s="19"/>
    </row>
    <row r="131" spans="2:19">
      <c r="C131" s="35">
        <v>1</v>
      </c>
      <c r="D131" s="12">
        <f t="shared" si="10"/>
        <v>-1</v>
      </c>
      <c r="E131" s="12">
        <f t="shared" si="11"/>
        <v>-0.99999999999999856</v>
      </c>
      <c r="F131" s="12">
        <f t="shared" si="12"/>
        <v>-1</v>
      </c>
      <c r="G131" s="12">
        <f t="shared" si="13"/>
        <v>0.99999999999999856</v>
      </c>
      <c r="H131" s="12">
        <f t="shared" si="14"/>
        <v>1</v>
      </c>
      <c r="I131" s="12">
        <f t="shared" si="15"/>
        <v>0.99999999999999856</v>
      </c>
      <c r="J131" s="23">
        <f t="shared" si="16"/>
        <v>-0.99999999999999856</v>
      </c>
      <c r="Q131" s="19"/>
      <c r="R131" s="19"/>
      <c r="S131" s="19"/>
    </row>
    <row r="132" spans="2:19">
      <c r="C132" s="35">
        <v>1</v>
      </c>
      <c r="D132" s="12">
        <f t="shared" si="10"/>
        <v>-1</v>
      </c>
      <c r="E132" s="12">
        <f t="shared" si="11"/>
        <v>-0.99999999999999856</v>
      </c>
      <c r="F132" s="12">
        <f t="shared" si="12"/>
        <v>-1</v>
      </c>
      <c r="G132" s="12">
        <f t="shared" si="13"/>
        <v>0.99999999999999856</v>
      </c>
      <c r="H132" s="12">
        <f t="shared" si="14"/>
        <v>1</v>
      </c>
      <c r="I132" s="12">
        <f t="shared" si="15"/>
        <v>0.99999999999999856</v>
      </c>
      <c r="J132" s="23">
        <f t="shared" si="16"/>
        <v>-0.99999999999999856</v>
      </c>
      <c r="Q132" s="19"/>
      <c r="R132" s="19"/>
      <c r="S132" s="19"/>
    </row>
    <row r="133" spans="2:19">
      <c r="C133" s="35">
        <v>1</v>
      </c>
      <c r="D133" s="12">
        <f t="shared" si="10"/>
        <v>1</v>
      </c>
      <c r="E133" s="12">
        <f t="shared" si="11"/>
        <v>-0.99999999999999856</v>
      </c>
      <c r="F133" s="12">
        <f t="shared" si="12"/>
        <v>1</v>
      </c>
      <c r="G133" s="12">
        <f t="shared" si="13"/>
        <v>-0.99999999999999856</v>
      </c>
      <c r="H133" s="12">
        <f t="shared" si="14"/>
        <v>1</v>
      </c>
      <c r="I133" s="12">
        <f t="shared" si="15"/>
        <v>-0.99999999999999856</v>
      </c>
      <c r="J133" s="23">
        <f t="shared" si="16"/>
        <v>-0.99999999999999856</v>
      </c>
      <c r="Q133" s="19"/>
      <c r="R133" s="19"/>
      <c r="S133" s="19"/>
    </row>
    <row r="134" spans="2:19">
      <c r="C134" s="35">
        <v>1</v>
      </c>
      <c r="D134" s="12">
        <f t="shared" si="10"/>
        <v>1</v>
      </c>
      <c r="E134" s="12">
        <f t="shared" si="11"/>
        <v>-0.99999999999999856</v>
      </c>
      <c r="F134" s="12">
        <f t="shared" si="12"/>
        <v>1</v>
      </c>
      <c r="G134" s="12">
        <f t="shared" si="13"/>
        <v>-0.99999999999999856</v>
      </c>
      <c r="H134" s="12">
        <f t="shared" si="14"/>
        <v>1</v>
      </c>
      <c r="I134" s="12">
        <f t="shared" si="15"/>
        <v>-0.99999999999999856</v>
      </c>
      <c r="J134" s="23">
        <f t="shared" si="16"/>
        <v>-0.99999999999999856</v>
      </c>
      <c r="Q134" s="19"/>
      <c r="R134" s="19"/>
      <c r="S134" s="19"/>
    </row>
    <row r="135" spans="2:19">
      <c r="C135" s="35">
        <v>1</v>
      </c>
      <c r="D135" s="12">
        <f t="shared" si="10"/>
        <v>-1</v>
      </c>
      <c r="E135" s="12">
        <f t="shared" si="11"/>
        <v>1.0000000000000013</v>
      </c>
      <c r="F135" s="12">
        <f t="shared" si="12"/>
        <v>-1</v>
      </c>
      <c r="G135" s="12">
        <f t="shared" si="13"/>
        <v>-1.0000000000000013</v>
      </c>
      <c r="H135" s="12">
        <f t="shared" si="14"/>
        <v>1</v>
      </c>
      <c r="I135" s="12">
        <f t="shared" si="15"/>
        <v>-1.0000000000000013</v>
      </c>
      <c r="J135" s="23">
        <f t="shared" si="16"/>
        <v>1.0000000000000013</v>
      </c>
      <c r="Q135" s="52"/>
      <c r="R135" s="19"/>
      <c r="S135" s="52"/>
    </row>
    <row r="136" spans="2:19">
      <c r="C136" s="35">
        <v>1</v>
      </c>
      <c r="D136" s="12">
        <f t="shared" si="10"/>
        <v>-1</v>
      </c>
      <c r="E136" s="12">
        <f t="shared" si="11"/>
        <v>1.0000000000000013</v>
      </c>
      <c r="F136" s="12">
        <f t="shared" si="12"/>
        <v>-1</v>
      </c>
      <c r="G136" s="12">
        <f t="shared" si="13"/>
        <v>-1.0000000000000013</v>
      </c>
      <c r="H136" s="12">
        <f t="shared" si="14"/>
        <v>1</v>
      </c>
      <c r="I136" s="12">
        <f t="shared" si="15"/>
        <v>-1.0000000000000013</v>
      </c>
      <c r="J136" s="23">
        <f t="shared" si="16"/>
        <v>1.0000000000000013</v>
      </c>
      <c r="Q136" s="19"/>
      <c r="R136" s="19"/>
      <c r="S136" s="19"/>
    </row>
    <row r="137" spans="2:19">
      <c r="C137" s="35">
        <v>1</v>
      </c>
      <c r="D137" s="12">
        <f t="shared" si="10"/>
        <v>1</v>
      </c>
      <c r="E137" s="12">
        <f t="shared" si="11"/>
        <v>1.0000000000000013</v>
      </c>
      <c r="F137" s="12">
        <f t="shared" si="12"/>
        <v>1</v>
      </c>
      <c r="G137" s="12">
        <f t="shared" si="13"/>
        <v>1.0000000000000013</v>
      </c>
      <c r="H137" s="12">
        <f t="shared" si="14"/>
        <v>1</v>
      </c>
      <c r="I137" s="12">
        <f t="shared" si="15"/>
        <v>1.0000000000000013</v>
      </c>
      <c r="J137" s="23">
        <f t="shared" si="16"/>
        <v>1.0000000000000013</v>
      </c>
      <c r="Q137" s="19"/>
      <c r="R137" s="19"/>
      <c r="S137" s="19"/>
    </row>
    <row r="138" spans="2:19">
      <c r="C138" s="35">
        <v>1</v>
      </c>
      <c r="D138" s="12">
        <f t="shared" si="10"/>
        <v>1</v>
      </c>
      <c r="E138" s="12">
        <f t="shared" si="11"/>
        <v>1.0000000000000013</v>
      </c>
      <c r="F138" s="12">
        <f t="shared" si="12"/>
        <v>1</v>
      </c>
      <c r="G138" s="12">
        <f t="shared" si="13"/>
        <v>1.0000000000000013</v>
      </c>
      <c r="H138" s="12">
        <f t="shared" si="14"/>
        <v>1</v>
      </c>
      <c r="I138" s="12">
        <f t="shared" si="15"/>
        <v>1.0000000000000013</v>
      </c>
      <c r="J138" s="23">
        <f t="shared" si="16"/>
        <v>1.0000000000000013</v>
      </c>
      <c r="Q138" s="19"/>
      <c r="R138" s="19"/>
      <c r="S138" s="19"/>
    </row>
    <row r="139" spans="2:19">
      <c r="C139" s="35">
        <v>1</v>
      </c>
      <c r="D139" s="12">
        <f t="shared" si="10"/>
        <v>-1</v>
      </c>
      <c r="E139" s="12">
        <f t="shared" si="11"/>
        <v>-0.99999999999999856</v>
      </c>
      <c r="F139" s="12">
        <f t="shared" si="12"/>
        <v>1</v>
      </c>
      <c r="G139" s="12">
        <f t="shared" si="13"/>
        <v>0.99999999999999856</v>
      </c>
      <c r="H139" s="12">
        <f t="shared" si="14"/>
        <v>-1</v>
      </c>
      <c r="I139" s="12">
        <f t="shared" si="15"/>
        <v>-0.99999999999999856</v>
      </c>
      <c r="J139" s="23">
        <f t="shared" si="16"/>
        <v>0.99999999999999856</v>
      </c>
      <c r="Q139" s="19"/>
      <c r="R139" s="19"/>
      <c r="S139" s="19"/>
    </row>
    <row r="140" spans="2:19">
      <c r="C140" s="36">
        <v>1</v>
      </c>
      <c r="D140" s="37">
        <f t="shared" si="10"/>
        <v>-1</v>
      </c>
      <c r="E140" s="37">
        <f t="shared" si="11"/>
        <v>-0.99999999999999856</v>
      </c>
      <c r="F140" s="37">
        <f t="shared" si="12"/>
        <v>1</v>
      </c>
      <c r="G140" s="37">
        <f t="shared" si="13"/>
        <v>0.99999999999999856</v>
      </c>
      <c r="H140" s="37">
        <f t="shared" si="14"/>
        <v>-1</v>
      </c>
      <c r="I140" s="37">
        <f t="shared" si="15"/>
        <v>-0.99999999999999856</v>
      </c>
      <c r="J140" s="25">
        <f t="shared" si="16"/>
        <v>0.99999999999999856</v>
      </c>
      <c r="Q140" s="19"/>
      <c r="R140" s="19"/>
      <c r="S140" s="19"/>
    </row>
    <row r="143" spans="2:19">
      <c r="B143" s="11" t="s">
        <v>47</v>
      </c>
      <c r="C143" s="38" cm="1">
        <f t="array" ref="C143:R150">TRANSPOSE(C125:J140)</f>
        <v>1</v>
      </c>
      <c r="D143" s="28">
        <v>1</v>
      </c>
      <c r="E143" s="28">
        <v>1</v>
      </c>
      <c r="F143" s="28">
        <v>1</v>
      </c>
      <c r="G143" s="28">
        <v>1</v>
      </c>
      <c r="H143" s="28">
        <v>1</v>
      </c>
      <c r="I143" s="28">
        <v>1</v>
      </c>
      <c r="J143" s="28">
        <v>1</v>
      </c>
      <c r="K143" s="28">
        <v>1</v>
      </c>
      <c r="L143" s="28">
        <v>1</v>
      </c>
      <c r="M143" s="28">
        <v>1</v>
      </c>
      <c r="N143" s="28">
        <v>1</v>
      </c>
      <c r="O143" s="28">
        <v>1</v>
      </c>
      <c r="P143" s="28">
        <v>1</v>
      </c>
      <c r="Q143" s="28">
        <v>1</v>
      </c>
      <c r="R143" s="29">
        <v>1</v>
      </c>
    </row>
    <row r="144" spans="2:19">
      <c r="C144" s="39">
        <v>1</v>
      </c>
      <c r="D144">
        <v>1</v>
      </c>
      <c r="E144">
        <v>-1</v>
      </c>
      <c r="F144">
        <v>-1</v>
      </c>
      <c r="G144">
        <v>1</v>
      </c>
      <c r="H144">
        <v>1</v>
      </c>
      <c r="I144">
        <v>-1</v>
      </c>
      <c r="J144">
        <v>-1</v>
      </c>
      <c r="K144">
        <v>1</v>
      </c>
      <c r="L144">
        <v>1</v>
      </c>
      <c r="M144">
        <v>-1</v>
      </c>
      <c r="N144">
        <v>-1</v>
      </c>
      <c r="O144">
        <v>1</v>
      </c>
      <c r="P144">
        <v>1</v>
      </c>
      <c r="Q144">
        <v>-1</v>
      </c>
      <c r="R144" s="30">
        <v>-1</v>
      </c>
    </row>
    <row r="145" spans="2:19">
      <c r="C145" s="39">
        <v>-0.99999999999999856</v>
      </c>
      <c r="D145">
        <v>-0.99999999999999856</v>
      </c>
      <c r="E145">
        <v>1.0000000000000013</v>
      </c>
      <c r="F145">
        <v>1.0000000000000013</v>
      </c>
      <c r="G145">
        <v>1.0000000000000013</v>
      </c>
      <c r="H145">
        <v>1.0000000000000013</v>
      </c>
      <c r="I145">
        <v>-0.99999999999999856</v>
      </c>
      <c r="J145">
        <v>-0.99999999999999856</v>
      </c>
      <c r="K145">
        <v>-0.99999999999999856</v>
      </c>
      <c r="L145">
        <v>-0.99999999999999856</v>
      </c>
      <c r="M145">
        <v>1.0000000000000013</v>
      </c>
      <c r="N145">
        <v>1.0000000000000013</v>
      </c>
      <c r="O145">
        <v>1.0000000000000013</v>
      </c>
      <c r="P145">
        <v>1.0000000000000013</v>
      </c>
      <c r="Q145">
        <v>-0.99999999999999856</v>
      </c>
      <c r="R145" s="30">
        <v>-0.99999999999999856</v>
      </c>
    </row>
    <row r="146" spans="2:19">
      <c r="C146" s="39">
        <v>-1</v>
      </c>
      <c r="D146">
        <v>-1</v>
      </c>
      <c r="E146">
        <v>1</v>
      </c>
      <c r="F146">
        <v>1</v>
      </c>
      <c r="G146">
        <v>-1</v>
      </c>
      <c r="H146">
        <v>-1</v>
      </c>
      <c r="I146">
        <v>-1</v>
      </c>
      <c r="J146">
        <v>-1</v>
      </c>
      <c r="K146">
        <v>1</v>
      </c>
      <c r="L146">
        <v>1</v>
      </c>
      <c r="M146">
        <v>-1</v>
      </c>
      <c r="N146">
        <v>-1</v>
      </c>
      <c r="O146">
        <v>1</v>
      </c>
      <c r="P146">
        <v>1</v>
      </c>
      <c r="Q146">
        <v>1</v>
      </c>
      <c r="R146" s="30">
        <v>1</v>
      </c>
    </row>
    <row r="147" spans="2:19">
      <c r="C147" s="39">
        <v>-0.99999999999999856</v>
      </c>
      <c r="D147">
        <v>-0.99999999999999856</v>
      </c>
      <c r="E147">
        <v>-1.0000000000000013</v>
      </c>
      <c r="F147">
        <v>-1.0000000000000013</v>
      </c>
      <c r="G147">
        <v>1.0000000000000013</v>
      </c>
      <c r="H147">
        <v>1.0000000000000013</v>
      </c>
      <c r="I147">
        <v>0.99999999999999856</v>
      </c>
      <c r="J147">
        <v>0.99999999999999856</v>
      </c>
      <c r="K147">
        <v>-0.99999999999999856</v>
      </c>
      <c r="L147">
        <v>-0.99999999999999856</v>
      </c>
      <c r="M147">
        <v>-1.0000000000000013</v>
      </c>
      <c r="N147">
        <v>-1.0000000000000013</v>
      </c>
      <c r="O147">
        <v>1.0000000000000013</v>
      </c>
      <c r="P147">
        <v>1.0000000000000013</v>
      </c>
      <c r="Q147">
        <v>0.99999999999999856</v>
      </c>
      <c r="R147" s="30">
        <v>0.99999999999999856</v>
      </c>
    </row>
    <row r="148" spans="2:19">
      <c r="C148" s="39">
        <v>-1</v>
      </c>
      <c r="D148">
        <v>-1</v>
      </c>
      <c r="E148">
        <v>-1</v>
      </c>
      <c r="F148">
        <v>-1</v>
      </c>
      <c r="G148">
        <v>-1</v>
      </c>
      <c r="H148">
        <v>-1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-1</v>
      </c>
      <c r="R148" s="30">
        <v>-1</v>
      </c>
    </row>
    <row r="149" spans="2:19">
      <c r="C149" s="39">
        <v>0.99999999999999856</v>
      </c>
      <c r="D149">
        <v>0.99999999999999856</v>
      </c>
      <c r="E149">
        <v>1.0000000000000013</v>
      </c>
      <c r="F149">
        <v>1.0000000000000013</v>
      </c>
      <c r="G149">
        <v>-1.0000000000000013</v>
      </c>
      <c r="H149">
        <v>-1.0000000000000013</v>
      </c>
      <c r="I149">
        <v>0.99999999999999856</v>
      </c>
      <c r="J149">
        <v>0.99999999999999856</v>
      </c>
      <c r="K149">
        <v>-0.99999999999999856</v>
      </c>
      <c r="L149">
        <v>-0.99999999999999856</v>
      </c>
      <c r="M149">
        <v>-1.0000000000000013</v>
      </c>
      <c r="N149">
        <v>-1.0000000000000013</v>
      </c>
      <c r="O149">
        <v>1.0000000000000013</v>
      </c>
      <c r="P149">
        <v>1.0000000000000013</v>
      </c>
      <c r="Q149">
        <v>-0.99999999999999856</v>
      </c>
      <c r="R149" s="30">
        <v>-0.99999999999999856</v>
      </c>
    </row>
    <row r="150" spans="2:19">
      <c r="C150" s="40">
        <v>0.99999999999999856</v>
      </c>
      <c r="D150" s="31">
        <v>0.99999999999999856</v>
      </c>
      <c r="E150" s="31">
        <v>-1.0000000000000013</v>
      </c>
      <c r="F150" s="31">
        <v>-1.0000000000000013</v>
      </c>
      <c r="G150" s="31">
        <v>-1.0000000000000013</v>
      </c>
      <c r="H150" s="31">
        <v>-1.0000000000000013</v>
      </c>
      <c r="I150" s="31">
        <v>-0.99999999999999856</v>
      </c>
      <c r="J150" s="31">
        <v>-0.99999999999999856</v>
      </c>
      <c r="K150" s="31">
        <v>-0.99999999999999856</v>
      </c>
      <c r="L150" s="31">
        <v>-0.99999999999999856</v>
      </c>
      <c r="M150" s="31">
        <v>1.0000000000000013</v>
      </c>
      <c r="N150" s="31">
        <v>1.0000000000000013</v>
      </c>
      <c r="O150" s="31">
        <v>1.0000000000000013</v>
      </c>
      <c r="P150" s="31">
        <v>1.0000000000000013</v>
      </c>
      <c r="Q150" s="31">
        <v>0.99999999999999856</v>
      </c>
      <c r="R150" s="32">
        <v>0.99999999999999856</v>
      </c>
      <c r="S150" t="s">
        <v>48</v>
      </c>
    </row>
    <row r="152" spans="2:19" ht="15">
      <c r="B152" s="11" t="s">
        <v>49</v>
      </c>
      <c r="C152" s="41" cm="1">
        <f t="array" ref="C152:C159">MMULT(_xlfn.ANCHORARRAY(C143),K105:K120)</f>
        <v>2796.5823999999998</v>
      </c>
      <c r="E152" s="50" t="s">
        <v>50</v>
      </c>
      <c r="F152" s="54">
        <f>C152/16</f>
        <v>174.78639999999999</v>
      </c>
    </row>
    <row r="153" spans="2:19" ht="15">
      <c r="C153" s="42">
        <v>139.6321999999999</v>
      </c>
      <c r="E153" s="50" t="s">
        <v>51</v>
      </c>
      <c r="F153" s="55">
        <f t="shared" ref="F153:F159" si="17">C153/16</f>
        <v>8.7270124999999936</v>
      </c>
    </row>
    <row r="154" spans="2:19" ht="15">
      <c r="C154" s="42">
        <v>590.77040000000375</v>
      </c>
      <c r="E154" s="50" t="s">
        <v>52</v>
      </c>
      <c r="F154" s="55">
        <f t="shared" si="17"/>
        <v>36.923150000000234</v>
      </c>
    </row>
    <row r="155" spans="2:19" ht="15">
      <c r="C155" s="42">
        <v>-764.81739999999991</v>
      </c>
      <c r="E155" s="50" t="s">
        <v>53</v>
      </c>
      <c r="F155" s="55">
        <f t="shared" si="17"/>
        <v>-47.801087499999994</v>
      </c>
    </row>
    <row r="156" spans="2:19" ht="15">
      <c r="C156" s="42">
        <v>68.217800000000182</v>
      </c>
      <c r="E156" s="50" t="s">
        <v>54</v>
      </c>
      <c r="F156" s="55">
        <f t="shared" si="17"/>
        <v>4.2636125000000114</v>
      </c>
    </row>
    <row r="157" spans="2:19" ht="15">
      <c r="C157" s="42">
        <v>99.340799999999831</v>
      </c>
      <c r="E157" s="50" t="s">
        <v>55</v>
      </c>
      <c r="F157" s="55">
        <f t="shared" si="17"/>
        <v>6.2087999999999894</v>
      </c>
    </row>
    <row r="158" spans="2:19" ht="15">
      <c r="C158" s="42">
        <v>-41.654200000000998</v>
      </c>
      <c r="E158" s="50" t="s">
        <v>56</v>
      </c>
      <c r="F158" s="55">
        <f t="shared" si="17"/>
        <v>-2.6033875000000624</v>
      </c>
    </row>
    <row r="159" spans="2:19" ht="15">
      <c r="C159" s="43">
        <v>-22.55119999999971</v>
      </c>
      <c r="E159" s="50" t="s">
        <v>57</v>
      </c>
      <c r="F159" s="56">
        <f t="shared" si="17"/>
        <v>-1.4094499999999819</v>
      </c>
    </row>
    <row r="161" spans="1:20" ht="15">
      <c r="A161" s="16" t="s">
        <v>82</v>
      </c>
    </row>
    <row r="163" spans="1:20" ht="15">
      <c r="D163" s="51" t="s">
        <v>30</v>
      </c>
      <c r="E163" s="51" t="s">
        <v>31</v>
      </c>
      <c r="F163" s="51" t="s">
        <v>32</v>
      </c>
      <c r="G163" s="51" t="s">
        <v>43</v>
      </c>
      <c r="H163" s="51" t="s">
        <v>44</v>
      </c>
      <c r="I163" s="51" t="s">
        <v>45</v>
      </c>
      <c r="J163" s="51" t="s">
        <v>46</v>
      </c>
      <c r="K163" s="51" t="s">
        <v>27</v>
      </c>
    </row>
    <row r="164" spans="1:20">
      <c r="D164" s="27">
        <f>D125</f>
        <v>1</v>
      </c>
      <c r="E164" s="27">
        <f t="shared" ref="E164:J164" si="18">E125</f>
        <v>-0.99999999999999856</v>
      </c>
      <c r="F164" s="27">
        <f t="shared" si="18"/>
        <v>-1</v>
      </c>
      <c r="G164" s="27">
        <f t="shared" si="18"/>
        <v>-0.99999999999999856</v>
      </c>
      <c r="H164" s="27">
        <f t="shared" si="18"/>
        <v>-1</v>
      </c>
      <c r="I164" s="27">
        <f t="shared" si="18"/>
        <v>0.99999999999999856</v>
      </c>
      <c r="J164" s="27">
        <f t="shared" si="18"/>
        <v>0.99999999999999856</v>
      </c>
      <c r="K164" s="3">
        <v>177.66919999999999</v>
      </c>
    </row>
    <row r="165" spans="1:20">
      <c r="D165" s="27">
        <f t="shared" ref="D165:J179" si="19">D126</f>
        <v>1</v>
      </c>
      <c r="E165" s="27">
        <f t="shared" si="19"/>
        <v>-0.99999999999999856</v>
      </c>
      <c r="F165" s="27">
        <f t="shared" si="19"/>
        <v>-1</v>
      </c>
      <c r="G165" s="27">
        <f t="shared" si="19"/>
        <v>-0.99999999999999856</v>
      </c>
      <c r="H165" s="27">
        <f t="shared" si="19"/>
        <v>-1</v>
      </c>
      <c r="I165" s="27">
        <f t="shared" si="19"/>
        <v>0.99999999999999856</v>
      </c>
      <c r="J165" s="27">
        <f t="shared" si="19"/>
        <v>0.99999999999999856</v>
      </c>
      <c r="K165" s="3">
        <v>182.143</v>
      </c>
    </row>
    <row r="166" spans="1:20">
      <c r="D166" s="27">
        <f t="shared" si="19"/>
        <v>-1</v>
      </c>
      <c r="E166" s="27">
        <f t="shared" si="19"/>
        <v>1.0000000000000013</v>
      </c>
      <c r="F166" s="27">
        <f t="shared" si="19"/>
        <v>1</v>
      </c>
      <c r="G166" s="27">
        <f t="shared" si="19"/>
        <v>-1.0000000000000013</v>
      </c>
      <c r="H166" s="27">
        <f t="shared" si="19"/>
        <v>-1</v>
      </c>
      <c r="I166" s="27">
        <f t="shared" si="19"/>
        <v>1.0000000000000013</v>
      </c>
      <c r="J166" s="27">
        <f t="shared" si="19"/>
        <v>-1.0000000000000013</v>
      </c>
      <c r="K166" s="3">
        <v>141.2878</v>
      </c>
      <c r="O166" s="47"/>
      <c r="P166" s="47"/>
    </row>
    <row r="167" spans="1:20">
      <c r="D167" s="27">
        <f t="shared" si="19"/>
        <v>-1</v>
      </c>
      <c r="E167" s="27">
        <f t="shared" si="19"/>
        <v>1.0000000000000013</v>
      </c>
      <c r="F167" s="27">
        <f t="shared" si="19"/>
        <v>1</v>
      </c>
      <c r="G167" s="27">
        <f t="shared" si="19"/>
        <v>-1.0000000000000013</v>
      </c>
      <c r="H167" s="27">
        <f t="shared" si="19"/>
        <v>-1</v>
      </c>
      <c r="I167" s="27">
        <f t="shared" si="19"/>
        <v>1.0000000000000013</v>
      </c>
      <c r="J167" s="27">
        <f t="shared" si="19"/>
        <v>-1.0000000000000013</v>
      </c>
      <c r="K167" s="3">
        <v>145.7424</v>
      </c>
    </row>
    <row r="168" spans="1:20">
      <c r="D168" s="27">
        <f t="shared" si="19"/>
        <v>1</v>
      </c>
      <c r="E168" s="27">
        <f t="shared" si="19"/>
        <v>1.0000000000000013</v>
      </c>
      <c r="F168" s="27">
        <f t="shared" si="19"/>
        <v>-1</v>
      </c>
      <c r="G168" s="27">
        <f t="shared" si="19"/>
        <v>1.0000000000000013</v>
      </c>
      <c r="H168" s="27">
        <f t="shared" si="19"/>
        <v>-1</v>
      </c>
      <c r="I168" s="27">
        <f t="shared" si="19"/>
        <v>-1.0000000000000013</v>
      </c>
      <c r="J168" s="27">
        <f t="shared" si="19"/>
        <v>-1.0000000000000013</v>
      </c>
      <c r="K168" s="3">
        <v>268.84870000000001</v>
      </c>
    </row>
    <row r="169" spans="1:20">
      <c r="D169" s="27">
        <f t="shared" si="19"/>
        <v>1</v>
      </c>
      <c r="E169" s="27">
        <f t="shared" si="19"/>
        <v>1.0000000000000013</v>
      </c>
      <c r="F169" s="27">
        <f t="shared" si="19"/>
        <v>-1</v>
      </c>
      <c r="G169" s="27">
        <f t="shared" si="19"/>
        <v>1.0000000000000013</v>
      </c>
      <c r="H169" s="27">
        <f t="shared" si="19"/>
        <v>-1</v>
      </c>
      <c r="I169" s="27">
        <f t="shared" si="19"/>
        <v>-1.0000000000000013</v>
      </c>
      <c r="J169" s="27">
        <f t="shared" si="19"/>
        <v>-1.0000000000000013</v>
      </c>
      <c r="K169" s="3">
        <v>271.76190000000003</v>
      </c>
    </row>
    <row r="170" spans="1:20">
      <c r="D170" s="27">
        <f t="shared" si="19"/>
        <v>-1</v>
      </c>
      <c r="E170" s="27">
        <f t="shared" si="19"/>
        <v>-0.99999999999999856</v>
      </c>
      <c r="F170" s="27">
        <f t="shared" si="19"/>
        <v>-1</v>
      </c>
      <c r="G170" s="27">
        <f t="shared" si="19"/>
        <v>0.99999999999999856</v>
      </c>
      <c r="H170" s="27">
        <f t="shared" si="19"/>
        <v>1</v>
      </c>
      <c r="I170" s="27">
        <f t="shared" si="19"/>
        <v>0.99999999999999856</v>
      </c>
      <c r="J170" s="27">
        <f t="shared" si="19"/>
        <v>-0.99999999999999856</v>
      </c>
      <c r="K170" s="3">
        <v>189.28829999999999</v>
      </c>
    </row>
    <row r="171" spans="1:20">
      <c r="D171" s="27">
        <f t="shared" si="19"/>
        <v>-1</v>
      </c>
      <c r="E171" s="27">
        <f t="shared" si="19"/>
        <v>-0.99999999999999856</v>
      </c>
      <c r="F171" s="27">
        <f t="shared" si="19"/>
        <v>-1</v>
      </c>
      <c r="G171" s="27">
        <f t="shared" si="19"/>
        <v>0.99999999999999856</v>
      </c>
      <c r="H171" s="27">
        <f t="shared" si="19"/>
        <v>1</v>
      </c>
      <c r="I171" s="27">
        <f t="shared" si="19"/>
        <v>0.99999999999999856</v>
      </c>
      <c r="J171" s="27">
        <f t="shared" si="19"/>
        <v>-0.99999999999999856</v>
      </c>
      <c r="K171" s="3">
        <v>183.14330000000001</v>
      </c>
    </row>
    <row r="172" spans="1:20">
      <c r="D172" s="27">
        <f t="shared" si="19"/>
        <v>1</v>
      </c>
      <c r="E172" s="27">
        <f t="shared" si="19"/>
        <v>-0.99999999999999856</v>
      </c>
      <c r="F172" s="27">
        <f t="shared" si="19"/>
        <v>1</v>
      </c>
      <c r="G172" s="27">
        <f t="shared" si="19"/>
        <v>-0.99999999999999856</v>
      </c>
      <c r="H172" s="27">
        <f t="shared" si="19"/>
        <v>1</v>
      </c>
      <c r="I172" s="27">
        <f t="shared" si="19"/>
        <v>-0.99999999999999856</v>
      </c>
      <c r="J172" s="27">
        <f t="shared" si="19"/>
        <v>-0.99999999999999856</v>
      </c>
      <c r="K172" s="3">
        <v>100.1876</v>
      </c>
    </row>
    <row r="173" spans="1:20">
      <c r="D173" s="27">
        <f t="shared" si="19"/>
        <v>1</v>
      </c>
      <c r="E173" s="27">
        <f t="shared" si="19"/>
        <v>-0.99999999999999856</v>
      </c>
      <c r="F173" s="27">
        <f t="shared" si="19"/>
        <v>1</v>
      </c>
      <c r="G173" s="27">
        <f t="shared" si="19"/>
        <v>-0.99999999999999856</v>
      </c>
      <c r="H173" s="27">
        <f t="shared" si="19"/>
        <v>1</v>
      </c>
      <c r="I173" s="27">
        <f t="shared" si="19"/>
        <v>-0.99999999999999856</v>
      </c>
      <c r="J173" s="27">
        <f t="shared" si="19"/>
        <v>-0.99999999999999856</v>
      </c>
      <c r="K173" s="3">
        <v>109.3068</v>
      </c>
    </row>
    <row r="174" spans="1:20">
      <c r="D174" s="27">
        <f t="shared" si="19"/>
        <v>-1</v>
      </c>
      <c r="E174" s="27">
        <f t="shared" si="19"/>
        <v>1.0000000000000013</v>
      </c>
      <c r="F174" s="27">
        <f t="shared" si="19"/>
        <v>-1</v>
      </c>
      <c r="G174" s="27">
        <f t="shared" si="19"/>
        <v>-1.0000000000000013</v>
      </c>
      <c r="H174" s="27">
        <f t="shared" si="19"/>
        <v>1</v>
      </c>
      <c r="I174" s="27">
        <f t="shared" si="19"/>
        <v>-1.0000000000000013</v>
      </c>
      <c r="J174" s="27">
        <f t="shared" si="19"/>
        <v>1.0000000000000013</v>
      </c>
      <c r="K174" s="3">
        <v>259.6343</v>
      </c>
      <c r="O174" s="48"/>
      <c r="P174" s="48"/>
      <c r="Q174" s="48"/>
      <c r="R174" s="48"/>
      <c r="S174" s="48"/>
      <c r="T174" s="48"/>
    </row>
    <row r="175" spans="1:20">
      <c r="D175" s="27">
        <f t="shared" si="19"/>
        <v>-1</v>
      </c>
      <c r="E175" s="27">
        <f t="shared" si="19"/>
        <v>1.0000000000000013</v>
      </c>
      <c r="F175" s="27">
        <f t="shared" si="19"/>
        <v>-1</v>
      </c>
      <c r="G175" s="27">
        <f t="shared" si="19"/>
        <v>-1.0000000000000013</v>
      </c>
      <c r="H175" s="27">
        <f t="shared" si="19"/>
        <v>1</v>
      </c>
      <c r="I175" s="27">
        <f t="shared" si="19"/>
        <v>-1.0000000000000013</v>
      </c>
      <c r="J175" s="27">
        <f t="shared" si="19"/>
        <v>1.0000000000000013</v>
      </c>
      <c r="K175" s="3">
        <v>248.21119999999999</v>
      </c>
    </row>
    <row r="176" spans="1:20">
      <c r="D176" s="27">
        <f t="shared" si="19"/>
        <v>1</v>
      </c>
      <c r="E176" s="27">
        <f t="shared" si="19"/>
        <v>1.0000000000000013</v>
      </c>
      <c r="F176" s="27">
        <f t="shared" si="19"/>
        <v>1</v>
      </c>
      <c r="G176" s="27">
        <f t="shared" si="19"/>
        <v>1.0000000000000013</v>
      </c>
      <c r="H176" s="27">
        <f t="shared" si="19"/>
        <v>1</v>
      </c>
      <c r="I176" s="27">
        <f t="shared" si="19"/>
        <v>1.0000000000000013</v>
      </c>
      <c r="J176" s="27">
        <f t="shared" si="19"/>
        <v>1.0000000000000013</v>
      </c>
      <c r="K176" s="3">
        <v>181.59819999999999</v>
      </c>
    </row>
    <row r="177" spans="2:23">
      <c r="D177" s="27">
        <f t="shared" si="19"/>
        <v>1</v>
      </c>
      <c r="E177" s="27">
        <f t="shared" si="19"/>
        <v>1.0000000000000013</v>
      </c>
      <c r="F177" s="27">
        <f t="shared" si="19"/>
        <v>1</v>
      </c>
      <c r="G177" s="27">
        <f t="shared" si="19"/>
        <v>1.0000000000000013</v>
      </c>
      <c r="H177" s="27">
        <f t="shared" si="19"/>
        <v>1</v>
      </c>
      <c r="I177" s="27">
        <f t="shared" si="19"/>
        <v>1.0000000000000013</v>
      </c>
      <c r="J177" s="27">
        <f t="shared" si="19"/>
        <v>1.0000000000000013</v>
      </c>
      <c r="K177" s="3">
        <v>176.59190000000001</v>
      </c>
    </row>
    <row r="178" spans="2:23">
      <c r="D178" s="27">
        <f t="shared" si="19"/>
        <v>-1</v>
      </c>
      <c r="E178" s="27">
        <f t="shared" si="19"/>
        <v>-0.99999999999999856</v>
      </c>
      <c r="F178" s="27">
        <f t="shared" si="19"/>
        <v>1</v>
      </c>
      <c r="G178" s="27">
        <f t="shared" si="19"/>
        <v>0.99999999999999856</v>
      </c>
      <c r="H178" s="27">
        <f t="shared" si="19"/>
        <v>-1</v>
      </c>
      <c r="I178" s="27">
        <f t="shared" si="19"/>
        <v>-0.99999999999999856</v>
      </c>
      <c r="J178" s="27">
        <f t="shared" si="19"/>
        <v>0.99999999999999856</v>
      </c>
      <c r="K178" s="3">
        <v>71.826899999999995</v>
      </c>
    </row>
    <row r="179" spans="2:23">
      <c r="D179" s="27">
        <f t="shared" si="19"/>
        <v>-1</v>
      </c>
      <c r="E179" s="27">
        <f t="shared" si="19"/>
        <v>-0.99999999999999856</v>
      </c>
      <c r="F179" s="27">
        <f t="shared" si="19"/>
        <v>1</v>
      </c>
      <c r="G179" s="27">
        <f t="shared" si="19"/>
        <v>0.99999999999999856</v>
      </c>
      <c r="H179" s="27">
        <f t="shared" si="19"/>
        <v>-1</v>
      </c>
      <c r="I179" s="27">
        <f t="shared" si="19"/>
        <v>-0.99999999999999856</v>
      </c>
      <c r="J179" s="27">
        <f t="shared" si="19"/>
        <v>0.99999999999999856</v>
      </c>
      <c r="K179" s="3">
        <v>89.340900000000005</v>
      </c>
      <c r="O179" s="48"/>
      <c r="P179" s="48"/>
      <c r="Q179" s="48"/>
      <c r="R179" s="48"/>
      <c r="S179" s="48"/>
      <c r="T179" s="48"/>
      <c r="U179" s="48"/>
      <c r="V179" s="48"/>
      <c r="W179" s="48"/>
    </row>
    <row r="181" spans="2:23">
      <c r="B181" t="s">
        <v>58</v>
      </c>
    </row>
    <row r="182" spans="2:23" ht="15" thickBot="1"/>
    <row r="183" spans="2:23">
      <c r="B183" s="46" t="s">
        <v>59</v>
      </c>
      <c r="C183" s="46"/>
    </row>
    <row r="184" spans="2:23">
      <c r="B184" t="s">
        <v>60</v>
      </c>
      <c r="C184">
        <v>0.99740635550658219</v>
      </c>
    </row>
    <row r="185" spans="2:23">
      <c r="B185" t="s">
        <v>61</v>
      </c>
      <c r="C185">
        <v>0.99481943800492267</v>
      </c>
    </row>
    <row r="186" spans="2:23">
      <c r="B186" t="s">
        <v>62</v>
      </c>
      <c r="C186">
        <v>0.99028644625923001</v>
      </c>
    </row>
    <row r="187" spans="2:23">
      <c r="B187" t="s">
        <v>63</v>
      </c>
      <c r="C187">
        <v>6.2826963000570064</v>
      </c>
    </row>
    <row r="188" spans="2:23" ht="15" thickBot="1">
      <c r="B188" s="44" t="s">
        <v>64</v>
      </c>
      <c r="C188" s="44">
        <v>16</v>
      </c>
    </row>
    <row r="190" spans="2:23" ht="15" thickBot="1">
      <c r="B190" t="s">
        <v>65</v>
      </c>
    </row>
    <row r="191" spans="2:23">
      <c r="B191" s="45"/>
      <c r="C191" s="45" t="s">
        <v>70</v>
      </c>
      <c r="D191" s="45" t="s">
        <v>71</v>
      </c>
      <c r="E191" s="45" t="s">
        <v>72</v>
      </c>
      <c r="F191" s="45" t="s">
        <v>73</v>
      </c>
      <c r="G191" s="45" t="s">
        <v>74</v>
      </c>
    </row>
    <row r="192" spans="2:23">
      <c r="B192" t="s">
        <v>66</v>
      </c>
      <c r="C192">
        <v>7</v>
      </c>
      <c r="D192">
        <v>60638.647744769994</v>
      </c>
      <c r="E192">
        <v>8662.6639635385709</v>
      </c>
      <c r="F192">
        <v>219.46200077470328</v>
      </c>
      <c r="G192">
        <v>1.6724160306891865E-8</v>
      </c>
    </row>
    <row r="193" spans="2:10">
      <c r="B193" t="s">
        <v>67</v>
      </c>
      <c r="C193">
        <v>8</v>
      </c>
      <c r="D193">
        <v>315.77818238999998</v>
      </c>
      <c r="E193">
        <v>39.472272798749998</v>
      </c>
    </row>
    <row r="194" spans="2:10" ht="15" thickBot="1">
      <c r="B194" s="44" t="s">
        <v>68</v>
      </c>
      <c r="C194" s="44">
        <v>15</v>
      </c>
      <c r="D194" s="44">
        <v>60954.425927159995</v>
      </c>
      <c r="E194" s="44"/>
      <c r="F194" s="44"/>
      <c r="G194" s="44"/>
    </row>
    <row r="195" spans="2:10" ht="15" thickBot="1"/>
    <row r="196" spans="2:10">
      <c r="B196" s="45"/>
      <c r="C196" s="45" t="s">
        <v>75</v>
      </c>
      <c r="D196" s="45" t="s">
        <v>63</v>
      </c>
      <c r="E196" s="45" t="s">
        <v>76</v>
      </c>
      <c r="F196" s="45" t="s">
        <v>77</v>
      </c>
      <c r="G196" s="45" t="s">
        <v>78</v>
      </c>
      <c r="H196" s="45" t="s">
        <v>79</v>
      </c>
      <c r="I196" s="45" t="s">
        <v>80</v>
      </c>
      <c r="J196" s="45" t="s">
        <v>81</v>
      </c>
    </row>
    <row r="197" spans="2:10" ht="15">
      <c r="B197" t="s">
        <v>69</v>
      </c>
      <c r="C197" s="57">
        <v>174.78639999999993</v>
      </c>
      <c r="D197">
        <v>1.5706740750142516</v>
      </c>
      <c r="E197">
        <v>111.28113895838892</v>
      </c>
      <c r="F197">
        <v>4.7515556358918435E-14</v>
      </c>
      <c r="G197">
        <v>171.16441908795909</v>
      </c>
      <c r="H197">
        <v>178.40838091204077</v>
      </c>
      <c r="I197">
        <v>171.16441908795909</v>
      </c>
      <c r="J197">
        <v>178.40838091204077</v>
      </c>
    </row>
    <row r="198" spans="2:10" ht="15">
      <c r="B198" t="s">
        <v>30</v>
      </c>
      <c r="C198" s="57">
        <v>8.7270124999999972</v>
      </c>
      <c r="D198">
        <v>1.5706740750142516</v>
      </c>
      <c r="E198">
        <v>5.5562211402265698</v>
      </c>
      <c r="F198" s="14">
        <v>5.3704210654517692E-4</v>
      </c>
      <c r="G198">
        <v>5.1050315879591528</v>
      </c>
      <c r="H198">
        <v>12.348993412040841</v>
      </c>
      <c r="I198">
        <v>5.1050315879591528</v>
      </c>
      <c r="J198">
        <v>12.348993412040841</v>
      </c>
    </row>
    <row r="199" spans="2:10" ht="15">
      <c r="B199" t="s">
        <v>31</v>
      </c>
      <c r="C199" s="57">
        <v>36.92315</v>
      </c>
      <c r="D199">
        <v>1.5706740750142516</v>
      </c>
      <c r="E199">
        <v>23.507836913692596</v>
      </c>
      <c r="F199" s="14">
        <v>1.140362035010819E-8</v>
      </c>
      <c r="G199">
        <v>33.301169087959153</v>
      </c>
      <c r="H199">
        <v>40.545130912040847</v>
      </c>
      <c r="I199">
        <v>33.301169087959153</v>
      </c>
      <c r="J199">
        <v>40.545130912040847</v>
      </c>
    </row>
    <row r="200" spans="2:10" ht="15">
      <c r="B200" t="s">
        <v>32</v>
      </c>
      <c r="C200" s="57">
        <v>-47.801087499999994</v>
      </c>
      <c r="D200">
        <v>1.5706740750142516</v>
      </c>
      <c r="E200">
        <v>-30.43348601750256</v>
      </c>
      <c r="F200" s="14">
        <v>1.4755607406475567E-9</v>
      </c>
      <c r="G200">
        <v>-51.423068412040841</v>
      </c>
      <c r="H200">
        <v>-44.179106587959147</v>
      </c>
      <c r="I200">
        <v>-51.423068412040841</v>
      </c>
      <c r="J200">
        <v>-44.179106587959147</v>
      </c>
    </row>
    <row r="201" spans="2:10" ht="15">
      <c r="B201" t="s">
        <v>43</v>
      </c>
      <c r="C201" s="57">
        <v>4.2636125000000007</v>
      </c>
      <c r="D201">
        <v>1.5706740750142516</v>
      </c>
      <c r="E201">
        <v>2.7145112839284078</v>
      </c>
      <c r="F201" s="14">
        <v>2.647261008558693E-2</v>
      </c>
      <c r="G201">
        <v>0.64163158795915631</v>
      </c>
      <c r="H201">
        <v>7.8855934120408451</v>
      </c>
      <c r="I201">
        <v>0.64163158795915631</v>
      </c>
      <c r="J201">
        <v>7.8855934120408451</v>
      </c>
    </row>
    <row r="202" spans="2:10" ht="15">
      <c r="B202" t="s">
        <v>44</v>
      </c>
      <c r="C202" s="57">
        <v>6.2087999999999965</v>
      </c>
      <c r="D202">
        <v>1.5706740750142516</v>
      </c>
      <c r="E202">
        <v>3.952952492670168</v>
      </c>
      <c r="F202" s="14">
        <v>4.2185106377796676E-3</v>
      </c>
      <c r="G202">
        <v>2.5868190879591522</v>
      </c>
      <c r="H202">
        <v>9.83078091204084</v>
      </c>
      <c r="I202">
        <v>2.5868190879591522</v>
      </c>
      <c r="J202">
        <v>9.83078091204084</v>
      </c>
    </row>
    <row r="203" spans="2:10" ht="15">
      <c r="B203" s="16" t="s">
        <v>45</v>
      </c>
      <c r="C203" s="57">
        <v>-2.6033874999999989</v>
      </c>
      <c r="D203" s="16">
        <v>1.5706740750142516</v>
      </c>
      <c r="E203" s="16">
        <v>-1.657496957143306</v>
      </c>
      <c r="F203" s="16">
        <v>0.13600725186382767</v>
      </c>
      <c r="G203" s="16">
        <v>-6.2253684120408437</v>
      </c>
      <c r="H203" s="16">
        <v>1.0185934120408455</v>
      </c>
      <c r="I203" s="16">
        <v>-6.2253684120408437</v>
      </c>
      <c r="J203" s="16">
        <v>1.0185934120408455</v>
      </c>
    </row>
    <row r="204" spans="2:10" ht="15.75" thickBot="1">
      <c r="B204" s="53" t="s">
        <v>46</v>
      </c>
      <c r="C204" s="58">
        <v>-1.4094500000000021</v>
      </c>
      <c r="D204" s="53">
        <v>1.5706740750142516</v>
      </c>
      <c r="E204" s="53">
        <v>-0.89735357730865539</v>
      </c>
      <c r="F204" s="53">
        <v>0.39573191481804493</v>
      </c>
      <c r="G204" s="53">
        <v>-5.0314309120408467</v>
      </c>
      <c r="H204" s="53">
        <v>2.2125309120408421</v>
      </c>
      <c r="I204" s="53">
        <v>-5.0314309120408467</v>
      </c>
      <c r="J204" s="53">
        <v>2.2125309120408421</v>
      </c>
    </row>
    <row r="206" spans="2:10" ht="15">
      <c r="B206" s="14" t="s">
        <v>83</v>
      </c>
    </row>
    <row r="209" spans="1:14" ht="15">
      <c r="A209" s="16" t="s">
        <v>84</v>
      </c>
    </row>
    <row r="211" spans="1:14">
      <c r="B211" s="49" t="s">
        <v>101</v>
      </c>
      <c r="C211" s="61">
        <f>C197</f>
        <v>174.78639999999993</v>
      </c>
      <c r="D211" s="61" t="s">
        <v>86</v>
      </c>
      <c r="E211" s="61">
        <f>C198</f>
        <v>8.7270124999999972</v>
      </c>
      <c r="F211" s="61" t="s">
        <v>87</v>
      </c>
      <c r="G211" s="61">
        <f>C199</f>
        <v>36.92315</v>
      </c>
      <c r="H211" s="61" t="s">
        <v>88</v>
      </c>
      <c r="I211" s="61">
        <f>C200</f>
        <v>-47.801087499999994</v>
      </c>
      <c r="J211" s="61" t="s">
        <v>89</v>
      </c>
      <c r="K211" s="61">
        <f>C201</f>
        <v>4.2636125000000007</v>
      </c>
      <c r="L211" s="61" t="s">
        <v>90</v>
      </c>
      <c r="M211" s="17">
        <f>C202</f>
        <v>6.2087999999999965</v>
      </c>
      <c r="N211" s="17" t="s">
        <v>91</v>
      </c>
    </row>
    <row r="215" spans="1:14" ht="15">
      <c r="A215" s="16" t="s">
        <v>102</v>
      </c>
    </row>
    <row r="217" spans="1:14" ht="42.75">
      <c r="B217" s="65" t="s">
        <v>85</v>
      </c>
      <c r="C217" s="52">
        <f>C211</f>
        <v>174.78639999999993</v>
      </c>
      <c r="D217" s="52" t="str">
        <f>D211</f>
        <v>+</v>
      </c>
      <c r="E217" s="52">
        <f>E211</f>
        <v>8.7270124999999972</v>
      </c>
      <c r="F217" s="66" t="s">
        <v>92</v>
      </c>
      <c r="G217" s="52">
        <f>G211</f>
        <v>36.92315</v>
      </c>
      <c r="H217" s="66" t="s">
        <v>93</v>
      </c>
      <c r="I217" s="52">
        <f>I211</f>
        <v>-47.801087499999994</v>
      </c>
      <c r="J217" s="66" t="s">
        <v>94</v>
      </c>
      <c r="K217" s="52">
        <f>K211</f>
        <v>4.2636125000000007</v>
      </c>
      <c r="L217" s="66" t="s">
        <v>95</v>
      </c>
      <c r="M217" s="52">
        <f>M211</f>
        <v>6.2087999999999965</v>
      </c>
      <c r="N217" s="66" t="s">
        <v>96</v>
      </c>
    </row>
    <row r="218" spans="1:14" ht="15">
      <c r="B218" s="60"/>
    </row>
    <row r="219" spans="1:14" ht="15">
      <c r="B219" s="62" t="s">
        <v>85</v>
      </c>
      <c r="C219" s="14">
        <f>C217+E217*(-45/15)+G217*(-4.485/0.315)+I217*(-12/6)+K217*(-45/15)*(-4.485/0.315)+M217*(-45/15)*(-12/6)</f>
        <v>-62.137826190476318</v>
      </c>
      <c r="D219" s="64" t="s">
        <v>86</v>
      </c>
      <c r="E219" s="14">
        <f>E217/15+K217/15*(-4.485/0.315)+M217/15*(-12/6)</f>
        <v>-4.2930872222222227</v>
      </c>
      <c r="F219" s="64" t="s">
        <v>97</v>
      </c>
      <c r="G219" s="14">
        <f>G217/0.315+K217/0.315*(-45/15)</f>
        <v>76.610515873015856</v>
      </c>
      <c r="H219" s="64" t="s">
        <v>98</v>
      </c>
      <c r="I219" s="14">
        <f>I217/6+M217/6*(-45/15)</f>
        <v>-11.071247916666664</v>
      </c>
      <c r="J219" s="64" t="s">
        <v>99</v>
      </c>
      <c r="K219" s="14">
        <f>K217/(15*0.315)</f>
        <v>0.90235185185185207</v>
      </c>
      <c r="L219" s="64" t="s">
        <v>100</v>
      </c>
      <c r="M219" s="14">
        <f>M217/(15*6)</f>
        <v>6.8986666666666627E-2</v>
      </c>
      <c r="N219" s="14" t="s">
        <v>234</v>
      </c>
    </row>
    <row r="221" spans="1:14" ht="15">
      <c r="A221" s="16" t="s">
        <v>103</v>
      </c>
      <c r="B221" s="12"/>
      <c r="C221" s="12"/>
    </row>
    <row r="223" spans="1:14" ht="15">
      <c r="B223" s="14" t="s">
        <v>104</v>
      </c>
    </row>
    <row r="224" spans="1:14">
      <c r="I224" t="s">
        <v>58</v>
      </c>
    </row>
    <row r="225" spans="2:17" ht="15.75" thickBot="1">
      <c r="B225" s="27" t="str">
        <f t="shared" ref="B225:B241" si="20">D163</f>
        <v>t1</v>
      </c>
      <c r="C225" s="27" t="str">
        <f t="shared" ref="C225:C241" si="21">E163</f>
        <v>t2</v>
      </c>
      <c r="D225" s="27" t="str">
        <f t="shared" ref="D225:D241" si="22">F163</f>
        <v>t3</v>
      </c>
      <c r="E225" s="5" t="str">
        <f t="shared" ref="E225:E241" si="23">G163</f>
        <v>t1*t2</v>
      </c>
      <c r="F225" s="5" t="str">
        <f t="shared" ref="F225:F241" si="24">H163</f>
        <v>t1*t3</v>
      </c>
      <c r="G225" s="27" t="str">
        <f t="shared" ref="G225:G241" si="25">K163</f>
        <v>Y</v>
      </c>
    </row>
    <row r="226" spans="2:17">
      <c r="B226" s="27">
        <f t="shared" si="20"/>
        <v>1</v>
      </c>
      <c r="C226" s="27">
        <f t="shared" si="21"/>
        <v>-0.99999999999999856</v>
      </c>
      <c r="D226" s="27">
        <f t="shared" si="22"/>
        <v>-1</v>
      </c>
      <c r="E226" s="3">
        <f t="shared" si="23"/>
        <v>-0.99999999999999856</v>
      </c>
      <c r="F226" s="3">
        <f t="shared" si="24"/>
        <v>-1</v>
      </c>
      <c r="G226" s="27">
        <f t="shared" si="25"/>
        <v>177.66919999999999</v>
      </c>
      <c r="I226" s="46" t="s">
        <v>59</v>
      </c>
      <c r="J226" s="46"/>
    </row>
    <row r="227" spans="2:17">
      <c r="B227" s="27">
        <f t="shared" si="20"/>
        <v>1</v>
      </c>
      <c r="C227" s="27">
        <f t="shared" si="21"/>
        <v>-0.99999999999999856</v>
      </c>
      <c r="D227" s="27">
        <f t="shared" si="22"/>
        <v>-1</v>
      </c>
      <c r="E227" s="3">
        <f t="shared" si="23"/>
        <v>-0.99999999999999856</v>
      </c>
      <c r="F227" s="3">
        <f t="shared" si="24"/>
        <v>-1</v>
      </c>
      <c r="G227" s="27">
        <f t="shared" si="25"/>
        <v>182.143</v>
      </c>
      <c r="I227" t="s">
        <v>60</v>
      </c>
      <c r="J227">
        <v>0.99625243741059144</v>
      </c>
    </row>
    <row r="228" spans="2:17">
      <c r="B228" s="27">
        <f t="shared" si="20"/>
        <v>-1</v>
      </c>
      <c r="C228" s="27">
        <f t="shared" si="21"/>
        <v>1.0000000000000013</v>
      </c>
      <c r="D228" s="27">
        <f t="shared" si="22"/>
        <v>1</v>
      </c>
      <c r="E228" s="3">
        <f t="shared" si="23"/>
        <v>-1.0000000000000013</v>
      </c>
      <c r="F228" s="3">
        <f t="shared" si="24"/>
        <v>-1</v>
      </c>
      <c r="G228" s="27">
        <f t="shared" si="25"/>
        <v>141.2878</v>
      </c>
      <c r="I228" t="s">
        <v>61</v>
      </c>
      <c r="J228">
        <v>0.99251891904654432</v>
      </c>
    </row>
    <row r="229" spans="2:17">
      <c r="B229" s="27">
        <f t="shared" si="20"/>
        <v>-1</v>
      </c>
      <c r="C229" s="27">
        <f t="shared" si="21"/>
        <v>1.0000000000000013</v>
      </c>
      <c r="D229" s="27">
        <f t="shared" si="22"/>
        <v>1</v>
      </c>
      <c r="E229" s="3">
        <f t="shared" si="23"/>
        <v>-1.0000000000000013</v>
      </c>
      <c r="F229" s="3">
        <f t="shared" si="24"/>
        <v>-1</v>
      </c>
      <c r="G229" s="27">
        <f t="shared" si="25"/>
        <v>145.7424</v>
      </c>
      <c r="I229" t="s">
        <v>62</v>
      </c>
      <c r="J229">
        <v>0.98877837856981698</v>
      </c>
    </row>
    <row r="230" spans="2:17">
      <c r="B230" s="27">
        <f t="shared" si="20"/>
        <v>1</v>
      </c>
      <c r="C230" s="27">
        <f t="shared" si="21"/>
        <v>1.0000000000000013</v>
      </c>
      <c r="D230" s="27">
        <f t="shared" si="22"/>
        <v>-1</v>
      </c>
      <c r="E230" s="3">
        <f t="shared" si="23"/>
        <v>1.0000000000000013</v>
      </c>
      <c r="F230" s="3">
        <f t="shared" si="24"/>
        <v>-1</v>
      </c>
      <c r="G230" s="27">
        <f t="shared" si="25"/>
        <v>268.84870000000001</v>
      </c>
      <c r="I230" t="s">
        <v>63</v>
      </c>
      <c r="J230">
        <v>6.7528141898952008</v>
      </c>
    </row>
    <row r="231" spans="2:17" ht="15" thickBot="1">
      <c r="B231" s="27">
        <f t="shared" si="20"/>
        <v>1</v>
      </c>
      <c r="C231" s="27">
        <f t="shared" si="21"/>
        <v>1.0000000000000013</v>
      </c>
      <c r="D231" s="27">
        <f t="shared" si="22"/>
        <v>-1</v>
      </c>
      <c r="E231" s="3">
        <f t="shared" si="23"/>
        <v>1.0000000000000013</v>
      </c>
      <c r="F231" s="3">
        <f t="shared" si="24"/>
        <v>-1</v>
      </c>
      <c r="G231" s="27">
        <f t="shared" si="25"/>
        <v>271.76190000000003</v>
      </c>
      <c r="I231" s="44" t="s">
        <v>64</v>
      </c>
      <c r="J231" s="44">
        <v>16</v>
      </c>
    </row>
    <row r="232" spans="2:17">
      <c r="B232" s="27">
        <f t="shared" si="20"/>
        <v>-1</v>
      </c>
      <c r="C232" s="27">
        <f t="shared" si="21"/>
        <v>-0.99999999999999856</v>
      </c>
      <c r="D232" s="27">
        <f t="shared" si="22"/>
        <v>-1</v>
      </c>
      <c r="E232" s="3">
        <f t="shared" si="23"/>
        <v>0.99999999999999856</v>
      </c>
      <c r="F232" s="3">
        <f t="shared" si="24"/>
        <v>1</v>
      </c>
      <c r="G232" s="27">
        <f t="shared" si="25"/>
        <v>189.28829999999999</v>
      </c>
    </row>
    <row r="233" spans="2:17" ht="15" thickBot="1">
      <c r="B233" s="27">
        <f t="shared" si="20"/>
        <v>-1</v>
      </c>
      <c r="C233" s="27">
        <f t="shared" si="21"/>
        <v>-0.99999999999999856</v>
      </c>
      <c r="D233" s="27">
        <f t="shared" si="22"/>
        <v>-1</v>
      </c>
      <c r="E233" s="3">
        <f t="shared" si="23"/>
        <v>0.99999999999999856</v>
      </c>
      <c r="F233" s="3">
        <f t="shared" si="24"/>
        <v>1</v>
      </c>
      <c r="G233" s="27">
        <f t="shared" si="25"/>
        <v>183.14330000000001</v>
      </c>
      <c r="I233" t="s">
        <v>65</v>
      </c>
    </row>
    <row r="234" spans="2:17">
      <c r="B234" s="27">
        <f t="shared" si="20"/>
        <v>1</v>
      </c>
      <c r="C234" s="27">
        <f t="shared" si="21"/>
        <v>-0.99999999999999856</v>
      </c>
      <c r="D234" s="27">
        <f t="shared" si="22"/>
        <v>1</v>
      </c>
      <c r="E234" s="3">
        <f t="shared" si="23"/>
        <v>-0.99999999999999856</v>
      </c>
      <c r="F234" s="3">
        <f t="shared" si="24"/>
        <v>1</v>
      </c>
      <c r="G234" s="27">
        <f t="shared" si="25"/>
        <v>100.1876</v>
      </c>
      <c r="I234" s="45"/>
      <c r="J234" s="45" t="s">
        <v>70</v>
      </c>
      <c r="K234" s="45" t="s">
        <v>71</v>
      </c>
      <c r="L234" s="45" t="s">
        <v>72</v>
      </c>
      <c r="M234" s="45" t="s">
        <v>73</v>
      </c>
      <c r="N234" s="45" t="s">
        <v>74</v>
      </c>
    </row>
    <row r="235" spans="2:17">
      <c r="B235" s="27">
        <f t="shared" si="20"/>
        <v>1</v>
      </c>
      <c r="C235" s="27">
        <f t="shared" si="21"/>
        <v>-0.99999999999999856</v>
      </c>
      <c r="D235" s="27">
        <f t="shared" si="22"/>
        <v>1</v>
      </c>
      <c r="E235" s="3">
        <f t="shared" si="23"/>
        <v>-0.99999999999999856</v>
      </c>
      <c r="F235" s="3">
        <f t="shared" si="24"/>
        <v>1</v>
      </c>
      <c r="G235" s="27">
        <f t="shared" si="25"/>
        <v>109.3068</v>
      </c>
      <c r="I235" t="s">
        <v>66</v>
      </c>
      <c r="J235">
        <v>5</v>
      </c>
      <c r="K235">
        <v>60498.420932327492</v>
      </c>
      <c r="L235">
        <v>12099.684186465498</v>
      </c>
      <c r="M235">
        <v>265.34104502320127</v>
      </c>
      <c r="N235">
        <v>2.723098613716886E-10</v>
      </c>
    </row>
    <row r="236" spans="2:17">
      <c r="B236" s="27">
        <f t="shared" si="20"/>
        <v>-1</v>
      </c>
      <c r="C236" s="27">
        <f t="shared" si="21"/>
        <v>1.0000000000000013</v>
      </c>
      <c r="D236" s="27">
        <f t="shared" si="22"/>
        <v>-1</v>
      </c>
      <c r="E236" s="3">
        <f t="shared" si="23"/>
        <v>-1.0000000000000013</v>
      </c>
      <c r="F236" s="3">
        <f t="shared" si="24"/>
        <v>1</v>
      </c>
      <c r="G236" s="27">
        <f t="shared" si="25"/>
        <v>259.6343</v>
      </c>
      <c r="I236" t="s">
        <v>67</v>
      </c>
      <c r="J236">
        <v>10</v>
      </c>
      <c r="K236">
        <v>456.00499483249973</v>
      </c>
      <c r="L236">
        <v>45.600499483249976</v>
      </c>
    </row>
    <row r="237" spans="2:17" ht="15" thickBot="1">
      <c r="B237" s="27">
        <f t="shared" si="20"/>
        <v>-1</v>
      </c>
      <c r="C237" s="27">
        <f t="shared" si="21"/>
        <v>1.0000000000000013</v>
      </c>
      <c r="D237" s="27">
        <f t="shared" si="22"/>
        <v>-1</v>
      </c>
      <c r="E237" s="3">
        <f t="shared" si="23"/>
        <v>-1.0000000000000013</v>
      </c>
      <c r="F237" s="3">
        <f t="shared" si="24"/>
        <v>1</v>
      </c>
      <c r="G237" s="27">
        <f t="shared" si="25"/>
        <v>248.21119999999999</v>
      </c>
      <c r="I237" s="44" t="s">
        <v>68</v>
      </c>
      <c r="J237" s="44">
        <v>15</v>
      </c>
      <c r="K237" s="44">
        <v>60954.425927159995</v>
      </c>
      <c r="L237" s="44"/>
      <c r="M237" s="44"/>
      <c r="N237" s="44"/>
    </row>
    <row r="238" spans="2:17" ht="15" thickBot="1">
      <c r="B238" s="27">
        <f t="shared" si="20"/>
        <v>1</v>
      </c>
      <c r="C238" s="27">
        <f t="shared" si="21"/>
        <v>1.0000000000000013</v>
      </c>
      <c r="D238" s="27">
        <f t="shared" si="22"/>
        <v>1</v>
      </c>
      <c r="E238" s="3">
        <f t="shared" si="23"/>
        <v>1.0000000000000013</v>
      </c>
      <c r="F238" s="3">
        <f t="shared" si="24"/>
        <v>1</v>
      </c>
      <c r="G238" s="27">
        <f t="shared" si="25"/>
        <v>181.59819999999999</v>
      </c>
    </row>
    <row r="239" spans="2:17">
      <c r="B239" s="27">
        <f t="shared" si="20"/>
        <v>1</v>
      </c>
      <c r="C239" s="27">
        <f t="shared" si="21"/>
        <v>1.0000000000000013</v>
      </c>
      <c r="D239" s="27">
        <f t="shared" si="22"/>
        <v>1</v>
      </c>
      <c r="E239" s="3">
        <f t="shared" si="23"/>
        <v>1.0000000000000013</v>
      </c>
      <c r="F239" s="3">
        <f t="shared" si="24"/>
        <v>1</v>
      </c>
      <c r="G239" s="27">
        <f t="shared" si="25"/>
        <v>176.59190000000001</v>
      </c>
      <c r="I239" s="45"/>
      <c r="J239" s="45" t="s">
        <v>75</v>
      </c>
      <c r="K239" s="45" t="s">
        <v>63</v>
      </c>
      <c r="L239" s="45" t="s">
        <v>76</v>
      </c>
      <c r="M239" s="45" t="s">
        <v>77</v>
      </c>
      <c r="N239" s="45" t="s">
        <v>78</v>
      </c>
      <c r="O239" s="45" t="s">
        <v>79</v>
      </c>
      <c r="P239" s="45" t="s">
        <v>80</v>
      </c>
      <c r="Q239" s="45" t="s">
        <v>81</v>
      </c>
    </row>
    <row r="240" spans="2:17">
      <c r="B240" s="27">
        <f t="shared" si="20"/>
        <v>-1</v>
      </c>
      <c r="C240" s="27">
        <f t="shared" si="21"/>
        <v>-0.99999999999999856</v>
      </c>
      <c r="D240" s="27">
        <f t="shared" si="22"/>
        <v>1</v>
      </c>
      <c r="E240" s="3">
        <f t="shared" si="23"/>
        <v>0.99999999999999856</v>
      </c>
      <c r="F240" s="3">
        <f t="shared" si="24"/>
        <v>-1</v>
      </c>
      <c r="G240" s="27">
        <f t="shared" si="25"/>
        <v>71.826899999999995</v>
      </c>
      <c r="I240" t="s">
        <v>69</v>
      </c>
      <c r="J240">
        <v>174.78639999999993</v>
      </c>
      <c r="K240">
        <v>1.6882035474738002</v>
      </c>
      <c r="L240">
        <v>103.53396085534082</v>
      </c>
      <c r="M240">
        <v>1.7314749007380235E-16</v>
      </c>
      <c r="N240">
        <v>171.02484808581249</v>
      </c>
      <c r="O240">
        <v>178.54795191418737</v>
      </c>
      <c r="P240">
        <v>171.02484808581249</v>
      </c>
      <c r="Q240">
        <v>178.54795191418737</v>
      </c>
    </row>
    <row r="241" spans="1:17">
      <c r="B241" s="27">
        <f t="shared" si="20"/>
        <v>-1</v>
      </c>
      <c r="C241" s="27">
        <f t="shared" si="21"/>
        <v>-0.99999999999999856</v>
      </c>
      <c r="D241" s="27">
        <f t="shared" si="22"/>
        <v>1</v>
      </c>
      <c r="E241" s="3">
        <f t="shared" si="23"/>
        <v>0.99999999999999856</v>
      </c>
      <c r="F241" s="3">
        <f t="shared" si="24"/>
        <v>-1</v>
      </c>
      <c r="G241" s="27">
        <f t="shared" si="25"/>
        <v>89.340900000000005</v>
      </c>
      <c r="I241" t="s">
        <v>30</v>
      </c>
      <c r="J241">
        <v>8.7270124999999936</v>
      </c>
      <c r="K241">
        <v>1.6882035474738002</v>
      </c>
      <c r="L241">
        <v>5.1694077488813184</v>
      </c>
      <c r="M241">
        <v>4.194654664969396E-4</v>
      </c>
      <c r="N241">
        <v>4.9654605858125649</v>
      </c>
      <c r="O241">
        <v>12.488564414187422</v>
      </c>
      <c r="P241">
        <v>4.9654605858125649</v>
      </c>
      <c r="Q241">
        <v>12.488564414187422</v>
      </c>
    </row>
    <row r="242" spans="1:17">
      <c r="I242" t="s">
        <v>31</v>
      </c>
      <c r="J242">
        <v>36.92315</v>
      </c>
      <c r="K242">
        <v>1.6882035474738002</v>
      </c>
      <c r="L242">
        <v>21.871266681823521</v>
      </c>
      <c r="M242">
        <v>8.9366178549476845E-10</v>
      </c>
      <c r="N242">
        <v>33.161598085812571</v>
      </c>
      <c r="O242">
        <v>40.684701914187428</v>
      </c>
      <c r="P242">
        <v>33.161598085812571</v>
      </c>
      <c r="Q242">
        <v>40.684701914187428</v>
      </c>
    </row>
    <row r="243" spans="1:17">
      <c r="I243" t="s">
        <v>32</v>
      </c>
      <c r="J243">
        <v>-47.801087500000001</v>
      </c>
      <c r="K243">
        <v>1.6882035474738002</v>
      </c>
      <c r="L243">
        <v>-28.314765462688879</v>
      </c>
      <c r="M243">
        <v>7.0193152618146969E-11</v>
      </c>
      <c r="N243">
        <v>-51.56263941418743</v>
      </c>
      <c r="O243">
        <v>-44.039535585812573</v>
      </c>
      <c r="P243">
        <v>-51.56263941418743</v>
      </c>
      <c r="Q243">
        <v>-44.039535585812573</v>
      </c>
    </row>
    <row r="244" spans="1:17">
      <c r="I244" t="s">
        <v>43</v>
      </c>
      <c r="J244">
        <v>4.2636125000000016</v>
      </c>
      <c r="K244">
        <v>1.6882035474738002</v>
      </c>
      <c r="L244">
        <v>2.5255322478027016</v>
      </c>
      <c r="M244">
        <v>3.0100549590422368E-2</v>
      </c>
      <c r="N244">
        <v>0.5020605858125724</v>
      </c>
      <c r="O244">
        <v>8.0251644141874312</v>
      </c>
      <c r="P244">
        <v>0.5020605858125724</v>
      </c>
      <c r="Q244">
        <v>8.0251644141874312</v>
      </c>
    </row>
    <row r="245" spans="1:17" ht="15" thickBot="1">
      <c r="I245" s="44" t="s">
        <v>44</v>
      </c>
      <c r="J245" s="44">
        <v>6.2087999999999948</v>
      </c>
      <c r="K245" s="44">
        <v>1.6882035474738002</v>
      </c>
      <c r="L245" s="44">
        <v>3.6777555699907989</v>
      </c>
      <c r="M245" s="44">
        <v>4.2621500370621538E-3</v>
      </c>
      <c r="N245" s="44">
        <v>2.4472480858125656</v>
      </c>
      <c r="O245" s="44">
        <v>9.9703519141874235</v>
      </c>
      <c r="P245" s="44">
        <v>2.4472480858125656</v>
      </c>
      <c r="Q245" s="44">
        <v>9.9703519141874235</v>
      </c>
    </row>
    <row r="247" spans="1:17" ht="15">
      <c r="B247" s="14" t="s">
        <v>105</v>
      </c>
    </row>
    <row r="249" spans="1:17" ht="15">
      <c r="A249" s="16" t="s">
        <v>106</v>
      </c>
    </row>
    <row r="251" spans="1:17" ht="15">
      <c r="A251" s="14" t="s">
        <v>107</v>
      </c>
      <c r="B251" s="14"/>
      <c r="C251" s="14"/>
      <c r="D251" s="14"/>
      <c r="E251" s="14"/>
      <c r="F251" s="14" t="s">
        <v>108</v>
      </c>
    </row>
    <row r="252" spans="1:17" ht="29.25">
      <c r="B252" s="9" t="s">
        <v>62</v>
      </c>
      <c r="C252" s="14">
        <v>0.99028644625923001</v>
      </c>
      <c r="G252" s="9" t="s">
        <v>62</v>
      </c>
      <c r="H252" s="67">
        <v>0.98877837856981654</v>
      </c>
    </row>
    <row r="255" spans="1:17" ht="15">
      <c r="A255" s="14" t="s">
        <v>109</v>
      </c>
    </row>
    <row r="256" spans="1:17" ht="15">
      <c r="A256" s="14" t="s">
        <v>110</v>
      </c>
    </row>
    <row r="258" spans="1:2" ht="15">
      <c r="A258" s="16" t="s">
        <v>111</v>
      </c>
    </row>
    <row r="266" spans="1:2" ht="15">
      <c r="B266" s="14" t="s">
        <v>112</v>
      </c>
    </row>
  </sheetData>
  <mergeCells count="8">
    <mergeCell ref="I70:I71"/>
    <mergeCell ref="I72:I73"/>
    <mergeCell ref="I58:I59"/>
    <mergeCell ref="I60:I61"/>
    <mergeCell ref="I62:I63"/>
    <mergeCell ref="I64:I65"/>
    <mergeCell ref="I66:I67"/>
    <mergeCell ref="I68:I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3"/>
  <sheetViews>
    <sheetView topLeftCell="A61" zoomScale="70" zoomScaleNormal="70" workbookViewId="0">
      <selection activeCell="C297" sqref="C297"/>
    </sheetView>
  </sheetViews>
  <sheetFormatPr defaultRowHeight="14.25"/>
  <cols>
    <col min="2" max="2" width="11.125" customWidth="1"/>
    <col min="3" max="3" width="13.375" bestFit="1" customWidth="1"/>
    <col min="5" max="5" width="13.375" bestFit="1" customWidth="1"/>
    <col min="8" max="8" width="13.25" bestFit="1" customWidth="1"/>
    <col min="9" max="9" width="12.875" customWidth="1"/>
    <col min="10" max="10" width="12.25" customWidth="1"/>
    <col min="11" max="11" width="13.25" customWidth="1"/>
  </cols>
  <sheetData>
    <row r="1" spans="1:11" ht="15">
      <c r="A1" s="16" t="s">
        <v>113</v>
      </c>
    </row>
    <row r="3" spans="1:11">
      <c r="B3" s="27" t="str">
        <f>Hárok1!B225</f>
        <v>t1</v>
      </c>
      <c r="C3" s="27" t="str">
        <f>Hárok1!C225</f>
        <v>t2</v>
      </c>
      <c r="D3" s="27" t="str">
        <f>Hárok1!D225</f>
        <v>t3</v>
      </c>
      <c r="E3" s="27" t="str">
        <f>Hárok1!E225</f>
        <v>t1*t2</v>
      </c>
      <c r="F3" s="27" t="str">
        <f>Hárok1!F225</f>
        <v>t1*t3</v>
      </c>
      <c r="G3" s="27" t="str">
        <f>Hárok1!G225</f>
        <v>Y</v>
      </c>
      <c r="I3" t="s">
        <v>115</v>
      </c>
    </row>
    <row r="4" spans="1:11">
      <c r="B4" s="27">
        <f>Hárok1!B226</f>
        <v>1</v>
      </c>
      <c r="C4" s="27">
        <f>Hárok1!C226</f>
        <v>-0.99999999999999856</v>
      </c>
      <c r="D4" s="27">
        <f>Hárok1!D226</f>
        <v>-1</v>
      </c>
      <c r="E4" s="27">
        <f>Hárok1!E226</f>
        <v>-0.99999999999999856</v>
      </c>
      <c r="F4" s="27">
        <f>Hárok1!F226</f>
        <v>-1</v>
      </c>
      <c r="G4" s="27">
        <f>Hárok1!G226</f>
        <v>177.66919999999999</v>
      </c>
    </row>
    <row r="5" spans="1:11">
      <c r="B5" s="27">
        <f>Hárok1!B227</f>
        <v>1</v>
      </c>
      <c r="C5" s="27">
        <f>Hárok1!C227</f>
        <v>-0.99999999999999856</v>
      </c>
      <c r="D5" s="27">
        <f>Hárok1!D227</f>
        <v>-1</v>
      </c>
      <c r="E5" s="27">
        <f>Hárok1!E227</f>
        <v>-0.99999999999999856</v>
      </c>
      <c r="F5" s="27">
        <f>Hárok1!F227</f>
        <v>-1</v>
      </c>
      <c r="G5" s="27">
        <f>Hárok1!G227</f>
        <v>182.143</v>
      </c>
      <c r="I5" t="s">
        <v>114</v>
      </c>
    </row>
    <row r="6" spans="1:11">
      <c r="B6" s="27">
        <f>Hárok1!B228</f>
        <v>-1</v>
      </c>
      <c r="C6" s="27">
        <f>Hárok1!C228</f>
        <v>1.0000000000000013</v>
      </c>
      <c r="D6" s="27">
        <f>Hárok1!D228</f>
        <v>1</v>
      </c>
      <c r="E6" s="27">
        <f>Hárok1!E228</f>
        <v>-1.0000000000000013</v>
      </c>
      <c r="F6" s="27">
        <f>Hárok1!F228</f>
        <v>-1</v>
      </c>
      <c r="G6" s="27">
        <f>Hárok1!G228</f>
        <v>141.2878</v>
      </c>
    </row>
    <row r="7" spans="1:11" ht="15">
      <c r="B7" s="27">
        <f>Hárok1!B229</f>
        <v>-1</v>
      </c>
      <c r="C7" s="27">
        <f>Hárok1!C229</f>
        <v>1.0000000000000013</v>
      </c>
      <c r="D7" s="27">
        <f>Hárok1!D229</f>
        <v>1</v>
      </c>
      <c r="E7" s="27">
        <f>Hárok1!E229</f>
        <v>-1.0000000000000013</v>
      </c>
      <c r="F7" s="27">
        <f>Hárok1!F229</f>
        <v>-1</v>
      </c>
      <c r="G7" s="27">
        <f>Hárok1!G229</f>
        <v>145.7424</v>
      </c>
      <c r="I7" s="62" t="s">
        <v>118</v>
      </c>
      <c r="J7" s="13">
        <f>E32/E33</f>
        <v>265.34104502320127</v>
      </c>
    </row>
    <row r="8" spans="1:11" ht="15">
      <c r="B8" s="27">
        <f>Hárok1!B230</f>
        <v>1</v>
      </c>
      <c r="C8" s="27">
        <f>Hárok1!C230</f>
        <v>1.0000000000000013</v>
      </c>
      <c r="D8" s="27">
        <f>Hárok1!D230</f>
        <v>-1</v>
      </c>
      <c r="E8" s="27">
        <f>Hárok1!E230</f>
        <v>1.0000000000000013</v>
      </c>
      <c r="F8" s="27">
        <f>Hárok1!F230</f>
        <v>-1</v>
      </c>
      <c r="G8" s="27">
        <f>Hárok1!G230</f>
        <v>268.84870000000001</v>
      </c>
      <c r="I8" s="62" t="s">
        <v>116</v>
      </c>
      <c r="J8" s="14">
        <f>_xlfn.F.INV(0.97,5,10)</f>
        <v>3.9852669194255519</v>
      </c>
    </row>
    <row r="9" spans="1:11">
      <c r="B9" s="27">
        <f>Hárok1!B231</f>
        <v>1</v>
      </c>
      <c r="C9" s="27">
        <f>Hárok1!C231</f>
        <v>1.0000000000000013</v>
      </c>
      <c r="D9" s="27">
        <f>Hárok1!D231</f>
        <v>-1</v>
      </c>
      <c r="E9" s="27">
        <f>Hárok1!E231</f>
        <v>1.0000000000000013</v>
      </c>
      <c r="F9" s="27">
        <f>Hárok1!F231</f>
        <v>-1</v>
      </c>
      <c r="G9" s="27">
        <f>Hárok1!G231</f>
        <v>271.76190000000003</v>
      </c>
    </row>
    <row r="10" spans="1:11" ht="15">
      <c r="B10" s="27">
        <f>Hárok1!B232</f>
        <v>-1</v>
      </c>
      <c r="C10" s="27">
        <f>Hárok1!C232</f>
        <v>-0.99999999999999856</v>
      </c>
      <c r="D10" s="27">
        <f>Hárok1!D232</f>
        <v>-1</v>
      </c>
      <c r="E10" s="27">
        <f>Hárok1!E232</f>
        <v>0.99999999999999856</v>
      </c>
      <c r="F10" s="27">
        <f>Hárok1!F232</f>
        <v>1</v>
      </c>
      <c r="G10" s="27">
        <f>Hárok1!G232</f>
        <v>189.28829999999999</v>
      </c>
      <c r="I10" s="68" t="s">
        <v>124</v>
      </c>
      <c r="J10" s="63">
        <f>J8</f>
        <v>3.9852669194255519</v>
      </c>
      <c r="K10" s="14" t="s">
        <v>117</v>
      </c>
    </row>
    <row r="11" spans="1:11">
      <c r="B11" s="27">
        <f>Hárok1!B233</f>
        <v>-1</v>
      </c>
      <c r="C11" s="27">
        <f>Hárok1!C233</f>
        <v>-0.99999999999999856</v>
      </c>
      <c r="D11" s="27">
        <f>Hárok1!D233</f>
        <v>-1</v>
      </c>
      <c r="E11" s="27">
        <f>Hárok1!E233</f>
        <v>0.99999999999999856</v>
      </c>
      <c r="F11" s="27">
        <f>Hárok1!F233</f>
        <v>1</v>
      </c>
      <c r="G11" s="27">
        <f>Hárok1!G233</f>
        <v>183.14330000000001</v>
      </c>
    </row>
    <row r="12" spans="1:11" ht="15">
      <c r="B12" s="27">
        <f>Hárok1!B234</f>
        <v>1</v>
      </c>
      <c r="C12" s="27">
        <f>Hárok1!C234</f>
        <v>-0.99999999999999856</v>
      </c>
      <c r="D12" s="27">
        <f>Hárok1!D234</f>
        <v>1</v>
      </c>
      <c r="E12" s="27">
        <f>Hárok1!E234</f>
        <v>-0.99999999999999856</v>
      </c>
      <c r="F12" s="27">
        <f>Hárok1!F234</f>
        <v>1</v>
      </c>
      <c r="G12" s="27">
        <f>Hárok1!G234</f>
        <v>100.1876</v>
      </c>
      <c r="J12" s="62" t="s">
        <v>122</v>
      </c>
    </row>
    <row r="13" spans="1:11">
      <c r="B13" s="27">
        <f>Hárok1!B235</f>
        <v>1</v>
      </c>
      <c r="C13" s="27">
        <f>Hárok1!C235</f>
        <v>-0.99999999999999856</v>
      </c>
      <c r="D13" s="27">
        <f>Hárok1!D235</f>
        <v>1</v>
      </c>
      <c r="E13" s="27">
        <f>Hárok1!E235</f>
        <v>-0.99999999999999856</v>
      </c>
      <c r="F13" s="27">
        <f>Hárok1!F235</f>
        <v>1</v>
      </c>
      <c r="G13" s="27">
        <f>Hárok1!G235</f>
        <v>109.3068</v>
      </c>
    </row>
    <row r="14" spans="1:11" ht="15">
      <c r="B14" s="27">
        <f>Hárok1!B236</f>
        <v>-1</v>
      </c>
      <c r="C14" s="27">
        <f>Hárok1!C236</f>
        <v>1.0000000000000013</v>
      </c>
      <c r="D14" s="27">
        <f>Hárok1!D236</f>
        <v>-1</v>
      </c>
      <c r="E14" s="27">
        <f>Hárok1!E236</f>
        <v>-1.0000000000000013</v>
      </c>
      <c r="F14" s="27">
        <f>Hárok1!F236</f>
        <v>1</v>
      </c>
      <c r="G14" s="27">
        <f>Hárok1!G236</f>
        <v>259.6343</v>
      </c>
      <c r="I14" s="68" t="s">
        <v>123</v>
      </c>
      <c r="J14" s="14">
        <f>1-_xlfn.F.DIST(J7,5,10,1)</f>
        <v>2.7230984134263281E-10</v>
      </c>
      <c r="K14" t="s">
        <v>126</v>
      </c>
    </row>
    <row r="15" spans="1:11">
      <c r="B15" s="27">
        <f>Hárok1!B237</f>
        <v>-1</v>
      </c>
      <c r="C15" s="27">
        <f>Hárok1!C237</f>
        <v>1.0000000000000013</v>
      </c>
      <c r="D15" s="27">
        <f>Hárok1!D237</f>
        <v>-1</v>
      </c>
      <c r="E15" s="27">
        <f>Hárok1!E237</f>
        <v>-1.0000000000000013</v>
      </c>
      <c r="F15" s="27">
        <f>Hárok1!F237</f>
        <v>1</v>
      </c>
      <c r="G15" s="27">
        <f>Hárok1!G237</f>
        <v>248.21119999999999</v>
      </c>
    </row>
    <row r="16" spans="1:11" ht="15">
      <c r="B16" s="27">
        <f>Hárok1!B238</f>
        <v>1</v>
      </c>
      <c r="C16" s="27">
        <f>Hárok1!C238</f>
        <v>1.0000000000000013</v>
      </c>
      <c r="D16" s="27">
        <f>Hárok1!D238</f>
        <v>1</v>
      </c>
      <c r="E16" s="27">
        <f>Hárok1!E238</f>
        <v>1.0000000000000013</v>
      </c>
      <c r="F16" s="27">
        <f>Hárok1!F238</f>
        <v>1</v>
      </c>
      <c r="G16" s="27">
        <f>Hárok1!G238</f>
        <v>181.59819999999999</v>
      </c>
      <c r="J16" s="14" t="s">
        <v>120</v>
      </c>
    </row>
    <row r="17" spans="2:10" ht="15">
      <c r="B17" s="27">
        <f>Hárok1!B239</f>
        <v>1</v>
      </c>
      <c r="C17" s="27">
        <f>Hárok1!C239</f>
        <v>1.0000000000000013</v>
      </c>
      <c r="D17" s="27">
        <f>Hárok1!D239</f>
        <v>1</v>
      </c>
      <c r="E17" s="27">
        <f>Hárok1!E239</f>
        <v>1.0000000000000013</v>
      </c>
      <c r="F17" s="27">
        <f>Hárok1!F239</f>
        <v>1</v>
      </c>
      <c r="G17" s="27">
        <f>Hárok1!G239</f>
        <v>176.59190000000001</v>
      </c>
      <c r="J17" s="14" t="s">
        <v>281</v>
      </c>
    </row>
    <row r="18" spans="2:10">
      <c r="B18" s="27">
        <f>Hárok1!B240</f>
        <v>-1</v>
      </c>
      <c r="C18" s="27">
        <f>Hárok1!C240</f>
        <v>-0.99999999999999856</v>
      </c>
      <c r="D18" s="27">
        <f>Hárok1!D240</f>
        <v>1</v>
      </c>
      <c r="E18" s="27">
        <f>Hárok1!E240</f>
        <v>0.99999999999999856</v>
      </c>
      <c r="F18" s="27">
        <f>Hárok1!F240</f>
        <v>-1</v>
      </c>
      <c r="G18" s="27">
        <f>Hárok1!G240</f>
        <v>71.826899999999995</v>
      </c>
    </row>
    <row r="19" spans="2:10">
      <c r="B19" s="27">
        <f>Hárok1!B241</f>
        <v>-1</v>
      </c>
      <c r="C19" s="27">
        <f>Hárok1!C241</f>
        <v>-0.99999999999999856</v>
      </c>
      <c r="D19" s="27">
        <f>Hárok1!D241</f>
        <v>1</v>
      </c>
      <c r="E19" s="27">
        <f>Hárok1!E241</f>
        <v>0.99999999999999856</v>
      </c>
      <c r="F19" s="27">
        <f>Hárok1!F241</f>
        <v>-1</v>
      </c>
      <c r="G19" s="27">
        <f>Hárok1!G241</f>
        <v>89.340900000000005</v>
      </c>
    </row>
    <row r="21" spans="2:10">
      <c r="B21" t="s">
        <v>58</v>
      </c>
    </row>
    <row r="22" spans="2:10" ht="16.5" thickBot="1">
      <c r="F22" s="70" t="s">
        <v>143</v>
      </c>
    </row>
    <row r="23" spans="2:10">
      <c r="B23" s="46" t="s">
        <v>59</v>
      </c>
      <c r="C23" s="46"/>
    </row>
    <row r="24" spans="2:10">
      <c r="B24" t="s">
        <v>60</v>
      </c>
      <c r="C24">
        <v>0.99625243741059144</v>
      </c>
    </row>
    <row r="25" spans="2:10">
      <c r="B25" t="s">
        <v>61</v>
      </c>
      <c r="C25">
        <v>0.99251891904654432</v>
      </c>
    </row>
    <row r="26" spans="2:10">
      <c r="B26" t="s">
        <v>62</v>
      </c>
      <c r="C26">
        <v>0.98877837856981654</v>
      </c>
    </row>
    <row r="27" spans="2:10">
      <c r="B27" t="s">
        <v>63</v>
      </c>
      <c r="C27">
        <v>6.7528141898952008</v>
      </c>
    </row>
    <row r="28" spans="2:10" ht="15" thickBot="1">
      <c r="B28" s="44" t="s">
        <v>64</v>
      </c>
      <c r="C28" s="44">
        <v>16</v>
      </c>
    </row>
    <row r="30" spans="2:10" ht="15" thickBot="1">
      <c r="B30" t="s">
        <v>65</v>
      </c>
    </row>
    <row r="31" spans="2:10">
      <c r="B31" s="45"/>
      <c r="C31" s="45" t="s">
        <v>70</v>
      </c>
      <c r="D31" s="45" t="s">
        <v>71</v>
      </c>
      <c r="E31" s="45" t="s">
        <v>72</v>
      </c>
      <c r="F31" s="45" t="s">
        <v>73</v>
      </c>
      <c r="G31" s="45" t="s">
        <v>74</v>
      </c>
    </row>
    <row r="32" spans="2:10">
      <c r="B32" t="s">
        <v>66</v>
      </c>
      <c r="C32">
        <v>5</v>
      </c>
      <c r="D32">
        <v>60498.420932327492</v>
      </c>
      <c r="E32">
        <v>12099.684186465498</v>
      </c>
      <c r="F32">
        <v>265.34104502320127</v>
      </c>
      <c r="G32">
        <v>2.723098613716886E-10</v>
      </c>
    </row>
    <row r="33" spans="1:11">
      <c r="B33" t="s">
        <v>67</v>
      </c>
      <c r="C33">
        <v>10</v>
      </c>
      <c r="D33">
        <v>456.00499483249973</v>
      </c>
      <c r="E33">
        <v>45.600499483249976</v>
      </c>
    </row>
    <row r="34" spans="1:11" ht="15" thickBot="1">
      <c r="B34" s="44" t="s">
        <v>68</v>
      </c>
      <c r="C34" s="44">
        <v>15</v>
      </c>
      <c r="D34" s="44">
        <v>60954.425927159995</v>
      </c>
      <c r="E34" s="44"/>
      <c r="F34" s="44"/>
      <c r="G34" s="44"/>
    </row>
    <row r="35" spans="1:11" ht="15" thickBot="1"/>
    <row r="36" spans="1:11">
      <c r="B36" s="45"/>
      <c r="C36" s="45" t="s">
        <v>75</v>
      </c>
      <c r="D36" s="45" t="s">
        <v>63</v>
      </c>
      <c r="E36" s="45" t="s">
        <v>76</v>
      </c>
      <c r="F36" s="45" t="s">
        <v>77</v>
      </c>
      <c r="G36" s="45" t="s">
        <v>78</v>
      </c>
      <c r="H36" s="45" t="s">
        <v>79</v>
      </c>
      <c r="I36" s="45" t="s">
        <v>80</v>
      </c>
      <c r="J36" s="45" t="s">
        <v>81</v>
      </c>
    </row>
    <row r="37" spans="1:11">
      <c r="B37" t="s">
        <v>69</v>
      </c>
      <c r="C37">
        <v>174.78639999999993</v>
      </c>
      <c r="D37">
        <v>1.6882035474738002</v>
      </c>
      <c r="E37">
        <v>103.53396085534082</v>
      </c>
      <c r="F37">
        <v>1.7314749007380235E-16</v>
      </c>
      <c r="G37">
        <v>171.02484808581249</v>
      </c>
      <c r="H37">
        <v>178.54795191418737</v>
      </c>
      <c r="I37">
        <v>171.02484808581249</v>
      </c>
      <c r="J37">
        <v>178.54795191418737</v>
      </c>
    </row>
    <row r="38" spans="1:11">
      <c r="B38" t="s">
        <v>30</v>
      </c>
      <c r="C38">
        <v>8.7270124999999936</v>
      </c>
      <c r="D38">
        <v>1.6882035474738002</v>
      </c>
      <c r="E38">
        <v>5.1694077488813184</v>
      </c>
      <c r="F38">
        <v>4.194654664969396E-4</v>
      </c>
      <c r="G38">
        <v>4.9654605858125649</v>
      </c>
      <c r="H38">
        <v>12.488564414187422</v>
      </c>
      <c r="I38">
        <v>4.9654605858125649</v>
      </c>
      <c r="J38">
        <v>12.488564414187422</v>
      </c>
    </row>
    <row r="39" spans="1:11">
      <c r="B39" t="s">
        <v>31</v>
      </c>
      <c r="C39">
        <v>36.92315</v>
      </c>
      <c r="D39">
        <v>1.6882035474738002</v>
      </c>
      <c r="E39">
        <v>21.871266681823521</v>
      </c>
      <c r="F39">
        <v>8.9366178549476845E-10</v>
      </c>
      <c r="G39">
        <v>33.161598085812571</v>
      </c>
      <c r="H39">
        <v>40.684701914187428</v>
      </c>
      <c r="I39">
        <v>33.161598085812571</v>
      </c>
      <c r="J39">
        <v>40.684701914187428</v>
      </c>
    </row>
    <row r="40" spans="1:11">
      <c r="B40" t="s">
        <v>32</v>
      </c>
      <c r="C40">
        <v>-47.801087500000001</v>
      </c>
      <c r="D40">
        <v>1.6882035474738002</v>
      </c>
      <c r="E40">
        <v>-28.314765462688879</v>
      </c>
      <c r="F40">
        <v>7.0193152618146969E-11</v>
      </c>
      <c r="G40">
        <v>-51.56263941418743</v>
      </c>
      <c r="H40">
        <v>-44.039535585812573</v>
      </c>
      <c r="I40">
        <v>-51.56263941418743</v>
      </c>
      <c r="J40">
        <v>-44.039535585812573</v>
      </c>
    </row>
    <row r="41" spans="1:11">
      <c r="B41" t="s">
        <v>43</v>
      </c>
      <c r="C41">
        <v>4.2636125000000016</v>
      </c>
      <c r="D41">
        <v>1.6882035474738002</v>
      </c>
      <c r="E41">
        <v>2.5255322478027016</v>
      </c>
      <c r="F41">
        <v>3.0100549590422368E-2</v>
      </c>
      <c r="G41">
        <v>0.5020605858125724</v>
      </c>
      <c r="H41">
        <v>8.0251644141874312</v>
      </c>
      <c r="I41">
        <v>0.5020605858125724</v>
      </c>
      <c r="J41">
        <v>8.0251644141874312</v>
      </c>
    </row>
    <row r="42" spans="1:11" ht="15" thickBot="1">
      <c r="B42" s="44" t="s">
        <v>44</v>
      </c>
      <c r="C42" s="44">
        <v>6.2087999999999948</v>
      </c>
      <c r="D42" s="44">
        <v>1.6882035474738002</v>
      </c>
      <c r="E42" s="44">
        <v>3.6777555699907989</v>
      </c>
      <c r="F42" s="44">
        <v>4.2621500370621538E-3</v>
      </c>
      <c r="G42" s="44">
        <v>2.4472480858125656</v>
      </c>
      <c r="H42" s="44">
        <v>9.9703519141874235</v>
      </c>
      <c r="I42" s="44">
        <v>2.4472480858125656</v>
      </c>
      <c r="J42" s="44">
        <v>9.9703519141874235</v>
      </c>
    </row>
    <row r="45" spans="1:11" ht="15">
      <c r="A45" s="16" t="s">
        <v>127</v>
      </c>
    </row>
    <row r="47" spans="1:11">
      <c r="B47" s="71" t="str">
        <f t="shared" ref="B47:G56" si="0">B3</f>
        <v>t1</v>
      </c>
      <c r="C47" s="71" t="str">
        <f t="shared" si="0"/>
        <v>t2</v>
      </c>
      <c r="D47" s="71" t="str">
        <f t="shared" si="0"/>
        <v>t3</v>
      </c>
      <c r="E47" s="71" t="str">
        <f t="shared" si="0"/>
        <v>t1*t2</v>
      </c>
      <c r="F47" s="71" t="str">
        <f t="shared" si="0"/>
        <v>t1*t3</v>
      </c>
      <c r="G47" s="71" t="str">
        <f t="shared" si="0"/>
        <v>Y</v>
      </c>
      <c r="H47" s="72" t="s">
        <v>129</v>
      </c>
      <c r="I47" s="71" t="s">
        <v>130</v>
      </c>
      <c r="K47" s="69" t="s">
        <v>128</v>
      </c>
    </row>
    <row r="48" spans="1:11">
      <c r="B48" s="27">
        <f t="shared" si="0"/>
        <v>1</v>
      </c>
      <c r="C48" s="27">
        <f t="shared" si="0"/>
        <v>-0.99999999999999856</v>
      </c>
      <c r="D48" s="27">
        <f t="shared" si="0"/>
        <v>-1</v>
      </c>
      <c r="E48" s="27">
        <f t="shared" si="0"/>
        <v>-0.99999999999999856</v>
      </c>
      <c r="F48" s="27">
        <f t="shared" si="0"/>
        <v>-1</v>
      </c>
      <c r="G48" s="27">
        <f t="shared" si="0"/>
        <v>177.66919999999999</v>
      </c>
      <c r="H48" s="102">
        <f>DEVSQ(G48,G49)</f>
        <v>10.007443220000052</v>
      </c>
      <c r="I48" s="98">
        <v>1</v>
      </c>
    </row>
    <row r="49" spans="2:13">
      <c r="B49" s="27">
        <f t="shared" si="0"/>
        <v>1</v>
      </c>
      <c r="C49" s="27">
        <f t="shared" si="0"/>
        <v>-0.99999999999999856</v>
      </c>
      <c r="D49" s="27">
        <f t="shared" si="0"/>
        <v>-1</v>
      </c>
      <c r="E49" s="27">
        <f t="shared" si="0"/>
        <v>-0.99999999999999856</v>
      </c>
      <c r="F49" s="27">
        <f t="shared" si="0"/>
        <v>-1</v>
      </c>
      <c r="G49" s="27">
        <f t="shared" si="0"/>
        <v>182.143</v>
      </c>
      <c r="H49" s="102"/>
      <c r="I49" s="99"/>
      <c r="K49" t="s">
        <v>114</v>
      </c>
    </row>
    <row r="50" spans="2:13">
      <c r="B50" s="27">
        <f t="shared" si="0"/>
        <v>-1</v>
      </c>
      <c r="C50" s="27">
        <f t="shared" si="0"/>
        <v>1.0000000000000013</v>
      </c>
      <c r="D50" s="27">
        <f t="shared" si="0"/>
        <v>1</v>
      </c>
      <c r="E50" s="27">
        <f t="shared" si="0"/>
        <v>-1.0000000000000013</v>
      </c>
      <c r="F50" s="27">
        <f t="shared" si="0"/>
        <v>-1</v>
      </c>
      <c r="G50" s="27">
        <f t="shared" si="0"/>
        <v>141.2878</v>
      </c>
      <c r="H50" s="102">
        <f>DEVSQ(G50,G51)</f>
        <v>9.9217305799999966</v>
      </c>
      <c r="I50" s="98">
        <v>1</v>
      </c>
    </row>
    <row r="51" spans="2:13">
      <c r="B51" s="27">
        <f t="shared" si="0"/>
        <v>-1</v>
      </c>
      <c r="C51" s="27">
        <f t="shared" si="0"/>
        <v>1.0000000000000013</v>
      </c>
      <c r="D51" s="27">
        <f t="shared" si="0"/>
        <v>1</v>
      </c>
      <c r="E51" s="27">
        <f t="shared" si="0"/>
        <v>-1.0000000000000013</v>
      </c>
      <c r="F51" s="27">
        <f t="shared" si="0"/>
        <v>-1</v>
      </c>
      <c r="G51" s="27">
        <f t="shared" si="0"/>
        <v>145.7424</v>
      </c>
      <c r="H51" s="102"/>
      <c r="I51" s="99"/>
      <c r="K51" s="11" t="s">
        <v>118</v>
      </c>
      <c r="L51">
        <f>(D83/C83)/(D84/C84)</f>
        <v>1.9697591823496738</v>
      </c>
    </row>
    <row r="52" spans="2:13" ht="15">
      <c r="B52" s="27">
        <f t="shared" si="0"/>
        <v>1</v>
      </c>
      <c r="C52" s="27">
        <f t="shared" si="0"/>
        <v>1.0000000000000013</v>
      </c>
      <c r="D52" s="27">
        <f t="shared" si="0"/>
        <v>-1</v>
      </c>
      <c r="E52" s="27">
        <f t="shared" si="0"/>
        <v>1.0000000000000013</v>
      </c>
      <c r="F52" s="27">
        <f t="shared" si="0"/>
        <v>-1</v>
      </c>
      <c r="G52" s="27">
        <f t="shared" si="0"/>
        <v>268.84870000000001</v>
      </c>
      <c r="H52" s="100">
        <f>DEVSQ(G52,G53)</f>
        <v>4.2433671200000518</v>
      </c>
      <c r="I52" s="98">
        <v>1</v>
      </c>
      <c r="K52" s="62" t="s">
        <v>136</v>
      </c>
      <c r="L52">
        <f>_xlfn.F.INV(0.97,C83,C84)</f>
        <v>4.3435885547466615</v>
      </c>
    </row>
    <row r="53" spans="2:13">
      <c r="B53" s="27">
        <f t="shared" si="0"/>
        <v>1</v>
      </c>
      <c r="C53" s="27">
        <f t="shared" si="0"/>
        <v>1.0000000000000013</v>
      </c>
      <c r="D53" s="27">
        <f t="shared" si="0"/>
        <v>-1</v>
      </c>
      <c r="E53" s="27">
        <f t="shared" si="0"/>
        <v>1.0000000000000013</v>
      </c>
      <c r="F53" s="27">
        <f t="shared" si="0"/>
        <v>-1</v>
      </c>
      <c r="G53" s="27">
        <f t="shared" si="0"/>
        <v>271.76190000000003</v>
      </c>
      <c r="H53" s="100"/>
      <c r="I53" s="99"/>
    </row>
    <row r="54" spans="2:13" ht="15">
      <c r="B54" s="27">
        <f t="shared" si="0"/>
        <v>-1</v>
      </c>
      <c r="C54" s="27">
        <f t="shared" si="0"/>
        <v>-0.99999999999999856</v>
      </c>
      <c r="D54" s="27">
        <f t="shared" si="0"/>
        <v>-1</v>
      </c>
      <c r="E54" s="27">
        <f t="shared" si="0"/>
        <v>0.99999999999999856</v>
      </c>
      <c r="F54" s="27">
        <f t="shared" si="0"/>
        <v>1</v>
      </c>
      <c r="G54" s="27">
        <f t="shared" si="0"/>
        <v>189.28829999999999</v>
      </c>
      <c r="H54" s="100">
        <f>DEVSQ(G54,G55)</f>
        <v>18.880512499999888</v>
      </c>
      <c r="I54" s="98">
        <v>1</v>
      </c>
      <c r="K54" s="68" t="s">
        <v>137</v>
      </c>
      <c r="L54" s="63">
        <f>L52</f>
        <v>4.3435885547466615</v>
      </c>
      <c r="M54" s="14" t="s">
        <v>117</v>
      </c>
    </row>
    <row r="55" spans="2:13">
      <c r="B55" s="27">
        <f t="shared" si="0"/>
        <v>-1</v>
      </c>
      <c r="C55" s="27">
        <f t="shared" si="0"/>
        <v>-0.99999999999999856</v>
      </c>
      <c r="D55" s="27">
        <f t="shared" si="0"/>
        <v>-1</v>
      </c>
      <c r="E55" s="27">
        <f t="shared" si="0"/>
        <v>0.99999999999999856</v>
      </c>
      <c r="F55" s="27">
        <f t="shared" si="0"/>
        <v>1</v>
      </c>
      <c r="G55" s="27">
        <f t="shared" si="0"/>
        <v>183.14330000000001</v>
      </c>
      <c r="H55" s="100"/>
      <c r="I55" s="99"/>
    </row>
    <row r="56" spans="2:13" ht="15">
      <c r="B56" s="27">
        <f t="shared" si="0"/>
        <v>1</v>
      </c>
      <c r="C56" s="27">
        <f t="shared" si="0"/>
        <v>-0.99999999999999856</v>
      </c>
      <c r="D56" s="27">
        <f t="shared" si="0"/>
        <v>1</v>
      </c>
      <c r="E56" s="27">
        <f t="shared" si="0"/>
        <v>-0.99999999999999856</v>
      </c>
      <c r="F56" s="27">
        <f t="shared" si="0"/>
        <v>1</v>
      </c>
      <c r="G56" s="27">
        <f t="shared" si="0"/>
        <v>100.1876</v>
      </c>
      <c r="H56" s="100">
        <f>DEVSQ(G56,G57)</f>
        <v>41.579904319999926</v>
      </c>
      <c r="I56" s="98">
        <v>1</v>
      </c>
      <c r="K56" s="14" t="s">
        <v>138</v>
      </c>
    </row>
    <row r="57" spans="2:13">
      <c r="B57" s="27">
        <f t="shared" ref="B57:G63" si="1">B13</f>
        <v>1</v>
      </c>
      <c r="C57" s="27">
        <f t="shared" si="1"/>
        <v>-0.99999999999999856</v>
      </c>
      <c r="D57" s="27">
        <f t="shared" si="1"/>
        <v>1</v>
      </c>
      <c r="E57" s="27">
        <f t="shared" si="1"/>
        <v>-0.99999999999999856</v>
      </c>
      <c r="F57" s="27">
        <f t="shared" si="1"/>
        <v>1</v>
      </c>
      <c r="G57" s="27">
        <f t="shared" si="1"/>
        <v>109.3068</v>
      </c>
      <c r="H57" s="100"/>
      <c r="I57" s="99"/>
    </row>
    <row r="58" spans="2:13">
      <c r="B58" s="27">
        <f t="shared" si="1"/>
        <v>-1</v>
      </c>
      <c r="C58" s="27">
        <f t="shared" si="1"/>
        <v>1.0000000000000013</v>
      </c>
      <c r="D58" s="27">
        <f t="shared" si="1"/>
        <v>-1</v>
      </c>
      <c r="E58" s="27">
        <f t="shared" si="1"/>
        <v>-1.0000000000000013</v>
      </c>
      <c r="F58" s="27">
        <f t="shared" si="1"/>
        <v>1</v>
      </c>
      <c r="G58" s="27">
        <f t="shared" si="1"/>
        <v>259.6343</v>
      </c>
      <c r="H58" s="100">
        <f>DEVSQ(G58,G59)</f>
        <v>65.243606805000056</v>
      </c>
      <c r="I58" s="98">
        <v>1</v>
      </c>
    </row>
    <row r="59" spans="2:13" ht="15">
      <c r="B59" s="27">
        <f t="shared" si="1"/>
        <v>-1</v>
      </c>
      <c r="C59" s="27">
        <f t="shared" si="1"/>
        <v>1.0000000000000013</v>
      </c>
      <c r="D59" s="27">
        <f t="shared" si="1"/>
        <v>-1</v>
      </c>
      <c r="E59" s="27">
        <f t="shared" si="1"/>
        <v>-1.0000000000000013</v>
      </c>
      <c r="F59" s="27">
        <f t="shared" si="1"/>
        <v>1</v>
      </c>
      <c r="G59" s="27">
        <f t="shared" si="1"/>
        <v>248.21119999999999</v>
      </c>
      <c r="H59" s="100"/>
      <c r="I59" s="99"/>
      <c r="K59" s="68" t="str">
        <f>I14</f>
        <v>p=</v>
      </c>
      <c r="L59" s="13">
        <f>1-_xlfn.F.DIST(L51,C83,C84,1)</f>
        <v>0.17705622438075186</v>
      </c>
      <c r="M59" t="s">
        <v>141</v>
      </c>
    </row>
    <row r="60" spans="2:13">
      <c r="B60" s="27">
        <f t="shared" si="1"/>
        <v>1</v>
      </c>
      <c r="C60" s="27">
        <f t="shared" si="1"/>
        <v>1.0000000000000013</v>
      </c>
      <c r="D60" s="27">
        <f t="shared" si="1"/>
        <v>1</v>
      </c>
      <c r="E60" s="27">
        <f t="shared" si="1"/>
        <v>1.0000000000000013</v>
      </c>
      <c r="F60" s="27">
        <f t="shared" si="1"/>
        <v>1</v>
      </c>
      <c r="G60" s="27">
        <f t="shared" si="1"/>
        <v>181.59819999999999</v>
      </c>
      <c r="H60" s="100">
        <f>DEVSQ(G60,G61)</f>
        <v>12.531519844999909</v>
      </c>
      <c r="I60" s="98">
        <v>1</v>
      </c>
    </row>
    <row r="61" spans="2:13" ht="15">
      <c r="B61" s="27">
        <f t="shared" si="1"/>
        <v>1</v>
      </c>
      <c r="C61" s="27">
        <f t="shared" si="1"/>
        <v>1.0000000000000013</v>
      </c>
      <c r="D61" s="27">
        <f t="shared" si="1"/>
        <v>1</v>
      </c>
      <c r="E61" s="27">
        <f t="shared" si="1"/>
        <v>1.0000000000000013</v>
      </c>
      <c r="F61" s="27">
        <f t="shared" si="1"/>
        <v>1</v>
      </c>
      <c r="G61" s="27">
        <f t="shared" si="1"/>
        <v>176.59190000000001</v>
      </c>
      <c r="H61" s="100"/>
      <c r="I61" s="99"/>
      <c r="L61" s="14" t="s">
        <v>139</v>
      </c>
    </row>
    <row r="62" spans="2:13" ht="15">
      <c r="B62" s="27">
        <f t="shared" si="1"/>
        <v>-1</v>
      </c>
      <c r="C62" s="27">
        <f t="shared" si="1"/>
        <v>-0.99999999999999856</v>
      </c>
      <c r="D62" s="27">
        <f t="shared" si="1"/>
        <v>1</v>
      </c>
      <c r="E62" s="27">
        <f t="shared" si="1"/>
        <v>0.99999999999999856</v>
      </c>
      <c r="F62" s="27">
        <f t="shared" si="1"/>
        <v>-1</v>
      </c>
      <c r="G62" s="27">
        <f t="shared" si="1"/>
        <v>71.826899999999995</v>
      </c>
      <c r="H62" s="100">
        <f>DEVSQ(G62,G63)</f>
        <v>153.37009800000018</v>
      </c>
      <c r="I62" s="98">
        <v>1</v>
      </c>
      <c r="L62" s="14" t="s">
        <v>140</v>
      </c>
    </row>
    <row r="63" spans="2:13">
      <c r="B63" s="27">
        <f t="shared" si="1"/>
        <v>-1</v>
      </c>
      <c r="C63" s="27">
        <f t="shared" si="1"/>
        <v>-0.99999999999999856</v>
      </c>
      <c r="D63" s="27">
        <f t="shared" si="1"/>
        <v>1</v>
      </c>
      <c r="E63" s="27">
        <f t="shared" si="1"/>
        <v>0.99999999999999856</v>
      </c>
      <c r="F63" s="27">
        <f t="shared" si="1"/>
        <v>-1</v>
      </c>
      <c r="G63" s="27">
        <f t="shared" si="1"/>
        <v>89.340900000000005</v>
      </c>
      <c r="H63" s="100"/>
      <c r="I63" s="99"/>
    </row>
    <row r="64" spans="2:13"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175.0677</v>
      </c>
      <c r="H64" s="100">
        <f>DEVSQ(G64,G65,G66,G67)</f>
        <v>90.639024907499817</v>
      </c>
      <c r="I64" s="98">
        <v>3</v>
      </c>
    </row>
    <row r="65" spans="2:9"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165.96080000000001</v>
      </c>
      <c r="H65" s="100"/>
      <c r="I65" s="101"/>
    </row>
    <row r="66" spans="2:9"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174.0453</v>
      </c>
      <c r="H66" s="100"/>
      <c r="I66" s="101"/>
    </row>
    <row r="67" spans="2:9"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164.31030000000001</v>
      </c>
      <c r="H67" s="100"/>
      <c r="I67" s="99"/>
    </row>
    <row r="68" spans="2:9">
      <c r="H68" s="19">
        <f>SUM(H48:H67)</f>
        <v>406.41720729749989</v>
      </c>
      <c r="I68" s="19">
        <f>SUM(I48:I67)</f>
        <v>11</v>
      </c>
    </row>
    <row r="70" spans="2:9">
      <c r="B70" t="s">
        <v>58</v>
      </c>
    </row>
    <row r="71" spans="2:9" ht="15.75" thickBot="1">
      <c r="H71" s="14" t="s">
        <v>142</v>
      </c>
    </row>
    <row r="72" spans="2:9">
      <c r="B72" s="46" t="s">
        <v>59</v>
      </c>
      <c r="C72" s="46"/>
    </row>
    <row r="73" spans="2:9">
      <c r="B73" t="s">
        <v>60</v>
      </c>
      <c r="C73">
        <v>0.9948763126219754</v>
      </c>
    </row>
    <row r="74" spans="2:9">
      <c r="B74" t="s">
        <v>61</v>
      </c>
      <c r="C74">
        <v>0.98977887741629855</v>
      </c>
    </row>
    <row r="75" spans="2:9">
      <c r="B75" t="s">
        <v>62</v>
      </c>
      <c r="C75">
        <v>0.98612847649354818</v>
      </c>
    </row>
    <row r="76" spans="2:9">
      <c r="B76" t="s">
        <v>63</v>
      </c>
      <c r="C76">
        <v>6.680180687194869</v>
      </c>
    </row>
    <row r="77" spans="2:9" ht="15" thickBot="1">
      <c r="B77" s="44" t="s">
        <v>64</v>
      </c>
      <c r="C77" s="44">
        <v>20</v>
      </c>
    </row>
    <row r="79" spans="2:9" ht="15" thickBot="1">
      <c r="B79" t="s">
        <v>65</v>
      </c>
    </row>
    <row r="80" spans="2:9">
      <c r="B80" s="45"/>
      <c r="C80" s="45" t="s">
        <v>70</v>
      </c>
      <c r="D80" s="45" t="s">
        <v>71</v>
      </c>
      <c r="E80" s="45" t="s">
        <v>72</v>
      </c>
      <c r="F80" s="45" t="s">
        <v>73</v>
      </c>
      <c r="G80" s="48" t="s">
        <v>135</v>
      </c>
      <c r="H80" s="45" t="s">
        <v>74</v>
      </c>
    </row>
    <row r="81" spans="1:10">
      <c r="B81" t="s">
        <v>66</v>
      </c>
      <c r="C81">
        <v>5</v>
      </c>
      <c r="D81">
        <v>60498.420932327506</v>
      </c>
      <c r="E81">
        <v>12099.684186465502</v>
      </c>
      <c r="F81">
        <v>271.14251238751922</v>
      </c>
      <c r="H81">
        <v>2.047313203701461E-13</v>
      </c>
    </row>
    <row r="82" spans="1:10" ht="15">
      <c r="B82" s="16" t="s">
        <v>67</v>
      </c>
      <c r="C82" s="16">
        <v>14</v>
      </c>
      <c r="D82" s="16">
        <v>624.74739618999843</v>
      </c>
      <c r="E82" s="16">
        <v>44.624814013571317</v>
      </c>
      <c r="F82" s="16"/>
      <c r="G82" s="16"/>
      <c r="H82" s="16"/>
    </row>
    <row r="83" spans="1:10" ht="15">
      <c r="B83" s="16" t="s">
        <v>133</v>
      </c>
      <c r="C83" s="16">
        <f>C82-C84</f>
        <v>3</v>
      </c>
      <c r="D83" s="16">
        <f>D82-D84</f>
        <v>218.33018889249854</v>
      </c>
      <c r="E83" s="16">
        <f>D83/C83</f>
        <v>72.776729630832847</v>
      </c>
      <c r="F83" s="16">
        <f>E83/E84</f>
        <v>1.9697591823496738</v>
      </c>
      <c r="G83" s="16">
        <f>_xlfn.F.INV(0.97,3,11)</f>
        <v>4.3435885547466615</v>
      </c>
      <c r="H83" s="16">
        <f>1-_xlfn.F.DIST(F83,C83,C84,1)</f>
        <v>0.17705622438075186</v>
      </c>
    </row>
    <row r="84" spans="1:10" ht="15">
      <c r="B84" s="16" t="s">
        <v>134</v>
      </c>
      <c r="C84" s="16">
        <f>I68</f>
        <v>11</v>
      </c>
      <c r="D84" s="16">
        <f>H68</f>
        <v>406.41720729749989</v>
      </c>
      <c r="E84" s="16">
        <f>D84/C84</f>
        <v>36.947018845227262</v>
      </c>
      <c r="F84" s="16"/>
      <c r="G84" s="16"/>
      <c r="H84" s="16"/>
    </row>
    <row r="85" spans="1:10" ht="15" thickBot="1">
      <c r="B85" s="44" t="s">
        <v>68</v>
      </c>
      <c r="C85" s="44">
        <v>19</v>
      </c>
      <c r="D85" s="44">
        <v>61123.168328517502</v>
      </c>
      <c r="E85" s="44"/>
      <c r="F85" s="44"/>
      <c r="H85" s="44"/>
    </row>
    <row r="86" spans="1:10" ht="15" thickBot="1"/>
    <row r="87" spans="1:10">
      <c r="B87" s="45"/>
      <c r="C87" s="45" t="s">
        <v>75</v>
      </c>
      <c r="D87" s="45" t="s">
        <v>63</v>
      </c>
      <c r="E87" s="45" t="s">
        <v>76</v>
      </c>
      <c r="F87" s="45" t="s">
        <v>77</v>
      </c>
      <c r="G87" s="45" t="s">
        <v>78</v>
      </c>
      <c r="H87" s="45" t="s">
        <v>79</v>
      </c>
      <c r="I87" s="45" t="s">
        <v>131</v>
      </c>
      <c r="J87" s="45" t="s">
        <v>132</v>
      </c>
    </row>
    <row r="88" spans="1:10">
      <c r="B88" t="s">
        <v>69</v>
      </c>
      <c r="C88">
        <v>173.79832499999995</v>
      </c>
      <c r="D88">
        <v>1.4937338118548986</v>
      </c>
      <c r="E88">
        <v>116.35160402788199</v>
      </c>
      <c r="F88">
        <v>2.6318702115578112E-22</v>
      </c>
      <c r="G88">
        <v>170.59458460504084</v>
      </c>
      <c r="H88">
        <v>177.00206539495906</v>
      </c>
      <c r="I88">
        <v>170.19111061219857</v>
      </c>
      <c r="J88">
        <v>177.40553938780133</v>
      </c>
    </row>
    <row r="89" spans="1:10">
      <c r="B89" t="s">
        <v>30</v>
      </c>
      <c r="C89">
        <v>8.7270124999999883</v>
      </c>
      <c r="D89">
        <v>1.6700451717987173</v>
      </c>
      <c r="E89">
        <v>5.2256146404714219</v>
      </c>
      <c r="F89">
        <v>1.2843295188046222E-4</v>
      </c>
      <c r="G89">
        <v>5.1451218473046971</v>
      </c>
      <c r="H89">
        <v>12.308903152695279</v>
      </c>
      <c r="I89">
        <v>4.6940242097304061</v>
      </c>
      <c r="J89">
        <v>12.76000079026957</v>
      </c>
    </row>
    <row r="90" spans="1:10">
      <c r="B90" t="s">
        <v>31</v>
      </c>
      <c r="C90">
        <v>36.923150000000021</v>
      </c>
      <c r="D90">
        <v>1.6700451717987173</v>
      </c>
      <c r="E90">
        <v>22.109072630791207</v>
      </c>
      <c r="F90">
        <v>2.7513581030212705E-12</v>
      </c>
      <c r="G90">
        <v>33.341259347304728</v>
      </c>
      <c r="H90">
        <v>40.505040652695314</v>
      </c>
      <c r="I90">
        <v>32.890161709730435</v>
      </c>
      <c r="J90">
        <v>40.956138290269607</v>
      </c>
    </row>
    <row r="91" spans="1:10">
      <c r="B91" t="s">
        <v>32</v>
      </c>
      <c r="C91">
        <v>-47.801087500000001</v>
      </c>
      <c r="D91">
        <v>1.6700451717987173</v>
      </c>
      <c r="E91">
        <v>-28.622631475600137</v>
      </c>
      <c r="F91">
        <v>7.9761738176595736E-14</v>
      </c>
      <c r="G91">
        <v>-51.382978152695294</v>
      </c>
      <c r="H91">
        <v>-44.219196847304708</v>
      </c>
      <c r="I91">
        <v>-51.83407579026958</v>
      </c>
      <c r="J91">
        <v>-43.768099209730423</v>
      </c>
    </row>
    <row r="92" spans="1:10">
      <c r="B92" t="s">
        <v>43</v>
      </c>
      <c r="C92">
        <v>4.2636125000000051</v>
      </c>
      <c r="D92">
        <v>1.6700451717987177</v>
      </c>
      <c r="E92">
        <v>2.5529923214040329</v>
      </c>
      <c r="F92">
        <v>2.2983610233883484E-2</v>
      </c>
      <c r="G92">
        <v>0.68172184730471264</v>
      </c>
      <c r="H92">
        <v>7.8455031526952972</v>
      </c>
      <c r="I92">
        <v>0.23062420973042208</v>
      </c>
      <c r="J92">
        <v>8.2966007902695882</v>
      </c>
    </row>
    <row r="93" spans="1:10" ht="15" thickBot="1">
      <c r="B93" s="44" t="s">
        <v>44</v>
      </c>
      <c r="C93" s="44">
        <v>6.208800000000001</v>
      </c>
      <c r="D93" s="44">
        <v>1.6700451717987177</v>
      </c>
      <c r="E93" s="44">
        <v>3.7177437501961874</v>
      </c>
      <c r="F93" s="44">
        <v>2.2952713204261745E-3</v>
      </c>
      <c r="G93" s="44">
        <v>2.6269093473047085</v>
      </c>
      <c r="H93" s="44">
        <v>9.790690652695293</v>
      </c>
      <c r="I93" s="44">
        <v>2.1758117097304179</v>
      </c>
      <c r="J93" s="44">
        <v>10.241788290269584</v>
      </c>
    </row>
    <row r="96" spans="1:10" ht="15">
      <c r="A96" s="16" t="s">
        <v>144</v>
      </c>
    </row>
    <row r="98" spans="1:15">
      <c r="B98" s="11" t="s">
        <v>145</v>
      </c>
      <c r="C98" s="73">
        <v>175.0677</v>
      </c>
      <c r="G98" s="11" t="s">
        <v>146</v>
      </c>
      <c r="H98" s="10">
        <v>177.66919999999999</v>
      </c>
    </row>
    <row r="99" spans="1:15">
      <c r="C99" s="73">
        <v>165.96080000000001</v>
      </c>
      <c r="H99" s="10">
        <v>182.143</v>
      </c>
    </row>
    <row r="100" spans="1:15">
      <c r="C100" s="73">
        <v>174.0453</v>
      </c>
      <c r="H100" s="10">
        <v>141.2878</v>
      </c>
    </row>
    <row r="101" spans="1:15">
      <c r="A101" s="31"/>
      <c r="B101" s="31"/>
      <c r="C101" s="74">
        <v>164.31030000000001</v>
      </c>
      <c r="D101" s="31"/>
      <c r="H101" s="10">
        <v>145.7424</v>
      </c>
      <c r="J101" t="s">
        <v>114</v>
      </c>
    </row>
    <row r="102" spans="1:15">
      <c r="B102" s="11" t="s">
        <v>147</v>
      </c>
      <c r="C102" s="10">
        <f>AVERAGE(C98:C101)</f>
        <v>169.846025</v>
      </c>
      <c r="H102" s="10">
        <v>268.84870000000001</v>
      </c>
    </row>
    <row r="103" spans="1:15">
      <c r="B103" s="11" t="s">
        <v>148</v>
      </c>
      <c r="C103" s="10">
        <f>COUNT(C98:C101)</f>
        <v>4</v>
      </c>
      <c r="H103" s="10">
        <v>271.76190000000003</v>
      </c>
      <c r="N103" s="11" t="s">
        <v>150</v>
      </c>
      <c r="O103" s="10">
        <f>((H115*C103*(H114-C102)^2))/(H115+C103)</f>
        <v>78.103376449999644</v>
      </c>
    </row>
    <row r="104" spans="1:15">
      <c r="H104" s="10">
        <v>189.28829999999999</v>
      </c>
    </row>
    <row r="105" spans="1:15">
      <c r="H105" s="10">
        <v>183.14330000000001</v>
      </c>
    </row>
    <row r="106" spans="1:15">
      <c r="H106" s="10">
        <v>100.1876</v>
      </c>
    </row>
    <row r="107" spans="1:15">
      <c r="H107" s="10">
        <v>109.3068</v>
      </c>
      <c r="J107" t="s">
        <v>118</v>
      </c>
      <c r="K107">
        <f>(O103/1)/(D84/C84)</f>
        <v>2.1139290500589025</v>
      </c>
    </row>
    <row r="108" spans="1:15" ht="15">
      <c r="H108" s="10">
        <v>259.6343</v>
      </c>
      <c r="J108" s="62" t="s">
        <v>151</v>
      </c>
      <c r="K108">
        <f>_xlfn.F.INV(0.97,1,11)</f>
        <v>6.2034068286809489</v>
      </c>
    </row>
    <row r="109" spans="1:15">
      <c r="H109" s="10">
        <v>248.21119999999999</v>
      </c>
    </row>
    <row r="110" spans="1:15" ht="15">
      <c r="H110" s="10">
        <v>181.59819999999999</v>
      </c>
      <c r="J110" s="68" t="s">
        <v>137</v>
      </c>
      <c r="K110" s="63">
        <f>K108</f>
        <v>6.2034068286809489</v>
      </c>
      <c r="L110" s="14" t="s">
        <v>117</v>
      </c>
    </row>
    <row r="111" spans="1:15">
      <c r="H111" s="10">
        <v>176.59190000000001</v>
      </c>
    </row>
    <row r="112" spans="1:15" ht="15">
      <c r="H112" s="10">
        <v>71.826899999999995</v>
      </c>
      <c r="J112" s="14" t="s">
        <v>138</v>
      </c>
    </row>
    <row r="113" spans="1:12">
      <c r="F113" s="31"/>
      <c r="G113" s="31"/>
      <c r="H113" s="75">
        <v>89.340900000000005</v>
      </c>
      <c r="I113" s="31"/>
    </row>
    <row r="114" spans="1:12">
      <c r="G114" s="11" t="s">
        <v>147</v>
      </c>
      <c r="H114">
        <f>AVERAGE(H98:H113)</f>
        <v>174.78639999999999</v>
      </c>
    </row>
    <row r="115" spans="1:12" ht="15">
      <c r="G115" s="11" t="s">
        <v>149</v>
      </c>
      <c r="H115">
        <f>COUNT(H98:H113)</f>
        <v>16</v>
      </c>
      <c r="J115" s="68" t="s">
        <v>123</v>
      </c>
      <c r="K115" s="13">
        <f>1-_xlfn.F.DIST(K107,1,11,1)</f>
        <v>0.17389396612570507</v>
      </c>
      <c r="L115" t="s">
        <v>141</v>
      </c>
    </row>
    <row r="117" spans="1:12" ht="15">
      <c r="K117" s="14" t="s">
        <v>139</v>
      </c>
    </row>
    <row r="118" spans="1:12" ht="15">
      <c r="K118" s="14" t="s">
        <v>140</v>
      </c>
    </row>
    <row r="120" spans="1:12" ht="15">
      <c r="A120" s="14" t="s">
        <v>153</v>
      </c>
    </row>
    <row r="122" spans="1:12" ht="15">
      <c r="A122" s="16" t="s">
        <v>154</v>
      </c>
    </row>
    <row r="146" spans="2:4" ht="15">
      <c r="B146" s="14" t="s">
        <v>155</v>
      </c>
    </row>
    <row r="147" spans="2:4" ht="15">
      <c r="B147" s="14" t="s">
        <v>156</v>
      </c>
    </row>
    <row r="148" spans="2:4" ht="15">
      <c r="B148" s="14" t="s">
        <v>157</v>
      </c>
    </row>
    <row r="149" spans="2:4" ht="15">
      <c r="B149" s="14" t="s">
        <v>158</v>
      </c>
    </row>
    <row r="151" spans="2:4" ht="15">
      <c r="B151" s="14" t="s">
        <v>159</v>
      </c>
    </row>
    <row r="153" spans="2:4" ht="15">
      <c r="B153" s="14" t="s">
        <v>161</v>
      </c>
      <c r="D153" t="s">
        <v>160</v>
      </c>
    </row>
    <row r="155" spans="2:4">
      <c r="D155" t="s">
        <v>163</v>
      </c>
    </row>
    <row r="162" spans="11:12" ht="15">
      <c r="K162" t="s">
        <v>125</v>
      </c>
      <c r="L162" s="14" t="s">
        <v>139</v>
      </c>
    </row>
    <row r="163" spans="11:12" ht="15">
      <c r="L163" s="14" t="s">
        <v>140</v>
      </c>
    </row>
    <row r="177" spans="2:12">
      <c r="B177" t="s">
        <v>162</v>
      </c>
      <c r="F177" t="s">
        <v>160</v>
      </c>
    </row>
    <row r="179" spans="2:12">
      <c r="K179" t="s">
        <v>163</v>
      </c>
    </row>
    <row r="183" spans="2:12" ht="15">
      <c r="K183" t="s">
        <v>125</v>
      </c>
      <c r="L183" s="14" t="s">
        <v>139</v>
      </c>
    </row>
    <row r="184" spans="2:12" ht="15">
      <c r="L184" s="14" t="s">
        <v>140</v>
      </c>
    </row>
    <row r="199" spans="1:21" ht="15">
      <c r="C199" s="14" t="s">
        <v>164</v>
      </c>
    </row>
    <row r="201" spans="1:21" ht="15">
      <c r="A201" s="16" t="s">
        <v>165</v>
      </c>
    </row>
    <row r="204" spans="1:21" ht="15">
      <c r="B204" s="14" t="s">
        <v>166</v>
      </c>
    </row>
    <row r="205" spans="1:21" ht="15" thickBot="1"/>
    <row r="206" spans="1:21">
      <c r="B206" s="45"/>
      <c r="C206" s="45" t="s">
        <v>75</v>
      </c>
      <c r="D206" s="45" t="s">
        <v>63</v>
      </c>
      <c r="E206" s="45" t="s">
        <v>76</v>
      </c>
      <c r="F206" s="45" t="s">
        <v>77</v>
      </c>
      <c r="G206" s="45" t="s">
        <v>78</v>
      </c>
      <c r="H206" s="45" t="s">
        <v>79</v>
      </c>
      <c r="I206" s="45" t="s">
        <v>131</v>
      </c>
      <c r="J206" s="45" t="s">
        <v>132</v>
      </c>
      <c r="P206" s="19"/>
      <c r="Q206" s="19"/>
      <c r="R206" s="19"/>
      <c r="S206" s="19"/>
      <c r="T206" s="19"/>
      <c r="U206" s="19"/>
    </row>
    <row r="207" spans="1:21">
      <c r="B207" t="s">
        <v>69</v>
      </c>
      <c r="C207">
        <v>173.79832499999995</v>
      </c>
      <c r="D207">
        <v>1.4937338118548986</v>
      </c>
      <c r="E207">
        <v>116.35160402788199</v>
      </c>
      <c r="F207">
        <v>2.6318702115578112E-22</v>
      </c>
      <c r="G207">
        <v>170.59458460504084</v>
      </c>
      <c r="H207">
        <v>177.00206539495906</v>
      </c>
      <c r="I207">
        <v>170.19111061219857</v>
      </c>
      <c r="J207">
        <v>177.40553938780133</v>
      </c>
      <c r="P207" s="19"/>
      <c r="Q207" s="19"/>
      <c r="R207" s="19"/>
      <c r="S207" s="19"/>
      <c r="T207" s="19"/>
      <c r="U207" s="19"/>
    </row>
    <row r="208" spans="1:21">
      <c r="B208" t="s">
        <v>30</v>
      </c>
      <c r="C208">
        <v>8.7270124999999883</v>
      </c>
      <c r="D208">
        <v>1.6700451717987173</v>
      </c>
      <c r="E208">
        <v>5.2256146404714219</v>
      </c>
      <c r="F208">
        <v>1.2843295188046222E-4</v>
      </c>
      <c r="G208">
        <v>5.1451218473046971</v>
      </c>
      <c r="H208">
        <v>12.308903152695279</v>
      </c>
      <c r="I208">
        <v>4.6940242097304061</v>
      </c>
      <c r="J208">
        <v>12.76000079026957</v>
      </c>
      <c r="P208" s="19"/>
      <c r="Q208" s="19"/>
      <c r="R208" s="19"/>
      <c r="S208" s="19"/>
      <c r="T208" s="19"/>
      <c r="U208" s="19"/>
    </row>
    <row r="209" spans="2:21">
      <c r="B209" t="s">
        <v>31</v>
      </c>
      <c r="C209">
        <v>36.923150000000021</v>
      </c>
      <c r="D209">
        <v>1.6700451717987173</v>
      </c>
      <c r="E209">
        <v>22.109072630791207</v>
      </c>
      <c r="F209">
        <v>2.7513581030212705E-12</v>
      </c>
      <c r="G209">
        <v>33.341259347304728</v>
      </c>
      <c r="H209">
        <v>40.505040652695314</v>
      </c>
      <c r="I209">
        <v>32.890161709730435</v>
      </c>
      <c r="J209">
        <v>40.956138290269607</v>
      </c>
      <c r="P209" s="19"/>
      <c r="Q209" s="19"/>
      <c r="R209" s="19"/>
      <c r="S209" s="19"/>
      <c r="T209" s="19"/>
      <c r="U209" s="19"/>
    </row>
    <row r="210" spans="2:21">
      <c r="B210" t="s">
        <v>32</v>
      </c>
      <c r="C210">
        <v>-47.801087500000001</v>
      </c>
      <c r="D210">
        <v>1.6700451717987173</v>
      </c>
      <c r="E210">
        <v>-28.622631475600137</v>
      </c>
      <c r="F210">
        <v>7.9761738176595736E-14</v>
      </c>
      <c r="G210">
        <v>-51.382978152695294</v>
      </c>
      <c r="H210">
        <v>-44.219196847304708</v>
      </c>
      <c r="I210">
        <v>-51.83407579026958</v>
      </c>
      <c r="J210">
        <v>-43.768099209730423</v>
      </c>
      <c r="P210" s="19"/>
      <c r="Q210" s="19"/>
      <c r="R210" s="19"/>
      <c r="S210" s="19"/>
      <c r="T210" s="19"/>
      <c r="U210" s="19"/>
    </row>
    <row r="211" spans="2:21">
      <c r="B211" t="s">
        <v>43</v>
      </c>
      <c r="C211">
        <v>4.2636125000000051</v>
      </c>
      <c r="D211">
        <v>1.6700451717987177</v>
      </c>
      <c r="E211">
        <v>2.5529923214040329</v>
      </c>
      <c r="F211">
        <v>2.2983610233883484E-2</v>
      </c>
      <c r="G211">
        <v>0.68172184730471264</v>
      </c>
      <c r="H211">
        <v>7.8455031526952972</v>
      </c>
      <c r="I211">
        <v>0.23062420973042208</v>
      </c>
      <c r="J211">
        <v>8.2966007902695882</v>
      </c>
      <c r="P211" s="19"/>
      <c r="Q211" s="19"/>
      <c r="R211" s="19"/>
      <c r="S211" s="19"/>
      <c r="T211" s="19"/>
      <c r="U211" s="19"/>
    </row>
    <row r="212" spans="2:21" ht="15" thickBot="1">
      <c r="B212" s="44" t="s">
        <v>44</v>
      </c>
      <c r="C212" s="44">
        <v>6.208800000000001</v>
      </c>
      <c r="D212" s="44">
        <v>1.6700451717987177</v>
      </c>
      <c r="E212" s="44">
        <v>3.7177437501961874</v>
      </c>
      <c r="F212" s="44">
        <v>2.2952713204261745E-3</v>
      </c>
      <c r="G212" s="44">
        <v>2.6269093473047085</v>
      </c>
      <c r="H212" s="44">
        <v>9.790690652695293</v>
      </c>
      <c r="I212" s="44">
        <v>2.1758117097304179</v>
      </c>
      <c r="J212" s="44">
        <v>10.241788290269584</v>
      </c>
      <c r="P212" s="19"/>
      <c r="Q212" s="19"/>
      <c r="R212" s="19"/>
      <c r="S212" s="19"/>
      <c r="T212" s="19"/>
      <c r="U212" s="19"/>
    </row>
    <row r="213" spans="2:21">
      <c r="P213" s="19"/>
      <c r="Q213" s="19"/>
      <c r="R213" s="19"/>
      <c r="S213" s="19"/>
      <c r="T213" s="19"/>
      <c r="U213" s="19"/>
    </row>
    <row r="214" spans="2:21">
      <c r="B214" t="s">
        <v>167</v>
      </c>
      <c r="P214" s="19"/>
      <c r="Q214" s="19"/>
      <c r="R214" s="19"/>
      <c r="S214" s="19"/>
      <c r="T214" s="19"/>
      <c r="U214" s="19"/>
    </row>
    <row r="215" spans="2:21">
      <c r="P215" s="19"/>
      <c r="Q215" s="19"/>
      <c r="R215" s="19"/>
      <c r="S215" s="19"/>
      <c r="T215" s="19"/>
      <c r="U215" s="19"/>
    </row>
    <row r="216" spans="2:21">
      <c r="B216" t="s">
        <v>114</v>
      </c>
      <c r="P216" s="19"/>
      <c r="Q216" s="19"/>
      <c r="R216" s="19"/>
      <c r="S216" s="19"/>
      <c r="T216" s="19"/>
      <c r="U216" s="19"/>
    </row>
    <row r="217" spans="2:21">
      <c r="P217" s="19"/>
      <c r="Q217" s="19"/>
      <c r="R217" s="19"/>
      <c r="S217" s="19"/>
      <c r="T217" s="19"/>
      <c r="U217" s="19"/>
    </row>
    <row r="218" spans="2:21" ht="15">
      <c r="B218" s="62" t="s">
        <v>169</v>
      </c>
      <c r="C218" s="10">
        <f>C209/D209</f>
        <v>22.109072630791207</v>
      </c>
      <c r="P218" s="19"/>
      <c r="Q218" s="19"/>
      <c r="R218" s="19"/>
      <c r="S218" s="19"/>
      <c r="T218" s="19"/>
      <c r="U218" s="19"/>
    </row>
    <row r="219" spans="2:21" ht="15">
      <c r="B219" s="14"/>
      <c r="P219" s="19"/>
      <c r="Q219" s="19"/>
      <c r="R219" s="19"/>
      <c r="S219" s="19"/>
      <c r="T219" s="19"/>
      <c r="U219" s="19"/>
    </row>
    <row r="220" spans="2:21" ht="15">
      <c r="B220" s="62" t="s">
        <v>170</v>
      </c>
      <c r="C220" s="10">
        <f>_xlfn.T.INV(0.985,20-5-1)</f>
        <v>2.4148977275422214</v>
      </c>
      <c r="P220" s="19"/>
      <c r="Q220" s="19"/>
      <c r="R220" s="19"/>
      <c r="S220" s="19"/>
      <c r="T220" s="19"/>
      <c r="U220" s="19"/>
    </row>
    <row r="221" spans="2:21" ht="15">
      <c r="B221" s="62" t="s">
        <v>171</v>
      </c>
      <c r="C221" s="10">
        <f>_xlfn.T.INV(0.015,20-5-1)</f>
        <v>-2.4148977275422219</v>
      </c>
      <c r="P221" s="19"/>
      <c r="Q221" s="19"/>
      <c r="R221" s="19"/>
      <c r="S221" s="19"/>
      <c r="T221" s="19"/>
      <c r="U221" s="19"/>
    </row>
    <row r="222" spans="2:21">
      <c r="P222" s="19"/>
      <c r="Q222" s="19"/>
      <c r="R222" s="19"/>
      <c r="S222" s="19"/>
      <c r="T222" s="19"/>
      <c r="U222" s="19"/>
    </row>
    <row r="223" spans="2:21" ht="15">
      <c r="B223" s="13" t="s">
        <v>172</v>
      </c>
      <c r="C223" s="77"/>
      <c r="E223" t="s">
        <v>173</v>
      </c>
      <c r="P223" s="19"/>
      <c r="Q223" s="19"/>
      <c r="R223" s="19"/>
      <c r="S223" s="19"/>
      <c r="T223" s="19"/>
      <c r="U223" s="19"/>
    </row>
    <row r="224" spans="2:21">
      <c r="C224" s="10"/>
      <c r="P224" s="19"/>
      <c r="Q224" s="19"/>
      <c r="R224" s="19"/>
      <c r="S224" s="19"/>
      <c r="T224" s="19"/>
      <c r="U224" s="19"/>
    </row>
    <row r="225" spans="1:21">
      <c r="B225" s="68" t="s">
        <v>123</v>
      </c>
      <c r="C225" s="10">
        <f>2*MIN(1-_xlfn.T.DIST(C218,14,1),_xlfn.T.DIST(C218,14,1))</f>
        <v>2.7513546996260629E-12</v>
      </c>
      <c r="D225" t="s">
        <v>174</v>
      </c>
      <c r="P225" s="19"/>
      <c r="Q225" s="19"/>
      <c r="R225" s="19"/>
      <c r="S225" s="19"/>
      <c r="T225" s="19"/>
      <c r="U225" s="19"/>
    </row>
    <row r="226" spans="1:21">
      <c r="P226" s="19"/>
      <c r="Q226" s="19"/>
      <c r="R226" s="19"/>
      <c r="S226" s="19"/>
      <c r="T226" s="19"/>
      <c r="U226" s="19"/>
    </row>
    <row r="227" spans="1:21">
      <c r="B227" s="11" t="s">
        <v>194</v>
      </c>
      <c r="C227">
        <f>D209*C220</f>
        <v>4.0329882902695813</v>
      </c>
    </row>
    <row r="228" spans="1:21">
      <c r="B228" s="11" t="s">
        <v>195</v>
      </c>
      <c r="C228">
        <f>C209-C227</f>
        <v>32.890161709730442</v>
      </c>
    </row>
    <row r="229" spans="1:21">
      <c r="B229" s="11" t="s">
        <v>196</v>
      </c>
      <c r="C229">
        <f>C209+C227</f>
        <v>40.9561382902696</v>
      </c>
    </row>
    <row r="231" spans="1:21">
      <c r="B231" t="s">
        <v>175</v>
      </c>
      <c r="E231" t="s">
        <v>176</v>
      </c>
    </row>
    <row r="233" spans="1:21" ht="15">
      <c r="C233" s="14" t="s">
        <v>120</v>
      </c>
    </row>
    <row r="234" spans="1:21" ht="15">
      <c r="B234" s="47"/>
      <c r="C234" s="14" t="s">
        <v>121</v>
      </c>
    </row>
    <row r="236" spans="1:21" ht="15">
      <c r="B236" s="14" t="s">
        <v>177</v>
      </c>
    </row>
    <row r="238" spans="1:21" ht="15">
      <c r="A238" s="16" t="s">
        <v>178</v>
      </c>
    </row>
    <row r="240" spans="1:21">
      <c r="B240" s="71" t="s">
        <v>30</v>
      </c>
      <c r="C240" s="71" t="s">
        <v>31</v>
      </c>
      <c r="D240" s="71" t="s">
        <v>32</v>
      </c>
      <c r="E240" s="71" t="s">
        <v>43</v>
      </c>
      <c r="F240" s="71" t="s">
        <v>44</v>
      </c>
      <c r="G240" s="71" t="s">
        <v>180</v>
      </c>
      <c r="H240" s="71" t="s">
        <v>181</v>
      </c>
      <c r="I240" s="71" t="s">
        <v>182</v>
      </c>
      <c r="J240" s="71" t="s">
        <v>183</v>
      </c>
      <c r="K240" s="71" t="s">
        <v>184</v>
      </c>
      <c r="M240">
        <v>173.79832499999995</v>
      </c>
      <c r="O240">
        <v>173.79832499999995</v>
      </c>
    </row>
    <row r="241" spans="2:15">
      <c r="B241" s="71">
        <v>1</v>
      </c>
      <c r="C241" s="71">
        <v>-0.99999999999999856</v>
      </c>
      <c r="D241" s="71">
        <v>-1</v>
      </c>
      <c r="E241" s="71">
        <v>-0.99999999999999856</v>
      </c>
      <c r="F241" s="71">
        <v>-1</v>
      </c>
      <c r="G241" s="71">
        <v>177.66919999999999</v>
      </c>
      <c r="H241" s="71">
        <f>$M$240+$M$241*B241+$M$242*C241+$M$243*D241+$M$244*E241+$M$245*F241</f>
        <v>182.93086249999999</v>
      </c>
      <c r="I241" s="78">
        <f>$O$240+$O$241*B241+$O$242*D241+$O$243*E241+$O$244*F241</f>
        <v>219.85401249999995</v>
      </c>
      <c r="J241" s="78">
        <f>(H241-$M$240)^2</f>
        <v>83.403241188906989</v>
      </c>
      <c r="K241" s="78">
        <f>(I241-$M$240)^2</f>
        <v>2121.1263510976569</v>
      </c>
      <c r="M241">
        <v>8.7270124999999883</v>
      </c>
      <c r="O241">
        <v>8.7270124999999883</v>
      </c>
    </row>
    <row r="242" spans="2:15">
      <c r="B242" s="71">
        <v>1</v>
      </c>
      <c r="C242" s="71">
        <v>-0.99999999999999856</v>
      </c>
      <c r="D242" s="71">
        <v>-1</v>
      </c>
      <c r="E242" s="71">
        <v>-0.99999999999999856</v>
      </c>
      <c r="F242" s="71">
        <v>-1</v>
      </c>
      <c r="G242" s="71">
        <v>182.143</v>
      </c>
      <c r="H242" s="71">
        <f t="shared" ref="H242:H260" si="2">$M$240+$M$241*B242+$M$242*C242+$M$243*D242+$M$244*E242+$M$245*F242</f>
        <v>182.93086249999999</v>
      </c>
      <c r="I242" s="78">
        <f t="shared" ref="I242:I260" si="3">$O$240+$O$241*B242+$O$242*D242+$O$243*E242+$O$244*F242</f>
        <v>219.85401249999995</v>
      </c>
      <c r="J242" s="78">
        <f t="shared" ref="J242:J260" si="4">(H242-$M$240)^2</f>
        <v>83.403241188906989</v>
      </c>
      <c r="K242" s="78">
        <f t="shared" ref="K242:K260" si="5">(I242-$M$240)^2</f>
        <v>2121.1263510976569</v>
      </c>
      <c r="M242">
        <v>36.923150000000021</v>
      </c>
      <c r="O242">
        <v>-47.801087500000001</v>
      </c>
    </row>
    <row r="243" spans="2:15">
      <c r="B243" s="71">
        <v>-1</v>
      </c>
      <c r="C243" s="71">
        <v>1.0000000000000013</v>
      </c>
      <c r="D243" s="71">
        <v>1</v>
      </c>
      <c r="E243" s="71">
        <v>-1.0000000000000013</v>
      </c>
      <c r="F243" s="71">
        <v>-1</v>
      </c>
      <c r="G243" s="71">
        <v>141.2878</v>
      </c>
      <c r="H243" s="71">
        <f t="shared" si="2"/>
        <v>143.72096250000001</v>
      </c>
      <c r="I243" s="78">
        <f t="shared" si="3"/>
        <v>106.79781249999995</v>
      </c>
      <c r="J243" s="78">
        <f t="shared" si="4"/>
        <v>904.64773495640236</v>
      </c>
      <c r="K243" s="78">
        <f t="shared" si="5"/>
        <v>4489.0686752626561</v>
      </c>
      <c r="M243">
        <v>-47.801087500000001</v>
      </c>
      <c r="O243">
        <v>4.2636125000000051</v>
      </c>
    </row>
    <row r="244" spans="2:15" ht="15" thickBot="1">
      <c r="B244" s="71">
        <v>-1</v>
      </c>
      <c r="C244" s="71">
        <v>1.0000000000000013</v>
      </c>
      <c r="D244" s="71">
        <v>1</v>
      </c>
      <c r="E244" s="71">
        <v>-1.0000000000000013</v>
      </c>
      <c r="F244" s="71">
        <v>-1</v>
      </c>
      <c r="G244" s="71">
        <v>145.7424</v>
      </c>
      <c r="H244" s="71">
        <f t="shared" si="2"/>
        <v>143.72096250000001</v>
      </c>
      <c r="I244" s="78">
        <f t="shared" si="3"/>
        <v>106.79781249999995</v>
      </c>
      <c r="J244" s="78">
        <f t="shared" si="4"/>
        <v>904.64773495640236</v>
      </c>
      <c r="K244" s="78">
        <f t="shared" si="5"/>
        <v>4489.0686752626561</v>
      </c>
      <c r="M244">
        <v>4.2636125000000051</v>
      </c>
      <c r="O244" s="44">
        <v>6.208800000000001</v>
      </c>
    </row>
    <row r="245" spans="2:15" ht="15" thickBot="1">
      <c r="B245" s="71">
        <v>1</v>
      </c>
      <c r="C245" s="71">
        <v>1.0000000000000013</v>
      </c>
      <c r="D245" s="71">
        <v>-1</v>
      </c>
      <c r="E245" s="71">
        <v>1.0000000000000013</v>
      </c>
      <c r="F245" s="71">
        <v>-1</v>
      </c>
      <c r="G245" s="71">
        <v>268.84870000000001</v>
      </c>
      <c r="H245" s="71">
        <f t="shared" si="2"/>
        <v>265.30438750000008</v>
      </c>
      <c r="I245" s="78">
        <f t="shared" si="3"/>
        <v>228.38123749999997</v>
      </c>
      <c r="J245" s="78">
        <f t="shared" si="4"/>
        <v>8373.3594742539299</v>
      </c>
      <c r="K245" s="78">
        <f t="shared" si="5"/>
        <v>2979.2943369826585</v>
      </c>
      <c r="M245" s="44">
        <v>6.208800000000001</v>
      </c>
    </row>
    <row r="246" spans="2:15">
      <c r="B246" s="71">
        <v>1</v>
      </c>
      <c r="C246" s="71">
        <v>1.0000000000000013</v>
      </c>
      <c r="D246" s="71">
        <v>-1</v>
      </c>
      <c r="E246" s="71">
        <v>1.0000000000000013</v>
      </c>
      <c r="F246" s="71">
        <v>-1</v>
      </c>
      <c r="G246" s="71">
        <v>271.76190000000003</v>
      </c>
      <c r="H246" s="71">
        <f t="shared" si="2"/>
        <v>265.30438750000008</v>
      </c>
      <c r="I246" s="78">
        <f t="shared" si="3"/>
        <v>228.38123749999997</v>
      </c>
      <c r="J246" s="78">
        <f t="shared" si="4"/>
        <v>8373.3594742539299</v>
      </c>
      <c r="K246" s="78">
        <f t="shared" si="5"/>
        <v>2979.2943369826585</v>
      </c>
    </row>
    <row r="247" spans="2:15">
      <c r="B247" s="71">
        <v>-1</v>
      </c>
      <c r="C247" s="71">
        <v>-0.99999999999999856</v>
      </c>
      <c r="D247" s="71">
        <v>-1</v>
      </c>
      <c r="E247" s="71">
        <v>0.99999999999999856</v>
      </c>
      <c r="F247" s="71">
        <v>1</v>
      </c>
      <c r="G247" s="71">
        <v>189.28829999999999</v>
      </c>
      <c r="H247" s="71">
        <f t="shared" si="2"/>
        <v>186.42166249999997</v>
      </c>
      <c r="I247" s="78">
        <f t="shared" si="3"/>
        <v>223.34481249999993</v>
      </c>
      <c r="J247" s="78">
        <f t="shared" si="4"/>
        <v>159.34864963890675</v>
      </c>
      <c r="K247" s="78">
        <f t="shared" si="5"/>
        <v>2454.8544235876548</v>
      </c>
    </row>
    <row r="248" spans="2:15">
      <c r="B248" s="71">
        <v>-1</v>
      </c>
      <c r="C248" s="71">
        <v>-0.99999999999999856</v>
      </c>
      <c r="D248" s="71">
        <v>-1</v>
      </c>
      <c r="E248" s="71">
        <v>0.99999999999999856</v>
      </c>
      <c r="F248" s="71">
        <v>1</v>
      </c>
      <c r="G248" s="71">
        <v>183.14330000000001</v>
      </c>
      <c r="H248" s="71">
        <f t="shared" si="2"/>
        <v>186.42166249999997</v>
      </c>
      <c r="I248" s="78">
        <f t="shared" si="3"/>
        <v>223.34481249999993</v>
      </c>
      <c r="J248" s="78">
        <f t="shared" si="4"/>
        <v>159.34864963890675</v>
      </c>
      <c r="K248" s="78">
        <f t="shared" si="5"/>
        <v>2454.8544235876548</v>
      </c>
    </row>
    <row r="249" spans="2:15">
      <c r="B249" s="71">
        <v>1</v>
      </c>
      <c r="C249" s="71">
        <v>-0.99999999999999856</v>
      </c>
      <c r="D249" s="71">
        <v>1</v>
      </c>
      <c r="E249" s="71">
        <v>-0.99999999999999856</v>
      </c>
      <c r="F249" s="71">
        <v>1</v>
      </c>
      <c r="G249" s="71">
        <v>100.1876</v>
      </c>
      <c r="H249" s="71">
        <f t="shared" si="2"/>
        <v>99.746287499999994</v>
      </c>
      <c r="I249" s="78">
        <f t="shared" si="3"/>
        <v>136.66943749999996</v>
      </c>
      <c r="J249" s="78">
        <f t="shared" si="4"/>
        <v>5483.7042579013996</v>
      </c>
      <c r="K249" s="78">
        <f t="shared" si="5"/>
        <v>1378.5542869876556</v>
      </c>
      <c r="M249" s="47"/>
      <c r="N249" s="47"/>
    </row>
    <row r="250" spans="2:15">
      <c r="B250" s="71">
        <v>1</v>
      </c>
      <c r="C250" s="71">
        <v>-0.99999999999999856</v>
      </c>
      <c r="D250" s="71">
        <v>1</v>
      </c>
      <c r="E250" s="71">
        <v>-0.99999999999999856</v>
      </c>
      <c r="F250" s="71">
        <v>1</v>
      </c>
      <c r="G250" s="71">
        <v>109.3068</v>
      </c>
      <c r="H250" s="71">
        <f t="shared" si="2"/>
        <v>99.746287499999994</v>
      </c>
      <c r="I250" s="78">
        <f t="shared" si="3"/>
        <v>136.66943749999996</v>
      </c>
      <c r="J250" s="78">
        <f t="shared" si="4"/>
        <v>5483.7042579013996</v>
      </c>
      <c r="K250" s="78">
        <f t="shared" si="5"/>
        <v>1378.5542869876556</v>
      </c>
    </row>
    <row r="251" spans="2:15">
      <c r="B251" s="71">
        <v>-1</v>
      </c>
      <c r="C251" s="71">
        <v>1.0000000000000013</v>
      </c>
      <c r="D251" s="71">
        <v>-1</v>
      </c>
      <c r="E251" s="71">
        <v>-1.0000000000000013</v>
      </c>
      <c r="F251" s="71">
        <v>1</v>
      </c>
      <c r="G251" s="71">
        <v>259.6343</v>
      </c>
      <c r="H251" s="71">
        <f t="shared" si="2"/>
        <v>251.74073749999999</v>
      </c>
      <c r="I251" s="78">
        <f t="shared" si="3"/>
        <v>214.81758749999992</v>
      </c>
      <c r="J251" s="78">
        <f t="shared" si="4"/>
        <v>6075.0196663201632</v>
      </c>
      <c r="K251" s="78">
        <f t="shared" si="5"/>
        <v>1682.5798960439035</v>
      </c>
    </row>
    <row r="252" spans="2:15">
      <c r="B252" s="71">
        <v>-1</v>
      </c>
      <c r="C252" s="71">
        <v>1.0000000000000013</v>
      </c>
      <c r="D252" s="71">
        <v>-1</v>
      </c>
      <c r="E252" s="71">
        <v>-1.0000000000000013</v>
      </c>
      <c r="F252" s="71">
        <v>1</v>
      </c>
      <c r="G252" s="71">
        <v>248.21119999999999</v>
      </c>
      <c r="H252" s="71">
        <f t="shared" si="2"/>
        <v>251.74073749999999</v>
      </c>
      <c r="I252" s="78">
        <f t="shared" si="3"/>
        <v>214.81758749999992</v>
      </c>
      <c r="J252" s="78">
        <f t="shared" si="4"/>
        <v>6075.0196663201632</v>
      </c>
      <c r="K252" s="78">
        <f t="shared" si="5"/>
        <v>1682.5798960439035</v>
      </c>
    </row>
    <row r="253" spans="2:15">
      <c r="B253" s="71">
        <v>1</v>
      </c>
      <c r="C253" s="71">
        <v>1.0000000000000013</v>
      </c>
      <c r="D253" s="71">
        <v>1</v>
      </c>
      <c r="E253" s="71">
        <v>1.0000000000000013</v>
      </c>
      <c r="F253" s="71">
        <v>1</v>
      </c>
      <c r="G253" s="71">
        <v>181.59819999999999</v>
      </c>
      <c r="H253" s="71">
        <f t="shared" si="2"/>
        <v>182.11981250000005</v>
      </c>
      <c r="I253" s="78">
        <f t="shared" si="3"/>
        <v>145.19666249999997</v>
      </c>
      <c r="J253" s="78">
        <f t="shared" si="4"/>
        <v>69.247154212657961</v>
      </c>
      <c r="K253" s="78">
        <f t="shared" si="5"/>
        <v>818.05509776390477</v>
      </c>
    </row>
    <row r="254" spans="2:15">
      <c r="B254" s="71">
        <v>1</v>
      </c>
      <c r="C254" s="71">
        <v>1.0000000000000013</v>
      </c>
      <c r="D254" s="71">
        <v>1</v>
      </c>
      <c r="E254" s="71">
        <v>1.0000000000000013</v>
      </c>
      <c r="F254" s="71">
        <v>1</v>
      </c>
      <c r="G254" s="71">
        <v>176.59190000000001</v>
      </c>
      <c r="H254" s="71">
        <f t="shared" si="2"/>
        <v>182.11981250000005</v>
      </c>
      <c r="I254" s="78">
        <f t="shared" si="3"/>
        <v>145.19666249999997</v>
      </c>
      <c r="J254" s="78">
        <f t="shared" si="4"/>
        <v>69.247154212657961</v>
      </c>
      <c r="K254" s="78">
        <f t="shared" si="5"/>
        <v>818.05509776390477</v>
      </c>
    </row>
    <row r="255" spans="2:15">
      <c r="B255" s="71">
        <v>-1</v>
      </c>
      <c r="C255" s="71">
        <v>-0.99999999999999856</v>
      </c>
      <c r="D255" s="71">
        <v>1</v>
      </c>
      <c r="E255" s="71">
        <v>0.99999999999999856</v>
      </c>
      <c r="F255" s="71">
        <v>-1</v>
      </c>
      <c r="G255" s="71">
        <v>71.826899999999995</v>
      </c>
      <c r="H255" s="71">
        <f t="shared" si="2"/>
        <v>78.401887499999987</v>
      </c>
      <c r="I255" s="78">
        <f t="shared" si="3"/>
        <v>115.32503749999995</v>
      </c>
      <c r="J255" s="78">
        <f t="shared" si="4"/>
        <v>9100.4802876913982</v>
      </c>
      <c r="K255" s="78">
        <f t="shared" si="5"/>
        <v>3419.1253510576562</v>
      </c>
    </row>
    <row r="256" spans="2:15">
      <c r="B256" s="71">
        <v>-1</v>
      </c>
      <c r="C256" s="71">
        <v>-0.99999999999999856</v>
      </c>
      <c r="D256" s="71">
        <v>1</v>
      </c>
      <c r="E256" s="71">
        <v>0.99999999999999856</v>
      </c>
      <c r="F256" s="71">
        <v>-1</v>
      </c>
      <c r="G256" s="71">
        <v>89.340900000000005</v>
      </c>
      <c r="H256" s="71">
        <f t="shared" si="2"/>
        <v>78.401887499999987</v>
      </c>
      <c r="I256" s="78">
        <f t="shared" si="3"/>
        <v>115.32503749999995</v>
      </c>
      <c r="J256" s="78">
        <f t="shared" si="4"/>
        <v>9100.4802876913982</v>
      </c>
      <c r="K256" s="78">
        <f t="shared" si="5"/>
        <v>3419.1253510576562</v>
      </c>
    </row>
    <row r="257" spans="2:21">
      <c r="B257" s="71">
        <v>0</v>
      </c>
      <c r="C257" s="71">
        <v>0</v>
      </c>
      <c r="D257" s="71">
        <v>0</v>
      </c>
      <c r="E257" s="71">
        <v>0</v>
      </c>
      <c r="F257" s="71">
        <v>0</v>
      </c>
      <c r="G257" s="71">
        <v>175.0677</v>
      </c>
      <c r="H257" s="71">
        <f t="shared" si="2"/>
        <v>173.79832499999995</v>
      </c>
      <c r="I257" s="78">
        <f t="shared" si="3"/>
        <v>173.79832499999995</v>
      </c>
      <c r="J257" s="78">
        <f t="shared" si="4"/>
        <v>0</v>
      </c>
      <c r="K257" s="78">
        <f t="shared" si="5"/>
        <v>0</v>
      </c>
    </row>
    <row r="258" spans="2:21">
      <c r="B258" s="71">
        <v>0</v>
      </c>
      <c r="C258" s="71">
        <v>0</v>
      </c>
      <c r="D258" s="71">
        <v>0</v>
      </c>
      <c r="E258" s="71">
        <v>0</v>
      </c>
      <c r="F258" s="71">
        <v>0</v>
      </c>
      <c r="G258" s="71">
        <v>165.96080000000001</v>
      </c>
      <c r="H258" s="71">
        <f t="shared" si="2"/>
        <v>173.79832499999995</v>
      </c>
      <c r="I258" s="78">
        <f t="shared" si="3"/>
        <v>173.79832499999995</v>
      </c>
      <c r="J258" s="78">
        <f t="shared" si="4"/>
        <v>0</v>
      </c>
      <c r="K258" s="78">
        <f t="shared" si="5"/>
        <v>0</v>
      </c>
    </row>
    <row r="259" spans="2:21">
      <c r="B259" s="71">
        <v>0</v>
      </c>
      <c r="C259" s="71">
        <v>0</v>
      </c>
      <c r="D259" s="71">
        <v>0</v>
      </c>
      <c r="E259" s="71">
        <v>0</v>
      </c>
      <c r="F259" s="71">
        <v>0</v>
      </c>
      <c r="G259" s="71">
        <v>174.0453</v>
      </c>
      <c r="H259" s="71">
        <f t="shared" si="2"/>
        <v>173.79832499999995</v>
      </c>
      <c r="I259" s="78">
        <f t="shared" si="3"/>
        <v>173.79832499999995</v>
      </c>
      <c r="J259" s="78">
        <f t="shared" si="4"/>
        <v>0</v>
      </c>
      <c r="K259" s="78">
        <f t="shared" si="5"/>
        <v>0</v>
      </c>
    </row>
    <row r="260" spans="2:21">
      <c r="B260" s="71">
        <v>0</v>
      </c>
      <c r="C260" s="71">
        <v>0</v>
      </c>
      <c r="D260" s="71">
        <v>0</v>
      </c>
      <c r="E260" s="71">
        <v>0</v>
      </c>
      <c r="F260" s="71">
        <v>0</v>
      </c>
      <c r="G260" s="71">
        <v>164.31030000000001</v>
      </c>
      <c r="H260" s="71">
        <f t="shared" si="2"/>
        <v>173.79832499999995</v>
      </c>
      <c r="I260" s="78">
        <f t="shared" si="3"/>
        <v>173.79832499999995</v>
      </c>
      <c r="J260" s="78">
        <f t="shared" si="4"/>
        <v>0</v>
      </c>
      <c r="K260" s="78">
        <f t="shared" si="5"/>
        <v>0</v>
      </c>
    </row>
    <row r="261" spans="2:21">
      <c r="I261" s="11" t="s">
        <v>185</v>
      </c>
      <c r="J261" s="42">
        <f>SUM(J241:J260)</f>
        <v>60498.420932327528</v>
      </c>
      <c r="K261" s="42">
        <f>SUM(K241:K260)</f>
        <v>38685.316837567487</v>
      </c>
    </row>
    <row r="262" spans="2:21" ht="15" thickBot="1">
      <c r="F262" t="s">
        <v>65</v>
      </c>
      <c r="M262" s="48"/>
      <c r="N262" s="48"/>
      <c r="O262" s="48"/>
      <c r="P262" s="48"/>
      <c r="Q262" s="48"/>
      <c r="R262" s="48"/>
      <c r="S262" s="48"/>
      <c r="T262" s="48"/>
      <c r="U262" s="48"/>
    </row>
    <row r="263" spans="2:21">
      <c r="C263" s="11" t="s">
        <v>186</v>
      </c>
      <c r="D263" s="10">
        <f>J261-K261</f>
        <v>21813.104094760041</v>
      </c>
      <c r="F263" s="45"/>
      <c r="G263" s="45" t="s">
        <v>70</v>
      </c>
      <c r="H263" s="45" t="s">
        <v>71</v>
      </c>
      <c r="I263" s="45" t="s">
        <v>72</v>
      </c>
      <c r="J263" s="45" t="s">
        <v>73</v>
      </c>
      <c r="K263" s="45" t="s">
        <v>74</v>
      </c>
    </row>
    <row r="264" spans="2:21">
      <c r="C264" s="11" t="s">
        <v>187</v>
      </c>
      <c r="D264" s="10">
        <f>H264</f>
        <v>60498.420932327506</v>
      </c>
      <c r="F264" t="s">
        <v>66</v>
      </c>
      <c r="G264">
        <v>5</v>
      </c>
      <c r="H264">
        <v>60498.420932327506</v>
      </c>
      <c r="I264">
        <v>12099.684186465502</v>
      </c>
      <c r="J264">
        <v>271.14251238751922</v>
      </c>
      <c r="K264">
        <v>2.047313203701461E-13</v>
      </c>
    </row>
    <row r="265" spans="2:21">
      <c r="C265" s="11" t="s">
        <v>188</v>
      </c>
      <c r="D265" s="10">
        <f>H266-D264</f>
        <v>624.74739618999592</v>
      </c>
      <c r="F265" t="s">
        <v>67</v>
      </c>
      <c r="G265">
        <v>14</v>
      </c>
      <c r="H265">
        <v>624.74739618999843</v>
      </c>
      <c r="I265">
        <v>44.624814013571317</v>
      </c>
    </row>
    <row r="266" spans="2:21" ht="15" thickBot="1">
      <c r="C266" s="11" t="s">
        <v>189</v>
      </c>
      <c r="D266" s="10">
        <f>(D263/1)/(D265/14)</f>
        <v>488.81109259360312</v>
      </c>
      <c r="F266" s="44" t="s">
        <v>68</v>
      </c>
      <c r="G266" s="44">
        <v>19</v>
      </c>
      <c r="H266" s="44">
        <v>61123.168328517502</v>
      </c>
      <c r="I266" s="44"/>
      <c r="J266" s="44"/>
      <c r="K266" s="44"/>
    </row>
    <row r="268" spans="2:21" ht="15">
      <c r="B268" s="14" t="s">
        <v>179</v>
      </c>
    </row>
    <row r="270" spans="2:21" ht="15">
      <c r="B270" s="14" t="s">
        <v>114</v>
      </c>
    </row>
    <row r="272" spans="2:21" ht="15">
      <c r="B272" s="62" t="s">
        <v>189</v>
      </c>
      <c r="C272" s="13">
        <f>D266</f>
        <v>488.81109259360312</v>
      </c>
    </row>
    <row r="273" spans="1:10" ht="15">
      <c r="B273" s="62" t="s">
        <v>190</v>
      </c>
      <c r="C273" s="13">
        <f>_xlfn.F.INV(0.97,1,14)</f>
        <v>5.831731034488584</v>
      </c>
    </row>
    <row r="274" spans="1:10">
      <c r="B274" s="11"/>
      <c r="C274" s="10"/>
    </row>
    <row r="275" spans="1:10" ht="15">
      <c r="B275" s="62" t="s">
        <v>168</v>
      </c>
      <c r="C275" s="13">
        <f>C273</f>
        <v>5.831731034488584</v>
      </c>
      <c r="D275" s="14" t="s">
        <v>117</v>
      </c>
      <c r="E275" s="10" t="s">
        <v>119</v>
      </c>
    </row>
    <row r="276" spans="1:10">
      <c r="B276" s="11"/>
      <c r="C276" s="10"/>
    </row>
    <row r="277" spans="1:10" ht="15">
      <c r="B277" s="62" t="s">
        <v>123</v>
      </c>
      <c r="C277" s="13">
        <f>1-_xlfn.F.DIST(C272,1,14,1)</f>
        <v>2.7513546996260629E-12</v>
      </c>
      <c r="D277" s="14" t="s">
        <v>126</v>
      </c>
    </row>
    <row r="278" spans="1:10">
      <c r="B278" s="11"/>
      <c r="C278" s="10"/>
    </row>
    <row r="279" spans="1:10" ht="15">
      <c r="C279" s="13" t="s">
        <v>120</v>
      </c>
    </row>
    <row r="280" spans="1:10" ht="15">
      <c r="C280" s="13" t="s">
        <v>281</v>
      </c>
    </row>
    <row r="282" spans="1:10" ht="15">
      <c r="B282" s="14" t="s">
        <v>191</v>
      </c>
    </row>
    <row r="284" spans="1:10" ht="15">
      <c r="A284" s="16" t="s">
        <v>192</v>
      </c>
    </row>
    <row r="285" spans="1:10" ht="15" thickBot="1"/>
    <row r="286" spans="1:10">
      <c r="B286" s="45"/>
      <c r="C286" s="45" t="s">
        <v>75</v>
      </c>
      <c r="D286" s="45" t="s">
        <v>63</v>
      </c>
      <c r="E286" s="45" t="s">
        <v>76</v>
      </c>
      <c r="F286" s="45" t="s">
        <v>77</v>
      </c>
      <c r="G286" s="45" t="s">
        <v>78</v>
      </c>
      <c r="H286" s="45" t="s">
        <v>79</v>
      </c>
      <c r="I286" s="45" t="s">
        <v>131</v>
      </c>
      <c r="J286" s="45" t="s">
        <v>132</v>
      </c>
    </row>
    <row r="287" spans="1:10">
      <c r="B287" t="s">
        <v>43</v>
      </c>
      <c r="C287">
        <v>4.2636125000000051</v>
      </c>
      <c r="D287">
        <v>1.6700451717987177</v>
      </c>
      <c r="E287">
        <v>2.5529923214040329</v>
      </c>
      <c r="F287">
        <v>2.2983610233883484E-2</v>
      </c>
      <c r="G287">
        <v>0.68172184730471264</v>
      </c>
      <c r="H287">
        <v>7.8455031526952972</v>
      </c>
      <c r="I287">
        <v>0.23062420973042208</v>
      </c>
      <c r="J287">
        <v>8.2966007902695882</v>
      </c>
    </row>
    <row r="291" spans="2:6" ht="15">
      <c r="B291" s="14" t="s">
        <v>197</v>
      </c>
    </row>
    <row r="293" spans="2:6">
      <c r="B293" t="s">
        <v>114</v>
      </c>
    </row>
    <row r="295" spans="2:6" ht="15">
      <c r="B295" s="62" t="s">
        <v>193</v>
      </c>
      <c r="C295" s="10">
        <f>C287/D287</f>
        <v>2.5529923214040329</v>
      </c>
      <c r="F295" s="11"/>
    </row>
    <row r="296" spans="2:6" ht="15">
      <c r="B296" s="14"/>
      <c r="F296" s="11"/>
    </row>
    <row r="297" spans="2:6" ht="15">
      <c r="B297" s="62" t="s">
        <v>170</v>
      </c>
      <c r="C297">
        <f>_xlfn.T.INV(0.985,14)</f>
        <v>2.4148977275422214</v>
      </c>
      <c r="F297" s="11"/>
    </row>
    <row r="298" spans="2:6" ht="15">
      <c r="B298" s="62" t="s">
        <v>171</v>
      </c>
      <c r="C298">
        <f>_xlfn.T.INV(0.015,14)</f>
        <v>-2.4148977275422219</v>
      </c>
      <c r="F298" s="11"/>
    </row>
    <row r="299" spans="2:6">
      <c r="F299" s="11"/>
    </row>
    <row r="300" spans="2:6" ht="15">
      <c r="C300" s="62" t="s">
        <v>172</v>
      </c>
      <c r="E300" s="13" t="s">
        <v>198</v>
      </c>
    </row>
    <row r="301" spans="2:6">
      <c r="F301" s="11"/>
    </row>
    <row r="302" spans="2:6" ht="15">
      <c r="B302" s="62" t="s">
        <v>123</v>
      </c>
      <c r="C302">
        <f>2*MIN(_xlfn.T.DIST(C295,14,1),1-_xlfn.T.DIST(C295,14,1))</f>
        <v>2.29836102338834E-2</v>
      </c>
      <c r="D302" t="s">
        <v>174</v>
      </c>
    </row>
    <row r="303" spans="2:6">
      <c r="F303" s="11"/>
    </row>
    <row r="304" spans="2:6" ht="15">
      <c r="B304" s="62" t="s">
        <v>199</v>
      </c>
      <c r="C304">
        <f>C297*D287</f>
        <v>4.0329882902695822</v>
      </c>
    </row>
    <row r="305" spans="1:5" ht="15">
      <c r="B305" s="62" t="s">
        <v>200</v>
      </c>
      <c r="C305">
        <f>C287-C304</f>
        <v>0.23062420973042297</v>
      </c>
    </row>
    <row r="306" spans="1:5" ht="15">
      <c r="B306" s="62" t="s">
        <v>201</v>
      </c>
      <c r="C306">
        <f>C287+C304</f>
        <v>8.2966007902695864</v>
      </c>
    </row>
    <row r="308" spans="1:5" ht="15">
      <c r="B308" s="14" t="s">
        <v>202</v>
      </c>
      <c r="E308" s="14" t="s">
        <v>203</v>
      </c>
    </row>
    <row r="310" spans="1:5" ht="15">
      <c r="C310" s="14" t="s">
        <v>120</v>
      </c>
    </row>
    <row r="311" spans="1:5" ht="15">
      <c r="C311" s="14" t="s">
        <v>281</v>
      </c>
    </row>
    <row r="313" spans="1:5" ht="15">
      <c r="A313" s="14" t="s">
        <v>204</v>
      </c>
    </row>
  </sheetData>
  <mergeCells count="18">
    <mergeCell ref="I50:I51"/>
    <mergeCell ref="I48:I49"/>
    <mergeCell ref="H52:H53"/>
    <mergeCell ref="H50:H51"/>
    <mergeCell ref="H48:H49"/>
    <mergeCell ref="I54:I55"/>
    <mergeCell ref="I52:I53"/>
    <mergeCell ref="H64:H67"/>
    <mergeCell ref="H62:H63"/>
    <mergeCell ref="H60:H61"/>
    <mergeCell ref="H58:H59"/>
    <mergeCell ref="H56:H57"/>
    <mergeCell ref="H54:H55"/>
    <mergeCell ref="I64:I67"/>
    <mergeCell ref="I62:I63"/>
    <mergeCell ref="I60:I61"/>
    <mergeCell ref="I58:I59"/>
    <mergeCell ref="I56:I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opLeftCell="A70" zoomScaleNormal="100" workbookViewId="0">
      <selection activeCell="A48" sqref="A48"/>
    </sheetView>
  </sheetViews>
  <sheetFormatPr defaultRowHeight="14.25"/>
  <sheetData>
    <row r="1" spans="1:8" ht="15">
      <c r="A1" s="16" t="s">
        <v>205</v>
      </c>
    </row>
    <row r="3" spans="1:8" ht="15">
      <c r="B3" s="51" t="s">
        <v>207</v>
      </c>
      <c r="C3" s="51" t="s">
        <v>208</v>
      </c>
      <c r="D3" s="51" t="s">
        <v>209</v>
      </c>
      <c r="E3" s="51" t="s">
        <v>206</v>
      </c>
      <c r="F3" s="52"/>
      <c r="G3" s="14" t="s">
        <v>210</v>
      </c>
    </row>
    <row r="4" spans="1:8">
      <c r="B4" s="71">
        <v>1</v>
      </c>
      <c r="C4" s="71">
        <v>-0.99999999999999856</v>
      </c>
      <c r="D4" s="71">
        <v>-1</v>
      </c>
      <c r="E4" s="71">
        <v>177.66919999999999</v>
      </c>
      <c r="F4" s="52"/>
      <c r="G4" s="65">
        <v>-1</v>
      </c>
      <c r="H4">
        <f>AVERAGE(E6:E7,E10:E11,E14:E15,E18:E19)</f>
        <v>166.05938749999999</v>
      </c>
    </row>
    <row r="5" spans="1:8">
      <c r="B5" s="71">
        <v>1</v>
      </c>
      <c r="C5" s="71">
        <v>-0.99999999999999856</v>
      </c>
      <c r="D5" s="71">
        <v>-1</v>
      </c>
      <c r="E5" s="71">
        <v>182.143</v>
      </c>
      <c r="F5" s="52"/>
      <c r="G5" s="65">
        <v>1</v>
      </c>
      <c r="H5">
        <f>AVERAGE(E4:E5,E8:E9,E12:E13,E16:E17)</f>
        <v>183.51341250000002</v>
      </c>
    </row>
    <row r="6" spans="1:8" ht="15">
      <c r="B6" s="71">
        <v>-1</v>
      </c>
      <c r="C6" s="71">
        <v>1.0000000000000013</v>
      </c>
      <c r="D6" s="71">
        <v>1</v>
      </c>
      <c r="E6" s="71">
        <v>141.2878</v>
      </c>
      <c r="F6" s="52"/>
      <c r="G6" s="62" t="s">
        <v>213</v>
      </c>
      <c r="H6">
        <f>H5-H4</f>
        <v>17.45402500000003</v>
      </c>
    </row>
    <row r="7" spans="1:8">
      <c r="B7" s="71">
        <v>-1</v>
      </c>
      <c r="C7" s="71">
        <v>1.0000000000000013</v>
      </c>
      <c r="D7" s="71">
        <v>1</v>
      </c>
      <c r="E7" s="71">
        <v>145.7424</v>
      </c>
      <c r="F7" s="52"/>
      <c r="G7" s="11"/>
    </row>
    <row r="8" spans="1:8" ht="15">
      <c r="B8" s="71">
        <v>1</v>
      </c>
      <c r="C8" s="71">
        <v>1.0000000000000013</v>
      </c>
      <c r="D8" s="71">
        <v>-1</v>
      </c>
      <c r="E8" s="71">
        <v>268.84870000000001</v>
      </c>
      <c r="F8" s="52"/>
      <c r="G8" s="13" t="s">
        <v>211</v>
      </c>
    </row>
    <row r="9" spans="1:8">
      <c r="B9" s="71">
        <v>1</v>
      </c>
      <c r="C9" s="71">
        <v>1.0000000000000013</v>
      </c>
      <c r="D9" s="71">
        <v>-1</v>
      </c>
      <c r="E9" s="71">
        <v>271.76190000000003</v>
      </c>
      <c r="F9" s="52"/>
      <c r="G9" s="11">
        <v>-1</v>
      </c>
      <c r="H9">
        <f>AVERAGE(E4:E5,E10:E11,E12:E13,E18:E19)</f>
        <v>137.86324999999999</v>
      </c>
    </row>
    <row r="10" spans="1:8">
      <c r="B10" s="71">
        <v>-1</v>
      </c>
      <c r="C10" s="71">
        <v>-0.99999999999999856</v>
      </c>
      <c r="D10" s="71">
        <v>-1</v>
      </c>
      <c r="E10" s="71">
        <v>189.28829999999999</v>
      </c>
      <c r="F10" s="52"/>
      <c r="G10" s="11">
        <v>1</v>
      </c>
      <c r="H10">
        <f>AVERAGE(E6:E7,E8:E9,E14:E15,E16:E17)</f>
        <v>211.70954999999998</v>
      </c>
    </row>
    <row r="11" spans="1:8" ht="15">
      <c r="B11" s="71">
        <v>-1</v>
      </c>
      <c r="C11" s="71">
        <v>-0.99999999999999856</v>
      </c>
      <c r="D11" s="71">
        <v>-1</v>
      </c>
      <c r="E11" s="71">
        <v>183.14330000000001</v>
      </c>
      <c r="F11" s="52"/>
      <c r="G11" s="79" t="s">
        <v>214</v>
      </c>
      <c r="H11">
        <f>H10-H9</f>
        <v>73.846299999999985</v>
      </c>
    </row>
    <row r="12" spans="1:8">
      <c r="B12" s="71">
        <v>1</v>
      </c>
      <c r="C12" s="71">
        <v>-0.99999999999999856</v>
      </c>
      <c r="D12" s="71">
        <v>1</v>
      </c>
      <c r="E12" s="71">
        <v>100.1876</v>
      </c>
      <c r="F12" s="52"/>
      <c r="G12" s="11"/>
    </row>
    <row r="13" spans="1:8" ht="15">
      <c r="B13" s="71">
        <v>1</v>
      </c>
      <c r="C13" s="71">
        <v>-0.99999999999999856</v>
      </c>
      <c r="D13" s="71">
        <v>1</v>
      </c>
      <c r="E13" s="71">
        <v>109.3068</v>
      </c>
      <c r="F13" s="52"/>
      <c r="G13" s="13" t="s">
        <v>212</v>
      </c>
    </row>
    <row r="14" spans="1:8">
      <c r="B14" s="71">
        <v>-1</v>
      </c>
      <c r="C14" s="71">
        <v>1.0000000000000013</v>
      </c>
      <c r="D14" s="71">
        <v>-1</v>
      </c>
      <c r="E14" s="71">
        <v>259.6343</v>
      </c>
      <c r="F14" s="52"/>
      <c r="G14" s="11">
        <v>-1</v>
      </c>
      <c r="H14">
        <f>AVERAGE(E4:E5,E8:E9,E10:E11,E14:E15)</f>
        <v>222.58748749999998</v>
      </c>
    </row>
    <row r="15" spans="1:8">
      <c r="B15" s="71">
        <v>-1</v>
      </c>
      <c r="C15" s="71">
        <v>1.0000000000000013</v>
      </c>
      <c r="D15" s="71">
        <v>-1</v>
      </c>
      <c r="E15" s="71">
        <v>248.21119999999999</v>
      </c>
      <c r="F15" s="52"/>
      <c r="G15" s="11">
        <v>1</v>
      </c>
      <c r="H15">
        <f>AVERAGE(E6:E7,E12:E13,E16:E17,E18:E19)</f>
        <v>126.98531250000001</v>
      </c>
    </row>
    <row r="16" spans="1:8" ht="15">
      <c r="B16" s="71">
        <v>1</v>
      </c>
      <c r="C16" s="71">
        <v>1.0000000000000013</v>
      </c>
      <c r="D16" s="71">
        <v>1</v>
      </c>
      <c r="E16" s="71">
        <v>181.59819999999999</v>
      </c>
      <c r="F16" s="52"/>
      <c r="G16" s="79" t="s">
        <v>215</v>
      </c>
      <c r="H16">
        <f>H15-H14</f>
        <v>-95.602174999999974</v>
      </c>
    </row>
    <row r="17" spans="2:6">
      <c r="B17" s="71">
        <v>1</v>
      </c>
      <c r="C17" s="71">
        <v>1.0000000000000013</v>
      </c>
      <c r="D17" s="71">
        <v>1</v>
      </c>
      <c r="E17" s="71">
        <v>176.59190000000001</v>
      </c>
      <c r="F17" s="52"/>
    </row>
    <row r="18" spans="2:6">
      <c r="B18" s="71">
        <v>-1</v>
      </c>
      <c r="C18" s="71">
        <v>-0.99999999999999856</v>
      </c>
      <c r="D18" s="71">
        <v>1</v>
      </c>
      <c r="E18" s="71">
        <v>71.826899999999995</v>
      </c>
      <c r="F18" s="52"/>
    </row>
    <row r="19" spans="2:6">
      <c r="B19" s="71">
        <v>-1</v>
      </c>
      <c r="C19" s="71">
        <v>-0.99999999999999856</v>
      </c>
      <c r="D19" s="71">
        <v>1</v>
      </c>
      <c r="E19" s="71">
        <v>89.340900000000005</v>
      </c>
      <c r="F19" s="52"/>
    </row>
    <row r="20" spans="2:6">
      <c r="B20" s="71">
        <v>0</v>
      </c>
      <c r="C20" s="71">
        <v>0</v>
      </c>
      <c r="D20" s="71">
        <v>0</v>
      </c>
      <c r="E20" s="71">
        <v>175.0677</v>
      </c>
      <c r="F20" s="52"/>
    </row>
    <row r="21" spans="2:6">
      <c r="B21" s="71">
        <v>0</v>
      </c>
      <c r="C21" s="71">
        <v>0</v>
      </c>
      <c r="D21" s="71">
        <v>0</v>
      </c>
      <c r="E21" s="71">
        <v>165.96080000000001</v>
      </c>
      <c r="F21" s="52"/>
    </row>
    <row r="22" spans="2:6">
      <c r="B22" s="71">
        <v>0</v>
      </c>
      <c r="C22" s="71">
        <v>0</v>
      </c>
      <c r="D22" s="71">
        <v>0</v>
      </c>
      <c r="E22" s="71">
        <v>174.0453</v>
      </c>
      <c r="F22" s="52"/>
    </row>
    <row r="23" spans="2:6">
      <c r="B23" s="71">
        <v>0</v>
      </c>
      <c r="C23" s="71">
        <v>0</v>
      </c>
      <c r="D23" s="71">
        <v>0</v>
      </c>
      <c r="E23" s="71">
        <v>164.31030000000001</v>
      </c>
      <c r="F23" s="52"/>
    </row>
    <row r="27" spans="2:6" ht="15">
      <c r="C27" s="6"/>
      <c r="D27" s="6"/>
      <c r="E27" s="6"/>
    </row>
    <row r="41" spans="1:6" ht="15">
      <c r="C41" s="59" t="s">
        <v>216</v>
      </c>
      <c r="D41" s="6"/>
      <c r="E41" s="6"/>
      <c r="F41" s="6"/>
    </row>
    <row r="43" spans="1:6" ht="15">
      <c r="C43" s="59" t="s">
        <v>217</v>
      </c>
    </row>
    <row r="45" spans="1:6" ht="15">
      <c r="C45" s="59" t="s">
        <v>218</v>
      </c>
    </row>
    <row r="47" spans="1:6" ht="15">
      <c r="B47" s="6"/>
      <c r="C47" s="6"/>
      <c r="D47" s="6"/>
      <c r="E47" s="6"/>
    </row>
    <row r="48" spans="1:6" ht="15">
      <c r="A48" s="16" t="s">
        <v>219</v>
      </c>
    </row>
    <row r="50" spans="2:19" ht="15">
      <c r="B50" s="51" t="s">
        <v>207</v>
      </c>
      <c r="C50" s="51" t="s">
        <v>208</v>
      </c>
      <c r="D50" s="51" t="s">
        <v>209</v>
      </c>
      <c r="E50" s="51" t="s">
        <v>206</v>
      </c>
      <c r="H50" t="s">
        <v>222</v>
      </c>
    </row>
    <row r="51" spans="2:19">
      <c r="B51" s="71">
        <v>1</v>
      </c>
      <c r="C51" s="71">
        <v>-0.99999999999999856</v>
      </c>
      <c r="D51" s="71">
        <v>-1</v>
      </c>
      <c r="E51" s="71">
        <v>177.66919999999999</v>
      </c>
    </row>
    <row r="52" spans="2:19">
      <c r="B52" s="71">
        <v>1</v>
      </c>
      <c r="C52" s="71">
        <v>-0.99999999999999856</v>
      </c>
      <c r="D52" s="71">
        <v>-1</v>
      </c>
      <c r="E52" s="71">
        <v>182.143</v>
      </c>
      <c r="L52" s="103" t="s">
        <v>220</v>
      </c>
      <c r="M52" s="104"/>
    </row>
    <row r="53" spans="2:19">
      <c r="B53" s="71">
        <v>-1</v>
      </c>
      <c r="C53" s="71">
        <v>1.0000000000000013</v>
      </c>
      <c r="D53" s="71">
        <v>1</v>
      </c>
      <c r="E53" s="71">
        <v>141.2878</v>
      </c>
      <c r="L53" s="27">
        <v>30</v>
      </c>
      <c r="M53" s="27">
        <v>60</v>
      </c>
    </row>
    <row r="54" spans="2:19">
      <c r="B54" s="71">
        <v>-1</v>
      </c>
      <c r="C54" s="71">
        <v>1.0000000000000013</v>
      </c>
      <c r="D54" s="71">
        <v>1</v>
      </c>
      <c r="E54" s="71">
        <v>145.7424</v>
      </c>
      <c r="L54" s="27">
        <v>-1</v>
      </c>
      <c r="M54" s="27">
        <v>1</v>
      </c>
    </row>
    <row r="55" spans="2:19">
      <c r="B55" s="71">
        <v>1</v>
      </c>
      <c r="C55" s="71">
        <v>1.0000000000000013</v>
      </c>
      <c r="D55" s="71">
        <v>-1</v>
      </c>
      <c r="E55" s="71">
        <v>268.84870000000001</v>
      </c>
      <c r="I55" s="100" t="s">
        <v>221</v>
      </c>
      <c r="J55" s="27">
        <v>4.17</v>
      </c>
      <c r="K55" s="27">
        <v>-1</v>
      </c>
      <c r="L55" s="27">
        <f>AVERAGE(E57,E58,E65,E66)</f>
        <v>133.39985000000001</v>
      </c>
      <c r="M55" s="27">
        <f>AVERAGE(E51,E52,E59,E60)</f>
        <v>142.32664999999997</v>
      </c>
      <c r="N55" s="10">
        <f>AVERAGE(L55,M56)</f>
        <v>179.05001250000001</v>
      </c>
    </row>
    <row r="56" spans="2:19">
      <c r="B56" s="71">
        <v>1</v>
      </c>
      <c r="C56" s="71">
        <v>1.0000000000000013</v>
      </c>
      <c r="D56" s="71">
        <v>-1</v>
      </c>
      <c r="E56" s="71">
        <v>271.76190000000003</v>
      </c>
      <c r="I56" s="100"/>
      <c r="J56" s="27">
        <v>4.8</v>
      </c>
      <c r="K56" s="27">
        <v>1</v>
      </c>
      <c r="L56" s="27">
        <f>AVERAGE(E53,E54,E61,E62)</f>
        <v>198.71892500000001</v>
      </c>
      <c r="M56" s="27">
        <f>AVERAGE(E55,E56,E63,E64)</f>
        <v>224.700175</v>
      </c>
      <c r="N56" s="10">
        <f>AVERAGE(L56,M55)</f>
        <v>170.52278749999999</v>
      </c>
    </row>
    <row r="57" spans="2:19">
      <c r="B57" s="71">
        <v>-1</v>
      </c>
      <c r="C57" s="71">
        <v>-0.99999999999999856</v>
      </c>
      <c r="D57" s="71">
        <v>-1</v>
      </c>
      <c r="E57" s="71">
        <v>189.28829999999999</v>
      </c>
      <c r="M57" s="11" t="s">
        <v>227</v>
      </c>
      <c r="N57">
        <f>N55-N56</f>
        <v>8.5272250000000156</v>
      </c>
    </row>
    <row r="58" spans="2:19">
      <c r="B58" s="71">
        <v>-1</v>
      </c>
      <c r="C58" s="71">
        <v>-0.99999999999999856</v>
      </c>
      <c r="D58" s="71">
        <v>-1</v>
      </c>
      <c r="E58" s="71">
        <v>183.14330000000001</v>
      </c>
    </row>
    <row r="59" spans="2:19">
      <c r="B59" s="71">
        <v>1</v>
      </c>
      <c r="C59" s="71">
        <v>-0.99999999999999856</v>
      </c>
      <c r="D59" s="71">
        <v>1</v>
      </c>
      <c r="E59" s="71">
        <v>100.1876</v>
      </c>
      <c r="H59" t="s">
        <v>223</v>
      </c>
    </row>
    <row r="60" spans="2:19">
      <c r="B60" s="71">
        <v>1</v>
      </c>
      <c r="C60" s="71">
        <v>-0.99999999999999856</v>
      </c>
      <c r="D60" s="71">
        <v>1</v>
      </c>
      <c r="E60" s="71">
        <v>109.3068</v>
      </c>
    </row>
    <row r="61" spans="2:19">
      <c r="B61" s="71">
        <v>-1</v>
      </c>
      <c r="C61" s="71">
        <v>1.0000000000000013</v>
      </c>
      <c r="D61" s="71">
        <v>-1</v>
      </c>
      <c r="E61" s="71">
        <v>259.6343</v>
      </c>
      <c r="L61" s="103" t="s">
        <v>220</v>
      </c>
      <c r="M61" s="104"/>
    </row>
    <row r="62" spans="2:19">
      <c r="B62" s="71">
        <v>-1</v>
      </c>
      <c r="C62" s="71">
        <v>1.0000000000000013</v>
      </c>
      <c r="D62" s="71">
        <v>-1</v>
      </c>
      <c r="E62" s="71">
        <v>248.21119999999999</v>
      </c>
      <c r="L62" s="27">
        <v>30</v>
      </c>
      <c r="M62" s="27">
        <v>60</v>
      </c>
    </row>
    <row r="63" spans="2:19">
      <c r="B63" s="71">
        <v>1</v>
      </c>
      <c r="C63" s="71">
        <v>1.0000000000000013</v>
      </c>
      <c r="D63" s="71">
        <v>1</v>
      </c>
      <c r="E63" s="71">
        <v>181.59819999999999</v>
      </c>
      <c r="L63" s="27">
        <v>-1</v>
      </c>
      <c r="M63" s="27">
        <v>1</v>
      </c>
    </row>
    <row r="64" spans="2:19" ht="15">
      <c r="B64" s="71">
        <v>1</v>
      </c>
      <c r="C64" s="71">
        <v>1.0000000000000013</v>
      </c>
      <c r="D64" s="71">
        <v>1</v>
      </c>
      <c r="E64" s="71">
        <v>176.59190000000001</v>
      </c>
      <c r="I64" s="98" t="s">
        <v>152</v>
      </c>
      <c r="J64" s="27">
        <v>6</v>
      </c>
      <c r="K64" s="27">
        <v>-1</v>
      </c>
      <c r="L64" s="27">
        <f>AVERAGE(E57,E58,E61,E62)</f>
        <v>220.069275</v>
      </c>
      <c r="M64" s="27">
        <f>AVERAGE(E51,E52,E55,E56)</f>
        <v>225.10570000000001</v>
      </c>
      <c r="N64" s="10">
        <f>AVERAGE(L64,M65)</f>
        <v>180.99520000000001</v>
      </c>
      <c r="S64" s="14" t="s">
        <v>228</v>
      </c>
    </row>
    <row r="65" spans="2:20" ht="15">
      <c r="B65" s="71">
        <v>-1</v>
      </c>
      <c r="C65" s="71">
        <v>-0.99999999999999856</v>
      </c>
      <c r="D65" s="71">
        <v>1</v>
      </c>
      <c r="E65" s="71">
        <v>71.826899999999995</v>
      </c>
      <c r="I65" s="99"/>
      <c r="J65" s="27">
        <v>18</v>
      </c>
      <c r="K65" s="27">
        <v>1</v>
      </c>
      <c r="L65" s="27">
        <f>AVERAGE(E53,E54,E65,E66)</f>
        <v>112.04950000000002</v>
      </c>
      <c r="M65" s="27">
        <f>AVERAGE(E59,E60,E63,E64)</f>
        <v>141.92112499999999</v>
      </c>
      <c r="N65" s="10">
        <f>AVERAGE(L65,M64)</f>
        <v>168.57760000000002</v>
      </c>
      <c r="S65" s="14" t="s">
        <v>229</v>
      </c>
    </row>
    <row r="66" spans="2:20">
      <c r="B66" s="71">
        <v>-1</v>
      </c>
      <c r="C66" s="71">
        <v>-0.99999999999999856</v>
      </c>
      <c r="D66" s="71">
        <v>1</v>
      </c>
      <c r="E66" s="71">
        <v>89.340900000000005</v>
      </c>
      <c r="M66" s="11" t="s">
        <v>226</v>
      </c>
      <c r="N66">
        <f>N64-N65</f>
        <v>12.417599999999993</v>
      </c>
    </row>
    <row r="67" spans="2:20">
      <c r="B67" s="71">
        <v>0</v>
      </c>
      <c r="C67" s="71">
        <v>0</v>
      </c>
      <c r="D67" s="71">
        <v>0</v>
      </c>
      <c r="E67" s="71">
        <v>175.0677</v>
      </c>
    </row>
    <row r="68" spans="2:20">
      <c r="B68" s="71">
        <v>0</v>
      </c>
      <c r="C68" s="71">
        <v>0</v>
      </c>
      <c r="D68" s="71">
        <v>0</v>
      </c>
      <c r="E68" s="71">
        <v>165.96080000000001</v>
      </c>
      <c r="H68" t="s">
        <v>224</v>
      </c>
    </row>
    <row r="69" spans="2:20">
      <c r="B69" s="71">
        <v>0</v>
      </c>
      <c r="C69" s="71">
        <v>0</v>
      </c>
      <c r="D69" s="71">
        <v>0</v>
      </c>
      <c r="E69" s="71">
        <v>174.0453</v>
      </c>
    </row>
    <row r="70" spans="2:20">
      <c r="B70" s="71">
        <v>0</v>
      </c>
      <c r="C70" s="71">
        <v>0</v>
      </c>
      <c r="D70" s="71">
        <v>0</v>
      </c>
      <c r="E70" s="71">
        <v>164.31030000000001</v>
      </c>
      <c r="L70" s="100" t="s">
        <v>221</v>
      </c>
      <c r="M70" s="100"/>
    </row>
    <row r="71" spans="2:20" ht="15">
      <c r="L71" s="27">
        <v>4.17</v>
      </c>
      <c r="M71" s="27">
        <v>4.8</v>
      </c>
      <c r="R71" s="6"/>
      <c r="S71" s="6"/>
      <c r="T71" s="6"/>
    </row>
    <row r="72" spans="2:20">
      <c r="L72" s="27">
        <v>-1</v>
      </c>
      <c r="M72" s="27">
        <v>1</v>
      </c>
      <c r="R72" s="7"/>
      <c r="S72" s="7"/>
      <c r="T72" s="7"/>
    </row>
    <row r="73" spans="2:20">
      <c r="I73" s="100" t="s">
        <v>152</v>
      </c>
      <c r="J73" s="27">
        <v>6</v>
      </c>
      <c r="K73" s="27">
        <v>-1</v>
      </c>
      <c r="L73" s="27">
        <f>AVERAGE(E51,E52,E57,E58)</f>
        <v>183.06094999999999</v>
      </c>
      <c r="M73" s="27">
        <f>AVERAGE(E55,E56,E61,E62)</f>
        <v>262.11402499999997</v>
      </c>
      <c r="N73" s="10">
        <f>AVERAGE(L73,M74)</f>
        <v>172.18301250000002</v>
      </c>
      <c r="R73" s="7"/>
      <c r="S73" s="7"/>
      <c r="T73" s="7"/>
    </row>
    <row r="74" spans="2:20">
      <c r="I74" s="100"/>
      <c r="J74" s="27">
        <v>18</v>
      </c>
      <c r="K74" s="27">
        <v>1</v>
      </c>
      <c r="L74" s="27">
        <f>AVERAGE(E59,E60,E65,E66)</f>
        <v>92.665549999999996</v>
      </c>
      <c r="M74" s="27">
        <f>AVERAGE(E53,E54,E63,E64)</f>
        <v>161.30507500000002</v>
      </c>
      <c r="N74" s="10">
        <f>AVERAGE(L74,M73)</f>
        <v>177.38978749999998</v>
      </c>
      <c r="R74" s="7"/>
      <c r="S74" s="7"/>
      <c r="T74" s="7"/>
    </row>
    <row r="75" spans="2:20">
      <c r="M75" s="11" t="s">
        <v>225</v>
      </c>
      <c r="N75">
        <f>N73-N74</f>
        <v>-5.2067749999999648</v>
      </c>
      <c r="R75" s="7"/>
      <c r="S75" s="7"/>
      <c r="T75" s="7"/>
    </row>
    <row r="76" spans="2:20">
      <c r="R76" s="7"/>
      <c r="S76" s="7"/>
      <c r="T76" s="7"/>
    </row>
    <row r="77" spans="2:20" ht="15">
      <c r="B77" s="6"/>
      <c r="C77" s="6"/>
      <c r="D77" s="6"/>
      <c r="E77" s="6"/>
      <c r="R77" s="7"/>
      <c r="S77" s="7"/>
      <c r="T77" s="7"/>
    </row>
    <row r="78" spans="2:20">
      <c r="R78" s="7"/>
      <c r="S78" s="7"/>
      <c r="T78" s="7"/>
    </row>
    <row r="79" spans="2:20">
      <c r="R79" s="7"/>
      <c r="S79" s="7"/>
      <c r="T79" s="7"/>
    </row>
    <row r="80" spans="2:20">
      <c r="R80" s="7"/>
      <c r="S80" s="7"/>
      <c r="T80" s="7"/>
    </row>
    <row r="81" spans="3:20">
      <c r="R81" s="7"/>
      <c r="S81" s="7"/>
      <c r="T81" s="7"/>
    </row>
    <row r="82" spans="3:20">
      <c r="R82" s="7"/>
      <c r="S82" s="7"/>
      <c r="T82" s="7"/>
    </row>
    <row r="83" spans="3:20">
      <c r="R83" s="7"/>
      <c r="S83" s="7"/>
      <c r="T83" s="7"/>
    </row>
    <row r="84" spans="3:20" ht="15">
      <c r="R84" s="14" t="s">
        <v>230</v>
      </c>
      <c r="T84" s="7"/>
    </row>
    <row r="85" spans="3:20" ht="15">
      <c r="R85" s="80" t="s">
        <v>231</v>
      </c>
      <c r="T85" s="7"/>
    </row>
    <row r="86" spans="3:20">
      <c r="R86" s="7"/>
      <c r="S86" s="7"/>
      <c r="T86" s="7"/>
    </row>
    <row r="87" spans="3:20">
      <c r="R87" s="7"/>
      <c r="S87" s="7"/>
      <c r="T87" s="7"/>
    </row>
    <row r="94" spans="3:20" ht="15">
      <c r="C94" s="14" t="s">
        <v>232</v>
      </c>
    </row>
  </sheetData>
  <autoFilter ref="B50:E70"/>
  <mergeCells count="6">
    <mergeCell ref="L61:M61"/>
    <mergeCell ref="L70:M70"/>
    <mergeCell ref="I73:I74"/>
    <mergeCell ref="I55:I56"/>
    <mergeCell ref="L52:M52"/>
    <mergeCell ref="I64:I6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topLeftCell="A76" zoomScale="70" zoomScaleNormal="70" workbookViewId="0">
      <selection activeCell="V79" sqref="V79"/>
    </sheetView>
  </sheetViews>
  <sheetFormatPr defaultRowHeight="14.25"/>
  <cols>
    <col min="4" max="4" width="13.375" customWidth="1"/>
    <col min="6" max="6" width="11.25" customWidth="1"/>
    <col min="7" max="7" width="12.125" customWidth="1"/>
    <col min="8" max="8" width="11.625" customWidth="1"/>
    <col min="9" max="9" width="6.125" customWidth="1"/>
    <col min="10" max="10" width="13.375" customWidth="1"/>
    <col min="11" max="11" width="11.125" customWidth="1"/>
    <col min="13" max="13" width="8.625" customWidth="1"/>
    <col min="15" max="15" width="13.375" customWidth="1"/>
  </cols>
  <sheetData>
    <row r="1" spans="1:19" ht="15">
      <c r="A1" s="16" t="s">
        <v>233</v>
      </c>
    </row>
    <row r="3" spans="1:19" ht="15">
      <c r="B3" t="s">
        <v>69</v>
      </c>
      <c r="C3">
        <v>173.79832499999995</v>
      </c>
      <c r="G3" s="62" t="s">
        <v>235</v>
      </c>
      <c r="H3" s="63">
        <f>C3</f>
        <v>173.79832499999995</v>
      </c>
      <c r="I3" s="63" t="s">
        <v>86</v>
      </c>
      <c r="J3" s="63">
        <f>C4</f>
        <v>8.7270124999999883</v>
      </c>
      <c r="K3" s="63" t="s">
        <v>87</v>
      </c>
      <c r="L3" s="63">
        <f>C5</f>
        <v>36.923150000000021</v>
      </c>
      <c r="M3" s="63" t="s">
        <v>88</v>
      </c>
      <c r="N3" s="63">
        <f>C6</f>
        <v>-47.801087500000001</v>
      </c>
      <c r="O3" s="63" t="s">
        <v>89</v>
      </c>
      <c r="P3" s="63">
        <f>C7</f>
        <v>4.2636125000000051</v>
      </c>
      <c r="Q3" s="63" t="s">
        <v>90</v>
      </c>
      <c r="R3" s="63">
        <f>C8</f>
        <v>6.208800000000001</v>
      </c>
      <c r="S3" s="14" t="s">
        <v>91</v>
      </c>
    </row>
    <row r="4" spans="1:19">
      <c r="B4" t="s">
        <v>30</v>
      </c>
      <c r="C4">
        <v>8.7270124999999883</v>
      </c>
    </row>
    <row r="5" spans="1:19">
      <c r="B5" t="s">
        <v>31</v>
      </c>
      <c r="C5">
        <v>36.923150000000021</v>
      </c>
      <c r="G5" s="81" t="s">
        <v>236</v>
      </c>
      <c r="H5">
        <f>(50-45)/15</f>
        <v>0.33333333333333331</v>
      </c>
      <c r="K5" t="s">
        <v>69</v>
      </c>
      <c r="L5">
        <v>173.79832499999995</v>
      </c>
      <c r="M5">
        <v>1</v>
      </c>
    </row>
    <row r="6" spans="1:19">
      <c r="B6" t="s">
        <v>32</v>
      </c>
      <c r="C6">
        <v>-47.801087500000001</v>
      </c>
      <c r="G6" s="81" t="s">
        <v>237</v>
      </c>
      <c r="H6">
        <f>(4.6-4.485)/0.315</f>
        <v>0.36507936507936295</v>
      </c>
      <c r="K6" t="s">
        <v>30</v>
      </c>
      <c r="L6">
        <v>8.7270124999999883</v>
      </c>
      <c r="M6">
        <f>H5</f>
        <v>0.33333333333333331</v>
      </c>
    </row>
    <row r="7" spans="1:19">
      <c r="B7" t="s">
        <v>43</v>
      </c>
      <c r="C7">
        <v>4.2636125000000051</v>
      </c>
      <c r="G7" s="81" t="s">
        <v>238</v>
      </c>
      <c r="H7">
        <f>(8-12)/6</f>
        <v>-0.66666666666666663</v>
      </c>
      <c r="K7" t="s">
        <v>31</v>
      </c>
      <c r="L7">
        <v>36.923150000000021</v>
      </c>
      <c r="M7">
        <f t="shared" ref="M7:M8" si="0">H6</f>
        <v>0.36507936507936295</v>
      </c>
    </row>
    <row r="8" spans="1:19" ht="15.75" thickBot="1">
      <c r="B8" s="44" t="s">
        <v>44</v>
      </c>
      <c r="C8" s="44">
        <v>6.208800000000001</v>
      </c>
      <c r="E8" s="81"/>
      <c r="G8" s="81" t="s">
        <v>239</v>
      </c>
      <c r="H8" s="83">
        <f>H3+J3*H5+L3*H6+N3*H7+P3*H5*H6+R3*H5*H7</f>
        <v>221.19371997354486</v>
      </c>
      <c r="K8" t="s">
        <v>32</v>
      </c>
      <c r="L8">
        <v>-47.801087500000001</v>
      </c>
      <c r="M8">
        <f t="shared" si="0"/>
        <v>-0.66666666666666663</v>
      </c>
    </row>
    <row r="9" spans="1:19">
      <c r="E9" s="76"/>
      <c r="K9" t="s">
        <v>43</v>
      </c>
      <c r="L9">
        <v>4.2636125000000051</v>
      </c>
      <c r="M9">
        <f>M6*M7</f>
        <v>0.12169312169312098</v>
      </c>
    </row>
    <row r="10" spans="1:19" ht="15" thickBot="1">
      <c r="K10" s="44" t="s">
        <v>44</v>
      </c>
      <c r="L10" s="44">
        <v>6.208800000000001</v>
      </c>
      <c r="M10">
        <f>M6*M8</f>
        <v>-0.22222222222222221</v>
      </c>
    </row>
    <row r="11" spans="1:19" ht="15">
      <c r="A11" s="12"/>
      <c r="B11" s="12"/>
      <c r="D11" s="12"/>
      <c r="E11" s="12"/>
      <c r="F11" s="12"/>
      <c r="G11" s="12"/>
      <c r="H11" s="12"/>
      <c r="I11" s="12"/>
      <c r="J11" s="12"/>
      <c r="K11" s="12"/>
      <c r="L11" s="12"/>
      <c r="M11" s="82">
        <f>SUMPRODUCT(L5:L10,M5:M10)</f>
        <v>221.19371997354486</v>
      </c>
      <c r="N11" s="12"/>
    </row>
    <row r="12" spans="1:19">
      <c r="A12" s="12"/>
      <c r="B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9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9" ht="15">
      <c r="B14" s="6"/>
      <c r="C14" s="62" t="s">
        <v>85</v>
      </c>
      <c r="D14" s="63">
        <f>H3+J3*(-45/15)+L3*(-4.485/0.315)+N3*(-12/6)+P3*(-45/15)*(-4.485/0.315)+R3*(-45/15)*(-12/6)</f>
        <v>-63.125901190476299</v>
      </c>
      <c r="E14" s="63" t="s">
        <v>86</v>
      </c>
      <c r="F14" s="63">
        <f>J3/15+P3/15*(-4.485/0.315)+R3/15*(-12/6)</f>
        <v>-4.293087222222228</v>
      </c>
      <c r="G14" s="63" t="s">
        <v>97</v>
      </c>
      <c r="H14" s="63">
        <f>L3/0.315+P3/0.315*(-45/15)</f>
        <v>76.610515873015885</v>
      </c>
      <c r="I14" s="63" t="s">
        <v>98</v>
      </c>
      <c r="J14" s="63">
        <f>N3/6+R3/6*(-45/15)</f>
        <v>-11.071247916666668</v>
      </c>
      <c r="K14" s="63" t="s">
        <v>99</v>
      </c>
      <c r="L14" s="63">
        <f>P3/(15*0.315)</f>
        <v>0.90235185185185296</v>
      </c>
      <c r="M14" s="63" t="s">
        <v>100</v>
      </c>
      <c r="N14" s="63">
        <f>R3/(15*6)</f>
        <v>6.8986666666666682E-2</v>
      </c>
      <c r="O14" s="14" t="s">
        <v>234</v>
      </c>
    </row>
    <row r="15" spans="1:19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P15" s="9"/>
    </row>
    <row r="16" spans="1:19" ht="15">
      <c r="C16" s="62" t="s">
        <v>240</v>
      </c>
      <c r="D16" s="82">
        <f>D14+F14*50+H14*4.6+J14*8+L14*M21+N14*M22</f>
        <v>221.19371997354486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8">
      <c r="F17" s="12"/>
      <c r="G17" s="12"/>
      <c r="H17" s="12"/>
      <c r="I17" s="12"/>
      <c r="J17" s="12"/>
      <c r="K17" s="12"/>
      <c r="L17">
        <f>D14</f>
        <v>-63.125901190476299</v>
      </c>
      <c r="M17">
        <v>1</v>
      </c>
      <c r="N17" s="12"/>
    </row>
    <row r="18" spans="1:18">
      <c r="F18" s="12"/>
      <c r="G18" s="12"/>
      <c r="H18" s="12"/>
      <c r="I18" s="12"/>
      <c r="J18" s="12"/>
      <c r="K18" s="12"/>
      <c r="L18">
        <f>F14</f>
        <v>-4.293087222222228</v>
      </c>
      <c r="M18">
        <v>50</v>
      </c>
      <c r="N18" s="12"/>
    </row>
    <row r="19" spans="1:18">
      <c r="L19">
        <f>H14</f>
        <v>76.610515873015885</v>
      </c>
      <c r="M19">
        <v>4.5999999999999996</v>
      </c>
    </row>
    <row r="20" spans="1:18">
      <c r="L20">
        <f>J14</f>
        <v>-11.071247916666668</v>
      </c>
      <c r="M20">
        <v>8</v>
      </c>
    </row>
    <row r="21" spans="1:18">
      <c r="L21">
        <f>L14</f>
        <v>0.90235185185185296</v>
      </c>
      <c r="M21">
        <f>M18*M19</f>
        <v>229.99999999999997</v>
      </c>
    </row>
    <row r="22" spans="1:18">
      <c r="L22">
        <f>N14</f>
        <v>6.8986666666666682E-2</v>
      </c>
      <c r="M22">
        <f>M18*M20</f>
        <v>400</v>
      </c>
    </row>
    <row r="23" spans="1:18" ht="15">
      <c r="M23" s="83">
        <f>SUMPRODUCT(L17:L22,M17:M22)</f>
        <v>221.19371997354486</v>
      </c>
    </row>
    <row r="25" spans="1:18" ht="15">
      <c r="A25" s="16" t="s">
        <v>241</v>
      </c>
    </row>
    <row r="27" spans="1:18">
      <c r="B27" t="s">
        <v>242</v>
      </c>
      <c r="G27" t="s">
        <v>243</v>
      </c>
      <c r="L27" t="s">
        <v>245</v>
      </c>
    </row>
    <row r="28" spans="1:18" ht="15">
      <c r="B28" s="5" t="s">
        <v>24</v>
      </c>
      <c r="C28" s="5" t="s">
        <v>25</v>
      </c>
      <c r="D28" s="5" t="s">
        <v>26</v>
      </c>
      <c r="E28" s="5" t="s">
        <v>247</v>
      </c>
      <c r="G28" s="5" t="s">
        <v>24</v>
      </c>
      <c r="H28" s="5" t="s">
        <v>25</v>
      </c>
      <c r="I28" s="5" t="s">
        <v>26</v>
      </c>
      <c r="J28" s="51" t="s">
        <v>244</v>
      </c>
      <c r="L28" s="5" t="s">
        <v>30</v>
      </c>
      <c r="M28" s="5" t="s">
        <v>31</v>
      </c>
      <c r="N28" s="5" t="s">
        <v>32</v>
      </c>
      <c r="O28" s="51" t="s">
        <v>244</v>
      </c>
      <c r="Q28" t="s">
        <v>58</v>
      </c>
    </row>
    <row r="29" spans="1:18" ht="15" thickBot="1">
      <c r="B29" s="3">
        <v>52</v>
      </c>
      <c r="C29" s="3">
        <v>4.67</v>
      </c>
      <c r="D29" s="3">
        <v>14.2</v>
      </c>
      <c r="E29" s="3">
        <v>186.92439999999999</v>
      </c>
      <c r="G29" s="3">
        <v>52</v>
      </c>
      <c r="H29" s="3">
        <v>4.67</v>
      </c>
      <c r="I29" s="3">
        <v>14.2</v>
      </c>
      <c r="J29" s="26">
        <f>$D$14+$F$14*G29+$H$14*H29+$J$14*I29+$L$14*G29*H29+$N$14*G29*I29</f>
        <v>184.25983033465602</v>
      </c>
      <c r="L29" s="27">
        <f>(G29-45)/15</f>
        <v>0.46666666666666667</v>
      </c>
      <c r="M29" s="27">
        <f>(H29-4.485)/0.315</f>
        <v>0.5873015873015861</v>
      </c>
      <c r="N29" s="27">
        <f>(I29-12)/6</f>
        <v>0.36666666666666653</v>
      </c>
      <c r="O29" s="27">
        <f>$H$3+$J$3*L29+$L$3*M29+$N$3*N29+$P$3*L29*M29+$R$3*L29*N29</f>
        <v>184.25983033465604</v>
      </c>
    </row>
    <row r="30" spans="1:18">
      <c r="B30" s="3">
        <v>37</v>
      </c>
      <c r="C30" s="3">
        <v>4.18</v>
      </c>
      <c r="D30" s="3">
        <v>7.6</v>
      </c>
      <c r="E30" s="3">
        <v>164.0813</v>
      </c>
      <c r="G30" s="3">
        <v>37</v>
      </c>
      <c r="H30" s="3">
        <v>4.18</v>
      </c>
      <c r="I30" s="3">
        <v>7.6</v>
      </c>
      <c r="J30" s="26">
        <f t="shared" ref="J30:J43" si="1">$D$14+$F$14*G30+$H$14*H30+$J$14*I30+$L$14*G30*H30+$N$14*G30*I30</f>
        <v>173.07713184391523</v>
      </c>
      <c r="L30" s="27">
        <f t="shared" ref="L30:L43" si="2">(G30-45)/15</f>
        <v>-0.53333333333333333</v>
      </c>
      <c r="M30" s="27">
        <f t="shared" ref="M30:M43" si="3">(H30-4.485)/0.315</f>
        <v>-0.96825396825397014</v>
      </c>
      <c r="N30" s="27">
        <f t="shared" ref="N30:N43" si="4">(I30-12)/6</f>
        <v>-0.73333333333333339</v>
      </c>
      <c r="O30" s="27">
        <f t="shared" ref="O30:O43" si="5">$H$3+$J$3*L30+$L$3*M30+$N$3*N30+$P$3*L30*M30+$R$3*L30*N30</f>
        <v>173.07713184391523</v>
      </c>
      <c r="Q30" s="46" t="s">
        <v>59</v>
      </c>
      <c r="R30" s="46"/>
    </row>
    <row r="31" spans="1:18">
      <c r="B31" s="3">
        <v>59</v>
      </c>
      <c r="C31" s="3">
        <v>4.42</v>
      </c>
      <c r="D31" s="3">
        <v>16.399999999999999</v>
      </c>
      <c r="E31" s="3">
        <v>151.8775</v>
      </c>
      <c r="G31" s="3">
        <v>59</v>
      </c>
      <c r="H31" s="3">
        <v>4.42</v>
      </c>
      <c r="I31" s="3">
        <v>16.399999999999999</v>
      </c>
      <c r="J31" s="26">
        <f t="shared" si="1"/>
        <v>142.69878161640202</v>
      </c>
      <c r="L31" s="27">
        <f t="shared" si="2"/>
        <v>0.93333333333333335</v>
      </c>
      <c r="M31" s="27">
        <f t="shared" si="3"/>
        <v>-0.20634920634920759</v>
      </c>
      <c r="N31" s="27">
        <f t="shared" si="4"/>
        <v>0.73333333333333306</v>
      </c>
      <c r="O31" s="27">
        <f t="shared" si="5"/>
        <v>142.69878161640202</v>
      </c>
      <c r="Q31" t="s">
        <v>60</v>
      </c>
      <c r="R31">
        <v>0.95234271711638674</v>
      </c>
    </row>
    <row r="32" spans="1:18">
      <c r="B32" s="3">
        <v>31</v>
      </c>
      <c r="C32" s="3">
        <v>4.53</v>
      </c>
      <c r="D32" s="3">
        <v>9.4</v>
      </c>
      <c r="E32" s="3">
        <v>181.5547</v>
      </c>
      <c r="G32" s="3">
        <v>31</v>
      </c>
      <c r="H32" s="3">
        <v>4.53</v>
      </c>
      <c r="I32" s="3">
        <v>9.4</v>
      </c>
      <c r="J32" s="26">
        <f t="shared" si="1"/>
        <v>193.58428663095233</v>
      </c>
      <c r="L32" s="27">
        <f t="shared" si="2"/>
        <v>-0.93333333333333335</v>
      </c>
      <c r="M32" s="27">
        <f t="shared" si="3"/>
        <v>0.14285714285714263</v>
      </c>
      <c r="N32" s="27">
        <f t="shared" si="4"/>
        <v>-0.43333333333333329</v>
      </c>
      <c r="O32" s="27">
        <f t="shared" si="5"/>
        <v>193.58428663095233</v>
      </c>
      <c r="Q32" t="s">
        <v>61</v>
      </c>
      <c r="R32">
        <v>0.90695665084462218</v>
      </c>
    </row>
    <row r="33" spans="2:25">
      <c r="B33" s="3">
        <v>48</v>
      </c>
      <c r="C33" s="3">
        <v>4.29</v>
      </c>
      <c r="D33" s="3">
        <v>6.8</v>
      </c>
      <c r="E33" s="3">
        <v>199.1593</v>
      </c>
      <c r="G33" s="3">
        <v>48</v>
      </c>
      <c r="H33" s="3">
        <v>4.29</v>
      </c>
      <c r="I33" s="3">
        <v>6.8</v>
      </c>
      <c r="J33" s="26">
        <f t="shared" si="1"/>
        <v>192.5100807380951</v>
      </c>
      <c r="L33" s="27">
        <f t="shared" si="2"/>
        <v>0.2</v>
      </c>
      <c r="M33" s="27">
        <f t="shared" si="3"/>
        <v>-0.61904761904761996</v>
      </c>
      <c r="N33" s="27">
        <f t="shared" si="4"/>
        <v>-0.8666666666666667</v>
      </c>
      <c r="O33" s="27">
        <f t="shared" si="5"/>
        <v>192.51008073809516</v>
      </c>
      <c r="Q33" t="s">
        <v>62</v>
      </c>
      <c r="R33">
        <v>0.89979947014036243</v>
      </c>
    </row>
    <row r="34" spans="2:25">
      <c r="B34" s="3">
        <v>34</v>
      </c>
      <c r="C34" s="3">
        <v>4.72</v>
      </c>
      <c r="D34" s="3">
        <v>12.4</v>
      </c>
      <c r="E34" s="3">
        <v>192.5453</v>
      </c>
      <c r="G34" s="3">
        <v>34</v>
      </c>
      <c r="H34" s="3">
        <v>4.72</v>
      </c>
      <c r="I34" s="3">
        <v>12.4</v>
      </c>
      <c r="J34" s="26">
        <f t="shared" si="1"/>
        <v>189.12149785978826</v>
      </c>
      <c r="L34" s="27">
        <f t="shared" si="2"/>
        <v>-0.73333333333333328</v>
      </c>
      <c r="M34" s="27">
        <f t="shared" si="3"/>
        <v>0.74603174603174427</v>
      </c>
      <c r="N34" s="27">
        <f t="shared" si="4"/>
        <v>6.6666666666666721E-2</v>
      </c>
      <c r="O34" s="27">
        <f t="shared" si="5"/>
        <v>189.12149785978824</v>
      </c>
      <c r="Q34" t="s">
        <v>63</v>
      </c>
      <c r="R34">
        <v>10.286140800980437</v>
      </c>
    </row>
    <row r="35" spans="2:25" ht="15" thickBot="1">
      <c r="B35" s="3">
        <v>56</v>
      </c>
      <c r="C35" s="3">
        <v>4.3499999999999996</v>
      </c>
      <c r="D35" s="3">
        <v>17.600000000000001</v>
      </c>
      <c r="E35" s="3">
        <v>127.0318</v>
      </c>
      <c r="G35" s="3">
        <v>56</v>
      </c>
      <c r="H35" s="3">
        <v>4.3499999999999996</v>
      </c>
      <c r="I35" s="3">
        <v>17.600000000000001</v>
      </c>
      <c r="J35" s="26">
        <f t="shared" si="1"/>
        <v>122.66916485714276</v>
      </c>
      <c r="L35" s="27">
        <f t="shared" si="2"/>
        <v>0.73333333333333328</v>
      </c>
      <c r="M35" s="27">
        <f t="shared" si="3"/>
        <v>-0.42857142857143071</v>
      </c>
      <c r="N35" s="27">
        <f t="shared" si="4"/>
        <v>0.93333333333333357</v>
      </c>
      <c r="O35" s="27">
        <f t="shared" si="5"/>
        <v>122.6691648571427</v>
      </c>
      <c r="Q35" s="44" t="s">
        <v>64</v>
      </c>
      <c r="R35" s="44">
        <v>15</v>
      </c>
    </row>
    <row r="36" spans="2:25">
      <c r="B36" s="3">
        <v>41</v>
      </c>
      <c r="C36" s="3">
        <v>4.1900000000000004</v>
      </c>
      <c r="D36" s="3">
        <v>8.9</v>
      </c>
      <c r="E36" s="3">
        <v>173.69479999999999</v>
      </c>
      <c r="G36" s="3">
        <v>41</v>
      </c>
      <c r="H36" s="3">
        <v>4.1900000000000004</v>
      </c>
      <c r="I36" s="3">
        <v>8.9</v>
      </c>
      <c r="J36" s="26">
        <f t="shared" si="1"/>
        <v>163.50973704431212</v>
      </c>
      <c r="L36" s="27">
        <f t="shared" si="2"/>
        <v>-0.26666666666666666</v>
      </c>
      <c r="M36" s="27">
        <f t="shared" si="3"/>
        <v>-0.93650793650793629</v>
      </c>
      <c r="N36" s="27">
        <f t="shared" si="4"/>
        <v>-0.51666666666666661</v>
      </c>
      <c r="O36" s="27">
        <f t="shared" si="5"/>
        <v>163.50973704431212</v>
      </c>
    </row>
    <row r="37" spans="2:25" ht="15" thickBot="1">
      <c r="B37" s="3">
        <v>53</v>
      </c>
      <c r="C37" s="3">
        <v>4.6100000000000003</v>
      </c>
      <c r="D37" s="3">
        <v>15.2</v>
      </c>
      <c r="E37" s="3">
        <v>159.8237</v>
      </c>
      <c r="G37" s="3">
        <v>53</v>
      </c>
      <c r="H37" s="3">
        <v>4.6100000000000003</v>
      </c>
      <c r="I37" s="3">
        <v>15.2</v>
      </c>
      <c r="J37" s="26">
        <f t="shared" si="1"/>
        <v>170.27927250264551</v>
      </c>
      <c r="L37" s="27">
        <f t="shared" si="2"/>
        <v>0.53333333333333333</v>
      </c>
      <c r="M37" s="27">
        <f t="shared" si="3"/>
        <v>0.3968253968253968</v>
      </c>
      <c r="N37" s="27">
        <f t="shared" si="4"/>
        <v>0.53333333333333321</v>
      </c>
      <c r="O37" s="27">
        <f t="shared" si="5"/>
        <v>170.27927250264548</v>
      </c>
      <c r="Q37" t="s">
        <v>65</v>
      </c>
    </row>
    <row r="38" spans="2:25">
      <c r="B38" s="3">
        <v>36</v>
      </c>
      <c r="C38" s="3">
        <v>4.24</v>
      </c>
      <c r="D38" s="3">
        <v>10.8</v>
      </c>
      <c r="E38" s="3">
        <v>144.44569999999999</v>
      </c>
      <c r="G38" s="3">
        <v>36</v>
      </c>
      <c r="H38" s="3">
        <v>4.24</v>
      </c>
      <c r="I38" s="3">
        <v>10.8</v>
      </c>
      <c r="J38" s="26">
        <f t="shared" si="1"/>
        <v>152.1390712777777</v>
      </c>
      <c r="L38" s="27">
        <f t="shared" si="2"/>
        <v>-0.6</v>
      </c>
      <c r="M38" s="27">
        <f t="shared" si="3"/>
        <v>-0.77777777777777812</v>
      </c>
      <c r="N38" s="27">
        <f t="shared" si="4"/>
        <v>-0.19999999999999987</v>
      </c>
      <c r="O38" s="27">
        <f t="shared" si="5"/>
        <v>152.1390712777777</v>
      </c>
      <c r="Q38" s="45"/>
      <c r="R38" s="45" t="s">
        <v>70</v>
      </c>
      <c r="S38" s="45" t="s">
        <v>71</v>
      </c>
      <c r="T38" s="45" t="s">
        <v>72</v>
      </c>
      <c r="U38" s="45" t="s">
        <v>73</v>
      </c>
      <c r="V38" s="45" t="s">
        <v>74</v>
      </c>
    </row>
    <row r="39" spans="2:25">
      <c r="B39" s="3">
        <v>58</v>
      </c>
      <c r="C39" s="3">
        <v>4.4400000000000004</v>
      </c>
      <c r="D39" s="3">
        <v>13.6</v>
      </c>
      <c r="E39" s="3">
        <v>158.65600000000001</v>
      </c>
      <c r="G39" s="3">
        <v>58</v>
      </c>
      <c r="H39" s="3">
        <v>4.4400000000000004</v>
      </c>
      <c r="I39" s="3">
        <v>13.6</v>
      </c>
      <c r="J39" s="26">
        <f t="shared" si="1"/>
        <v>164.24709028571419</v>
      </c>
      <c r="L39" s="27">
        <f t="shared" si="2"/>
        <v>0.8666666666666667</v>
      </c>
      <c r="M39" s="27">
        <f t="shared" si="3"/>
        <v>-0.14285714285714263</v>
      </c>
      <c r="N39" s="27">
        <f t="shared" si="4"/>
        <v>0.26666666666666661</v>
      </c>
      <c r="O39" s="27">
        <f t="shared" si="5"/>
        <v>164.24709028571425</v>
      </c>
      <c r="Q39" t="s">
        <v>66</v>
      </c>
      <c r="R39">
        <v>1</v>
      </c>
      <c r="S39">
        <v>13407.551602924606</v>
      </c>
      <c r="T39">
        <v>13407.551602924606</v>
      </c>
      <c r="U39">
        <v>126.71982004098588</v>
      </c>
      <c r="V39">
        <v>4.4808297033128668E-8</v>
      </c>
    </row>
    <row r="40" spans="2:25">
      <c r="B40" s="3">
        <v>32</v>
      </c>
      <c r="C40" s="3">
        <v>4.7699999999999996</v>
      </c>
      <c r="D40" s="3">
        <v>7.2</v>
      </c>
      <c r="E40" s="3">
        <v>248.2585</v>
      </c>
      <c r="G40" s="3">
        <v>32</v>
      </c>
      <c r="H40" s="3">
        <v>4.7699999999999996</v>
      </c>
      <c r="I40" s="3">
        <v>7.2</v>
      </c>
      <c r="J40" s="26">
        <f t="shared" si="1"/>
        <v>238.84399807936495</v>
      </c>
      <c r="L40" s="27">
        <f t="shared" si="2"/>
        <v>-0.8666666666666667</v>
      </c>
      <c r="M40" s="27">
        <f t="shared" si="3"/>
        <v>0.90476190476190244</v>
      </c>
      <c r="N40" s="27">
        <f t="shared" si="4"/>
        <v>-0.79999999999999993</v>
      </c>
      <c r="O40" s="27">
        <f t="shared" si="5"/>
        <v>238.84399807936495</v>
      </c>
      <c r="Q40" t="s">
        <v>67</v>
      </c>
      <c r="R40">
        <v>13</v>
      </c>
      <c r="S40">
        <v>1375.4610035087283</v>
      </c>
      <c r="T40">
        <v>105.80469257759448</v>
      </c>
    </row>
    <row r="41" spans="2:25" ht="15" thickBot="1">
      <c r="B41" s="3">
        <v>47</v>
      </c>
      <c r="C41" s="3">
        <v>4.32</v>
      </c>
      <c r="D41" s="3">
        <v>16.899999999999999</v>
      </c>
      <c r="E41" s="3">
        <v>124.1249</v>
      </c>
      <c r="G41" s="3">
        <v>47</v>
      </c>
      <c r="H41" s="3">
        <v>4.32</v>
      </c>
      <c r="I41" s="3">
        <v>16.899999999999999</v>
      </c>
      <c r="J41" s="26">
        <f t="shared" si="1"/>
        <v>116.9619674781745</v>
      </c>
      <c r="L41" s="27">
        <f t="shared" si="2"/>
        <v>0.13333333333333333</v>
      </c>
      <c r="M41" s="27">
        <f t="shared" si="3"/>
        <v>-0.52380952380952395</v>
      </c>
      <c r="N41" s="27">
        <f t="shared" si="4"/>
        <v>0.81666666666666643</v>
      </c>
      <c r="O41" s="27">
        <f t="shared" si="5"/>
        <v>116.96196747817456</v>
      </c>
      <c r="Q41" s="44" t="s">
        <v>68</v>
      </c>
      <c r="R41" s="44">
        <v>14</v>
      </c>
      <c r="S41" s="44">
        <v>14783.012606433334</v>
      </c>
      <c r="T41" s="44"/>
      <c r="U41" s="44"/>
      <c r="V41" s="44"/>
    </row>
    <row r="42" spans="2:25" ht="15" thickBot="1">
      <c r="B42" s="3">
        <v>39</v>
      </c>
      <c r="C42" s="3">
        <v>4.58</v>
      </c>
      <c r="D42" s="3">
        <v>11.4</v>
      </c>
      <c r="E42" s="3">
        <v>205.39660000000001</v>
      </c>
      <c r="G42" s="3">
        <v>39</v>
      </c>
      <c r="H42" s="3">
        <v>4.58</v>
      </c>
      <c r="I42" s="3">
        <v>11.4</v>
      </c>
      <c r="J42" s="26">
        <f t="shared" si="1"/>
        <v>185.95719336904756</v>
      </c>
      <c r="L42" s="27">
        <f t="shared" si="2"/>
        <v>-0.4</v>
      </c>
      <c r="M42" s="27">
        <f t="shared" si="3"/>
        <v>0.30158730158730079</v>
      </c>
      <c r="N42" s="27">
        <f t="shared" si="4"/>
        <v>-9.9999999999999936E-2</v>
      </c>
      <c r="O42" s="27">
        <f t="shared" si="5"/>
        <v>185.95719336904759</v>
      </c>
    </row>
    <row r="43" spans="2:25">
      <c r="B43" s="3">
        <v>54</v>
      </c>
      <c r="C43" s="3">
        <v>4.2699999999999996</v>
      </c>
      <c r="D43" s="3">
        <v>14.8</v>
      </c>
      <c r="E43" s="3">
        <v>149.19649999999999</v>
      </c>
      <c r="G43" s="3">
        <v>54</v>
      </c>
      <c r="H43" s="3">
        <v>4.2699999999999996</v>
      </c>
      <c r="I43" s="3">
        <v>14.8</v>
      </c>
      <c r="J43" s="26">
        <f t="shared" si="1"/>
        <v>131.51825642063474</v>
      </c>
      <c r="L43" s="27">
        <f t="shared" si="2"/>
        <v>0.6</v>
      </c>
      <c r="M43" s="27">
        <f t="shared" si="3"/>
        <v>-0.68253968253968489</v>
      </c>
      <c r="N43" s="27">
        <f t="shared" si="4"/>
        <v>0.46666666666666679</v>
      </c>
      <c r="O43" s="27">
        <f t="shared" si="5"/>
        <v>131.51825642063477</v>
      </c>
      <c r="Q43" s="45"/>
      <c r="R43" s="45" t="s">
        <v>75</v>
      </c>
      <c r="S43" s="45" t="s">
        <v>63</v>
      </c>
      <c r="T43" s="45" t="s">
        <v>76</v>
      </c>
      <c r="U43" s="45" t="s">
        <v>77</v>
      </c>
      <c r="V43" s="45" t="s">
        <v>78</v>
      </c>
      <c r="W43" s="45" t="s">
        <v>79</v>
      </c>
      <c r="X43" s="45" t="s">
        <v>131</v>
      </c>
      <c r="Y43" s="45" t="s">
        <v>132</v>
      </c>
    </row>
    <row r="44" spans="2:25">
      <c r="Q44" t="s">
        <v>69</v>
      </c>
      <c r="R44">
        <v>8.0971342698077819</v>
      </c>
      <c r="S44">
        <v>14.723273429832968</v>
      </c>
      <c r="T44">
        <v>0.54995475757456214</v>
      </c>
      <c r="U44">
        <v>0.59167420863990061</v>
      </c>
      <c r="V44">
        <v>-23.710564168534802</v>
      </c>
      <c r="W44">
        <v>39.904832708150366</v>
      </c>
      <c r="X44">
        <v>-27.766480820848969</v>
      </c>
      <c r="Y44">
        <v>43.960749360464533</v>
      </c>
    </row>
    <row r="45" spans="2:25" ht="15" thickBot="1">
      <c r="Q45" s="44" t="s">
        <v>244</v>
      </c>
      <c r="R45" s="44">
        <v>0.96983260991304998</v>
      </c>
      <c r="S45" s="44">
        <v>8.615381416591654E-2</v>
      </c>
      <c r="T45" s="44">
        <v>11.25698983036699</v>
      </c>
      <c r="U45" s="44">
        <v>4.4808297033128668E-8</v>
      </c>
      <c r="V45" s="44">
        <v>0.78370861015428372</v>
      </c>
      <c r="W45" s="44">
        <v>1.1559566096718161</v>
      </c>
      <c r="X45" s="44">
        <v>0.7599752541719188</v>
      </c>
      <c r="Y45" s="44">
        <v>1.179689965654181</v>
      </c>
    </row>
    <row r="46" spans="2:25">
      <c r="B46" s="11" t="s">
        <v>246</v>
      </c>
      <c r="C46" s="10">
        <f>CORREL(E29:E43,J29:J43)</f>
        <v>0.95234271711638663</v>
      </c>
    </row>
    <row r="48" spans="2:25">
      <c r="Q48" t="s">
        <v>248</v>
      </c>
    </row>
    <row r="50" spans="2:20">
      <c r="Q50" t="s">
        <v>114</v>
      </c>
    </row>
    <row r="52" spans="2:20" ht="15">
      <c r="Q52" s="62" t="s">
        <v>249</v>
      </c>
      <c r="R52">
        <f>(R45-1)/S45</f>
        <v>-0.3501573363757654</v>
      </c>
    </row>
    <row r="53" spans="2:20" ht="15">
      <c r="Q53" s="14"/>
    </row>
    <row r="54" spans="2:20" ht="15">
      <c r="Q54" s="62" t="s">
        <v>250</v>
      </c>
      <c r="R54">
        <f>_xlfn.T.INV(0.985,13)</f>
        <v>2.4358452121107956</v>
      </c>
    </row>
    <row r="55" spans="2:20" ht="15">
      <c r="Q55" s="62" t="s">
        <v>251</v>
      </c>
      <c r="R55">
        <f>_xlfn.T.INV(0.015,13)</f>
        <v>-2.435845212110797</v>
      </c>
    </row>
    <row r="56" spans="2:20" ht="15">
      <c r="Q56" s="14"/>
    </row>
    <row r="57" spans="2:20" ht="15">
      <c r="Q57" s="14" t="s">
        <v>252</v>
      </c>
      <c r="T57" s="14" t="s">
        <v>253</v>
      </c>
    </row>
    <row r="58" spans="2:20" ht="15">
      <c r="Q58" s="14"/>
    </row>
    <row r="59" spans="2:20" ht="15">
      <c r="Q59" s="62" t="s">
        <v>123</v>
      </c>
      <c r="R59">
        <f>2*MIN(_xlfn.T.DIST(R52,13,1),1-_xlfn.T.DIST(R52,13,1))</f>
        <v>0.73182876871698688</v>
      </c>
      <c r="S59" t="s">
        <v>254</v>
      </c>
    </row>
    <row r="60" spans="2:20" ht="15">
      <c r="Q60" s="14"/>
    </row>
    <row r="61" spans="2:20" ht="15">
      <c r="Q61" s="62" t="s">
        <v>194</v>
      </c>
      <c r="R61">
        <f>S45*R54</f>
        <v>0.20985735574113104</v>
      </c>
    </row>
    <row r="62" spans="2:20" ht="15">
      <c r="Q62" s="62" t="s">
        <v>195</v>
      </c>
      <c r="R62">
        <f>R45-R61</f>
        <v>0.75997525417191891</v>
      </c>
    </row>
    <row r="63" spans="2:20" ht="15">
      <c r="B63" t="s">
        <v>257</v>
      </c>
      <c r="Q63" s="62" t="s">
        <v>196</v>
      </c>
      <c r="R63">
        <f>R45+R61</f>
        <v>1.179689965654181</v>
      </c>
    </row>
    <row r="64" spans="2:20" ht="15">
      <c r="Q64" s="14"/>
    </row>
    <row r="65" spans="2:21" ht="15">
      <c r="B65" t="s">
        <v>114</v>
      </c>
      <c r="Q65" s="14" t="s">
        <v>255</v>
      </c>
      <c r="U65" s="14" t="s">
        <v>256</v>
      </c>
    </row>
    <row r="67" spans="2:21" ht="15">
      <c r="B67" s="62" t="s">
        <v>249</v>
      </c>
      <c r="C67">
        <f>R44/S44</f>
        <v>0.54995475757456214</v>
      </c>
      <c r="R67" s="14" t="s">
        <v>139</v>
      </c>
    </row>
    <row r="68" spans="2:21" ht="15">
      <c r="B68" s="62"/>
      <c r="R68" s="14" t="s">
        <v>140</v>
      </c>
    </row>
    <row r="69" spans="2:21" ht="15">
      <c r="B69" s="62" t="s">
        <v>250</v>
      </c>
      <c r="C69">
        <v>2.4358452121107956</v>
      </c>
    </row>
    <row r="70" spans="2:21" ht="15">
      <c r="B70" s="62" t="s">
        <v>251</v>
      </c>
      <c r="C70">
        <v>-2.435845212110797</v>
      </c>
      <c r="Q70" s="14" t="s">
        <v>260</v>
      </c>
    </row>
    <row r="71" spans="2:21" ht="15">
      <c r="B71" s="62"/>
    </row>
    <row r="72" spans="2:21" ht="15">
      <c r="B72" s="14" t="s">
        <v>252</v>
      </c>
      <c r="E72" s="14" t="s">
        <v>253</v>
      </c>
    </row>
    <row r="73" spans="2:21" ht="15">
      <c r="B73" s="62"/>
    </row>
    <row r="74" spans="2:21" ht="15">
      <c r="B74" s="62" t="s">
        <v>123</v>
      </c>
      <c r="C74">
        <f>2*MIN(_xlfn.T.DIST(C67,13,1),1-_xlfn.T.DIST(C67,13,1))</f>
        <v>0.59167420863990072</v>
      </c>
      <c r="D74" t="s">
        <v>254</v>
      </c>
    </row>
    <row r="75" spans="2:21" ht="15">
      <c r="B75" s="62"/>
    </row>
    <row r="76" spans="2:21" ht="15">
      <c r="B76" s="62" t="s">
        <v>194</v>
      </c>
      <c r="C76">
        <f>C69*S44</f>
        <v>35.863615090656729</v>
      </c>
    </row>
    <row r="77" spans="2:21" ht="15">
      <c r="B77" s="62" t="s">
        <v>195</v>
      </c>
      <c r="C77">
        <f>R44-C76</f>
        <v>-27.766480820848948</v>
      </c>
    </row>
    <row r="78" spans="2:21" ht="15">
      <c r="B78" s="62" t="s">
        <v>196</v>
      </c>
      <c r="C78">
        <f>R44+C76</f>
        <v>43.960749360464511</v>
      </c>
    </row>
    <row r="79" spans="2:21" ht="15">
      <c r="B79" s="14"/>
    </row>
    <row r="80" spans="2:21" ht="15">
      <c r="B80" s="14" t="s">
        <v>258</v>
      </c>
      <c r="E80" s="14" t="s">
        <v>259</v>
      </c>
    </row>
    <row r="82" spans="1:9" ht="15">
      <c r="C82" s="14" t="s">
        <v>139</v>
      </c>
    </row>
    <row r="83" spans="1:9" ht="15">
      <c r="C83" s="14" t="s">
        <v>140</v>
      </c>
    </row>
    <row r="85" spans="1:9" ht="15">
      <c r="B85" s="14" t="s">
        <v>261</v>
      </c>
    </row>
    <row r="86" spans="1:9" ht="15">
      <c r="B86" s="14" t="s">
        <v>262</v>
      </c>
    </row>
    <row r="87" spans="1:9" ht="15">
      <c r="B87" s="14" t="s">
        <v>263</v>
      </c>
    </row>
    <row r="90" spans="1:9" ht="15">
      <c r="A90" s="16" t="s">
        <v>264</v>
      </c>
    </row>
    <row r="92" spans="1:9">
      <c r="B92" t="s">
        <v>69</v>
      </c>
      <c r="C92">
        <v>173.79832499999995</v>
      </c>
      <c r="D92">
        <v>1</v>
      </c>
    </row>
    <row r="93" spans="1:9">
      <c r="B93" t="s">
        <v>30</v>
      </c>
      <c r="C93">
        <v>8.7270124999999883</v>
      </c>
      <c r="D93" s="84">
        <v>6.1537110646823184E-2</v>
      </c>
    </row>
    <row r="94" spans="1:9">
      <c r="B94" t="s">
        <v>31</v>
      </c>
      <c r="C94">
        <v>36.923150000000021</v>
      </c>
      <c r="D94" s="85">
        <v>0.26035759412362153</v>
      </c>
      <c r="H94" s="12"/>
      <c r="I94" s="12"/>
    </row>
    <row r="95" spans="1:9">
      <c r="B95" t="s">
        <v>32</v>
      </c>
      <c r="C95">
        <v>-47.801087500000001</v>
      </c>
      <c r="D95" s="86">
        <v>-0.33706159602031177</v>
      </c>
      <c r="H95" s="12"/>
      <c r="I95" s="12"/>
    </row>
    <row r="96" spans="1:9">
      <c r="B96" t="s">
        <v>43</v>
      </c>
      <c r="C96">
        <v>4.2636125000000051</v>
      </c>
      <c r="D96">
        <f>D93*D94</f>
        <v>1.6021654077325979E-2</v>
      </c>
      <c r="H96" s="12"/>
      <c r="I96" s="12"/>
    </row>
    <row r="97" spans="2:9" ht="15" thickBot="1">
      <c r="B97" s="44" t="s">
        <v>44</v>
      </c>
      <c r="C97" s="44">
        <v>6.208800000000001</v>
      </c>
      <c r="D97">
        <f>D93*D95</f>
        <v>-2.0741796729096741E-2</v>
      </c>
      <c r="H97" s="12"/>
      <c r="I97" s="12"/>
    </row>
    <row r="98" spans="2:9">
      <c r="C98" s="11" t="s">
        <v>265</v>
      </c>
      <c r="D98">
        <f>SUMPRODUCT(C92:C97,D92:D97)</f>
        <v>200.00002193661399</v>
      </c>
    </row>
    <row r="100" spans="2:9">
      <c r="B100" t="s">
        <v>266</v>
      </c>
    </row>
    <row r="101" spans="2:9">
      <c r="B101" t="s">
        <v>30</v>
      </c>
      <c r="C101">
        <f>D93</f>
        <v>6.1537110646823184E-2</v>
      </c>
    </row>
    <row r="102" spans="2:9">
      <c r="B102" t="s">
        <v>31</v>
      </c>
      <c r="C102">
        <f t="shared" ref="C102:C103" si="6">D94</f>
        <v>0.26035759412362153</v>
      </c>
    </row>
    <row r="103" spans="2:9">
      <c r="B103" t="s">
        <v>32</v>
      </c>
      <c r="C103">
        <f t="shared" si="6"/>
        <v>-0.33706159602031177</v>
      </c>
    </row>
    <row r="105" spans="2:9">
      <c r="B105" t="s">
        <v>267</v>
      </c>
    </row>
    <row r="106" spans="2:9">
      <c r="B106" s="2" t="s">
        <v>24</v>
      </c>
      <c r="C106" s="87">
        <f>C101*15+45</f>
        <v>45.923056659702347</v>
      </c>
    </row>
    <row r="107" spans="2:9">
      <c r="B107" s="2" t="s">
        <v>25</v>
      </c>
      <c r="C107" s="87">
        <f>C102*0.315+4.485</f>
        <v>4.5670126421489412</v>
      </c>
    </row>
    <row r="108" spans="2:9">
      <c r="B108" s="2" t="s">
        <v>26</v>
      </c>
      <c r="C108" s="87">
        <f>C103*6+12</f>
        <v>9.9776304238781286</v>
      </c>
    </row>
    <row r="111" spans="2:9" ht="15">
      <c r="B111" s="14" t="s">
        <v>268</v>
      </c>
    </row>
    <row r="112" spans="2:9" ht="15">
      <c r="B112" s="14" t="s">
        <v>269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4"/>
  <sheetViews>
    <sheetView topLeftCell="A238" zoomScaleNormal="100" workbookViewId="0">
      <selection activeCell="G273" sqref="G273"/>
    </sheetView>
  </sheetViews>
  <sheetFormatPr defaultRowHeight="14.25"/>
  <sheetData>
    <row r="1" spans="1:1" ht="15">
      <c r="A1" s="16" t="s">
        <v>270</v>
      </c>
    </row>
    <row r="3" spans="1:1" ht="15">
      <c r="A3" s="16" t="s">
        <v>271</v>
      </c>
    </row>
    <row r="34" spans="1:16" ht="15">
      <c r="A34" s="16" t="s">
        <v>272</v>
      </c>
    </row>
    <row r="36" spans="1:16">
      <c r="K36" t="s">
        <v>58</v>
      </c>
    </row>
    <row r="37" spans="1:16" ht="15" thickBot="1"/>
    <row r="38" spans="1:16">
      <c r="K38" s="46" t="s">
        <v>59</v>
      </c>
      <c r="L38" s="46"/>
    </row>
    <row r="39" spans="1:16">
      <c r="K39" t="s">
        <v>60</v>
      </c>
      <c r="L39">
        <v>0.99625243741059144</v>
      </c>
    </row>
    <row r="40" spans="1:16">
      <c r="K40" t="s">
        <v>61</v>
      </c>
      <c r="L40">
        <v>0.99251891904654432</v>
      </c>
    </row>
    <row r="41" spans="1:16">
      <c r="K41" t="s">
        <v>62</v>
      </c>
      <c r="L41">
        <v>0.98877837856981698</v>
      </c>
    </row>
    <row r="42" spans="1:16">
      <c r="K42" t="s">
        <v>63</v>
      </c>
      <c r="L42">
        <v>6.7528141898952008</v>
      </c>
    </row>
    <row r="43" spans="1:16" ht="15" thickBot="1">
      <c r="K43" s="44" t="s">
        <v>64</v>
      </c>
      <c r="L43" s="44">
        <v>16</v>
      </c>
    </row>
    <row r="45" spans="1:16" ht="15" thickBot="1">
      <c r="K45" t="s">
        <v>65</v>
      </c>
    </row>
    <row r="46" spans="1:16">
      <c r="K46" s="45"/>
      <c r="L46" s="45" t="s">
        <v>70</v>
      </c>
      <c r="M46" s="45" t="s">
        <v>71</v>
      </c>
      <c r="N46" s="45" t="s">
        <v>72</v>
      </c>
      <c r="O46" s="45" t="s">
        <v>73</v>
      </c>
      <c r="P46" s="45" t="s">
        <v>74</v>
      </c>
    </row>
    <row r="47" spans="1:16">
      <c r="K47" t="s">
        <v>66</v>
      </c>
      <c r="L47">
        <v>5</v>
      </c>
      <c r="M47">
        <v>60498.420932327492</v>
      </c>
      <c r="N47">
        <v>12099.684186465498</v>
      </c>
      <c r="O47">
        <v>265.34104502320127</v>
      </c>
      <c r="P47">
        <v>2.723098613716886E-10</v>
      </c>
    </row>
    <row r="48" spans="1:16">
      <c r="K48" t="s">
        <v>67</v>
      </c>
      <c r="L48">
        <v>10</v>
      </c>
      <c r="M48">
        <v>456.00499483249973</v>
      </c>
      <c r="N48">
        <v>45.600499483249976</v>
      </c>
    </row>
    <row r="49" spans="11:19" ht="15" thickBot="1">
      <c r="K49" s="44" t="s">
        <v>68</v>
      </c>
      <c r="L49" s="44">
        <v>15</v>
      </c>
      <c r="M49" s="44">
        <v>60954.425927159995</v>
      </c>
      <c r="N49" s="44"/>
      <c r="O49" s="44"/>
      <c r="P49" s="44"/>
    </row>
    <row r="50" spans="11:19" ht="15" thickBot="1"/>
    <row r="51" spans="11:19">
      <c r="K51" s="45"/>
      <c r="L51" s="45" t="s">
        <v>75</v>
      </c>
      <c r="M51" s="45" t="s">
        <v>63</v>
      </c>
      <c r="N51" s="45" t="s">
        <v>76</v>
      </c>
      <c r="O51" s="45" t="s">
        <v>77</v>
      </c>
      <c r="P51" s="45" t="s">
        <v>78</v>
      </c>
      <c r="Q51" s="45" t="s">
        <v>79</v>
      </c>
      <c r="R51" s="45" t="s">
        <v>80</v>
      </c>
      <c r="S51" s="45" t="s">
        <v>81</v>
      </c>
    </row>
    <row r="52" spans="11:19">
      <c r="K52" t="s">
        <v>69</v>
      </c>
      <c r="L52">
        <v>174.78639999999993</v>
      </c>
      <c r="M52">
        <v>1.6882035474738002</v>
      </c>
      <c r="N52">
        <v>103.53396085534082</v>
      </c>
      <c r="O52">
        <v>1.7314749007380235E-16</v>
      </c>
      <c r="P52">
        <v>171.02484808581249</v>
      </c>
      <c r="Q52">
        <v>178.54795191418737</v>
      </c>
      <c r="R52">
        <v>171.02484808581249</v>
      </c>
      <c r="S52">
        <v>178.54795191418737</v>
      </c>
    </row>
    <row r="53" spans="11:19">
      <c r="K53" t="s">
        <v>30</v>
      </c>
      <c r="L53">
        <v>8.7270124999999936</v>
      </c>
      <c r="M53">
        <v>1.6882035474738002</v>
      </c>
      <c r="N53">
        <v>5.1694077488813184</v>
      </c>
      <c r="O53">
        <v>4.194654664969396E-4</v>
      </c>
      <c r="P53">
        <v>4.9654605858125649</v>
      </c>
      <c r="Q53">
        <v>12.488564414187422</v>
      </c>
      <c r="R53">
        <v>4.9654605858125649</v>
      </c>
      <c r="S53">
        <v>12.488564414187422</v>
      </c>
    </row>
    <row r="54" spans="11:19">
      <c r="K54" t="s">
        <v>31</v>
      </c>
      <c r="L54">
        <v>36.92315</v>
      </c>
      <c r="M54">
        <v>1.6882035474738002</v>
      </c>
      <c r="N54">
        <v>21.871266681823521</v>
      </c>
      <c r="O54">
        <v>8.9366178549476845E-10</v>
      </c>
      <c r="P54">
        <v>33.161598085812571</v>
      </c>
      <c r="Q54">
        <v>40.684701914187428</v>
      </c>
      <c r="R54">
        <v>33.161598085812571</v>
      </c>
      <c r="S54">
        <v>40.684701914187428</v>
      </c>
    </row>
    <row r="55" spans="11:19">
      <c r="K55" t="s">
        <v>32</v>
      </c>
      <c r="L55">
        <v>-47.801087500000001</v>
      </c>
      <c r="M55">
        <v>1.6882035474738002</v>
      </c>
      <c r="N55">
        <v>-28.314765462688879</v>
      </c>
      <c r="O55">
        <v>7.0193152618146969E-11</v>
      </c>
      <c r="P55">
        <v>-51.56263941418743</v>
      </c>
      <c r="Q55">
        <v>-44.039535585812573</v>
      </c>
      <c r="R55">
        <v>-51.56263941418743</v>
      </c>
      <c r="S55">
        <v>-44.039535585812573</v>
      </c>
    </row>
    <row r="56" spans="11:19">
      <c r="K56" t="s">
        <v>43</v>
      </c>
      <c r="L56">
        <v>4.2636125000000016</v>
      </c>
      <c r="M56">
        <v>1.6882035474738002</v>
      </c>
      <c r="N56">
        <v>2.5255322478027016</v>
      </c>
      <c r="O56">
        <v>3.0100549590422368E-2</v>
      </c>
      <c r="P56">
        <v>0.5020605858125724</v>
      </c>
      <c r="Q56">
        <v>8.0251644141874312</v>
      </c>
      <c r="R56">
        <v>0.5020605858125724</v>
      </c>
      <c r="S56">
        <v>8.0251644141874312</v>
      </c>
    </row>
    <row r="57" spans="11:19" ht="15" thickBot="1">
      <c r="K57" s="44" t="s">
        <v>44</v>
      </c>
      <c r="L57" s="44">
        <v>6.2087999999999948</v>
      </c>
      <c r="M57" s="44">
        <v>1.6882035474738002</v>
      </c>
      <c r="N57" s="44">
        <v>3.6777555699907989</v>
      </c>
      <c r="O57" s="44">
        <v>4.2621500370621538E-3</v>
      </c>
      <c r="P57" s="44">
        <v>2.4472480858125656</v>
      </c>
      <c r="Q57" s="44">
        <v>9.9703519141874235</v>
      </c>
      <c r="R57" s="44">
        <v>2.4472480858125656</v>
      </c>
      <c r="S57" s="44">
        <v>9.9703519141874235</v>
      </c>
    </row>
    <row r="69" spans="1:1" ht="15">
      <c r="A69" s="89" t="s">
        <v>273</v>
      </c>
    </row>
    <row r="80" spans="1:1" ht="15">
      <c r="A80" s="16" t="s">
        <v>274</v>
      </c>
    </row>
    <row r="82" spans="10:16">
      <c r="J82" t="s">
        <v>58</v>
      </c>
    </row>
    <row r="83" spans="10:16" ht="15" thickBot="1"/>
    <row r="84" spans="10:16">
      <c r="J84" s="46" t="s">
        <v>59</v>
      </c>
      <c r="K84" s="46"/>
    </row>
    <row r="85" spans="10:16">
      <c r="J85" t="s">
        <v>60</v>
      </c>
      <c r="K85">
        <v>0.9948763126219754</v>
      </c>
    </row>
    <row r="86" spans="10:16">
      <c r="J86" t="s">
        <v>61</v>
      </c>
      <c r="K86">
        <v>0.98977887741629855</v>
      </c>
    </row>
    <row r="87" spans="10:16">
      <c r="J87" t="s">
        <v>62</v>
      </c>
      <c r="K87">
        <v>0.98612847649354818</v>
      </c>
    </row>
    <row r="88" spans="10:16">
      <c r="J88" t="s">
        <v>63</v>
      </c>
      <c r="K88">
        <v>6.680180687194869</v>
      </c>
    </row>
    <row r="89" spans="10:16" ht="15" thickBot="1">
      <c r="J89" s="44" t="s">
        <v>64</v>
      </c>
      <c r="K89" s="44">
        <v>20</v>
      </c>
    </row>
    <row r="91" spans="10:16" ht="15" thickBot="1">
      <c r="J91" s="90" t="s">
        <v>65</v>
      </c>
      <c r="K91" s="90"/>
      <c r="L91" s="90"/>
      <c r="M91" s="90"/>
      <c r="N91" s="90"/>
      <c r="O91" s="90"/>
      <c r="P91" s="90"/>
    </row>
    <row r="92" spans="10:16">
      <c r="J92" s="91"/>
      <c r="K92" s="91" t="s">
        <v>70</v>
      </c>
      <c r="L92" s="91" t="s">
        <v>71</v>
      </c>
      <c r="M92" s="91" t="s">
        <v>72</v>
      </c>
      <c r="N92" s="91" t="s">
        <v>73</v>
      </c>
      <c r="O92" s="92" t="s">
        <v>135</v>
      </c>
      <c r="P92" s="91" t="s">
        <v>74</v>
      </c>
    </row>
    <row r="93" spans="10:16">
      <c r="J93" s="90" t="s">
        <v>66</v>
      </c>
      <c r="K93" s="90">
        <v>5</v>
      </c>
      <c r="L93" s="90">
        <v>60498.420932327506</v>
      </c>
      <c r="M93" s="90">
        <v>12099.684186465502</v>
      </c>
      <c r="N93" s="90">
        <v>271.14251238751922</v>
      </c>
      <c r="O93" s="90"/>
      <c r="P93" s="90">
        <v>2.047313203701461E-13</v>
      </c>
    </row>
    <row r="94" spans="10:16">
      <c r="J94" s="90" t="s">
        <v>67</v>
      </c>
      <c r="K94" s="90">
        <v>14</v>
      </c>
      <c r="L94" s="90">
        <v>624.74739618999843</v>
      </c>
      <c r="M94" s="90">
        <v>44.624814013571317</v>
      </c>
      <c r="N94" s="90"/>
      <c r="O94" s="90"/>
      <c r="P94" s="90"/>
    </row>
    <row r="95" spans="10:16">
      <c r="J95" s="90" t="s">
        <v>133</v>
      </c>
      <c r="K95" s="90">
        <v>3</v>
      </c>
      <c r="L95" s="90">
        <v>218.33018889249854</v>
      </c>
      <c r="M95" s="90">
        <v>72.776729630832847</v>
      </c>
      <c r="N95" s="90">
        <v>1.9697591823496738</v>
      </c>
      <c r="O95" s="90">
        <v>4.3435885547466615</v>
      </c>
      <c r="P95" s="90">
        <v>0.17705622438075186</v>
      </c>
    </row>
    <row r="96" spans="10:16">
      <c r="J96" s="90" t="s">
        <v>134</v>
      </c>
      <c r="K96" s="90">
        <v>11</v>
      </c>
      <c r="L96" s="90">
        <v>406.41720729749989</v>
      </c>
      <c r="M96" s="90">
        <v>36.947018845227262</v>
      </c>
      <c r="N96" s="90"/>
      <c r="O96" s="90"/>
      <c r="P96" s="90"/>
    </row>
    <row r="97" spans="10:18" ht="15" thickBot="1">
      <c r="J97" s="93" t="s">
        <v>68</v>
      </c>
      <c r="K97" s="93">
        <v>19</v>
      </c>
      <c r="L97" s="93">
        <v>61123.168328517502</v>
      </c>
      <c r="M97" s="93"/>
      <c r="N97" s="93"/>
      <c r="O97" s="90"/>
      <c r="P97" s="93"/>
    </row>
    <row r="98" spans="10:18" ht="15" thickBot="1"/>
    <row r="99" spans="10:18">
      <c r="J99" s="45"/>
      <c r="K99" s="45" t="s">
        <v>75</v>
      </c>
      <c r="L99" s="45" t="s">
        <v>63</v>
      </c>
      <c r="M99" s="45" t="s">
        <v>76</v>
      </c>
      <c r="N99" s="45" t="s">
        <v>77</v>
      </c>
      <c r="O99" s="45" t="s">
        <v>78</v>
      </c>
      <c r="P99" s="45" t="s">
        <v>79</v>
      </c>
      <c r="Q99" s="45" t="s">
        <v>131</v>
      </c>
      <c r="R99" s="45" t="s">
        <v>132</v>
      </c>
    </row>
    <row r="100" spans="10:18">
      <c r="J100" t="s">
        <v>69</v>
      </c>
      <c r="K100">
        <v>173.79832499999995</v>
      </c>
      <c r="L100">
        <v>1.4937338118548986</v>
      </c>
      <c r="M100">
        <v>116.35160402788199</v>
      </c>
      <c r="N100">
        <v>2.6318702115578112E-22</v>
      </c>
      <c r="O100">
        <v>170.59458460504084</v>
      </c>
      <c r="P100">
        <v>177.00206539495906</v>
      </c>
      <c r="Q100">
        <v>170.19111061219857</v>
      </c>
      <c r="R100">
        <v>177.40553938780133</v>
      </c>
    </row>
    <row r="101" spans="10:18">
      <c r="J101" t="s">
        <v>30</v>
      </c>
      <c r="K101">
        <v>8.7270124999999883</v>
      </c>
      <c r="L101">
        <v>1.6700451717987173</v>
      </c>
      <c r="M101">
        <v>5.2256146404714219</v>
      </c>
      <c r="N101">
        <v>1.2843295188046222E-4</v>
      </c>
      <c r="O101">
        <v>5.1451218473046971</v>
      </c>
      <c r="P101">
        <v>12.308903152695279</v>
      </c>
      <c r="Q101">
        <v>4.6940242097304061</v>
      </c>
      <c r="R101">
        <v>12.76000079026957</v>
      </c>
    </row>
    <row r="102" spans="10:18">
      <c r="J102" t="s">
        <v>31</v>
      </c>
      <c r="K102">
        <v>36.923150000000021</v>
      </c>
      <c r="L102">
        <v>1.6700451717987173</v>
      </c>
      <c r="M102">
        <v>22.109072630791207</v>
      </c>
      <c r="N102">
        <v>2.7513581030212705E-12</v>
      </c>
      <c r="O102">
        <v>33.341259347304728</v>
      </c>
      <c r="P102">
        <v>40.505040652695314</v>
      </c>
      <c r="Q102">
        <v>32.890161709730435</v>
      </c>
      <c r="R102">
        <v>40.956138290269607</v>
      </c>
    </row>
    <row r="103" spans="10:18">
      <c r="J103" t="s">
        <v>32</v>
      </c>
      <c r="K103">
        <v>-47.801087500000001</v>
      </c>
      <c r="L103">
        <v>1.6700451717987173</v>
      </c>
      <c r="M103">
        <v>-28.622631475600137</v>
      </c>
      <c r="N103">
        <v>7.9761738176595736E-14</v>
      </c>
      <c r="O103">
        <v>-51.382978152695294</v>
      </c>
      <c r="P103">
        <v>-44.219196847304708</v>
      </c>
      <c r="Q103">
        <v>-51.83407579026958</v>
      </c>
      <c r="R103">
        <v>-43.768099209730423</v>
      </c>
    </row>
    <row r="104" spans="10:18">
      <c r="J104" t="s">
        <v>43</v>
      </c>
      <c r="K104">
        <v>4.2636125000000051</v>
      </c>
      <c r="L104">
        <v>1.6700451717987177</v>
      </c>
      <c r="M104">
        <v>2.5529923214040329</v>
      </c>
      <c r="N104">
        <v>2.2983610233883484E-2</v>
      </c>
      <c r="O104">
        <v>0.68172184730471264</v>
      </c>
      <c r="P104">
        <v>7.8455031526952972</v>
      </c>
      <c r="Q104">
        <v>0.23062420973042208</v>
      </c>
      <c r="R104">
        <v>8.2966007902695882</v>
      </c>
    </row>
    <row r="105" spans="10:18" ht="15" thickBot="1">
      <c r="J105" s="44" t="s">
        <v>44</v>
      </c>
      <c r="K105" s="44">
        <v>6.208800000000001</v>
      </c>
      <c r="L105" s="44">
        <v>1.6700451717987177</v>
      </c>
      <c r="M105" s="44">
        <v>3.7177437501961874</v>
      </c>
      <c r="N105" s="44">
        <v>2.2952713204261745E-3</v>
      </c>
      <c r="O105" s="44">
        <v>2.6269093473047085</v>
      </c>
      <c r="P105" s="44">
        <v>9.790690652695293</v>
      </c>
      <c r="Q105" s="44">
        <v>2.1758117097304179</v>
      </c>
      <c r="R105" s="44">
        <v>10.241788290269584</v>
      </c>
    </row>
    <row r="116" spans="1:1">
      <c r="A116" s="88" t="s">
        <v>275</v>
      </c>
    </row>
    <row r="127" spans="1:1" ht="15">
      <c r="A127" s="89" t="s">
        <v>276</v>
      </c>
    </row>
    <row r="163" spans="1:1" ht="15">
      <c r="A163" s="89" t="s">
        <v>277</v>
      </c>
    </row>
    <row r="208" spans="1:1" ht="15">
      <c r="A208" s="16" t="s">
        <v>278</v>
      </c>
    </row>
    <row r="231" spans="1:1" ht="15">
      <c r="A231" s="16" t="s">
        <v>279</v>
      </c>
    </row>
    <row r="264" spans="2:2" ht="15">
      <c r="B264" s="16" t="s">
        <v>282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Hárok1</vt:lpstr>
      <vt:lpstr>Testy</vt:lpstr>
      <vt:lpstr>Grafy</vt:lpstr>
      <vt:lpstr>Validácia</vt:lpstr>
      <vt:lpstr>Porovnanie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Benko</dc:creator>
  <cp:lastModifiedBy>Janette Kotianová</cp:lastModifiedBy>
  <dcterms:created xsi:type="dcterms:W3CDTF">2025-12-28T08:21:28Z</dcterms:created>
  <dcterms:modified xsi:type="dcterms:W3CDTF">2026-02-02T11:11:06Z</dcterms:modified>
</cp:coreProperties>
</file>