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harts/chart5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6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7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11.xml" ContentType="application/vnd.openxmlformats-officedocument.drawing+xml"/>
  <Override PartName="/xl/charts/chart8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9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10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11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12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13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12.xml" ContentType="application/vnd.openxmlformats-officedocument.drawing+xml"/>
  <Override PartName="/xl/charts/chart14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harts/chart15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6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7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8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9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20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21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22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23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charts/chartEx1.xml" ContentType="application/vnd.ms-office.chartex+xml"/>
  <Override PartName="/xl/charts/colors110.xml" ContentType="application/vnd.ms-office.chartcolorstyle+xml"/>
  <Override PartName="/xl/charts/style110.xml" ContentType="application/vnd.ms-office.chartstyl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kotianova\Desktop\stranka mmpve\zadania studentov\"/>
    </mc:Choice>
  </mc:AlternateContent>
  <bookViews>
    <workbookView xWindow="0" yWindow="0" windowWidth="25125" windowHeight="12330"/>
  </bookViews>
  <sheets>
    <sheet name="Úvod" sheetId="1" r:id="rId1"/>
    <sheet name="2. Úloha" sheetId="2" r:id="rId2"/>
    <sheet name="3. Úloha" sheetId="3" r:id="rId3"/>
    <sheet name="4. 5. Úloha" sheetId="4" r:id="rId4"/>
    <sheet name="6. Úloha" sheetId="5" r:id="rId5"/>
    <sheet name="7. Úloha" sheetId="6" r:id="rId6"/>
    <sheet name="8. Úloha" sheetId="7" r:id="rId7"/>
    <sheet name="9. Úloha" sheetId="8" r:id="rId8"/>
    <sheet name="10. Úloha" sheetId="9" r:id="rId9"/>
    <sheet name="11. Úloha" sheetId="10" r:id="rId10"/>
    <sheet name="12. Úloha" sheetId="12" r:id="rId11"/>
    <sheet name="13. Úloha" sheetId="13" r:id="rId12"/>
    <sheet name="14. Úloha" sheetId="14" r:id="rId13"/>
    <sheet name="15. Úloha" sheetId="15" r:id="rId14"/>
    <sheet name="16. Úloha" sheetId="16" r:id="rId15"/>
    <sheet name="17. Úloha" sheetId="17" r:id="rId16"/>
    <sheet name="18. Úloha" sheetId="18" r:id="rId17"/>
    <sheet name="19. Úloha" sheetId="19" r:id="rId18"/>
    <sheet name="20. Úloha" sheetId="21" r:id="rId19"/>
    <sheet name="21. Úloha" sheetId="20" r:id="rId20"/>
  </sheets>
  <definedNames>
    <definedName name="_xlnm._FilterDatabase" localSheetId="15" hidden="1">'17. Úloha'!$B$3:$E$19</definedName>
    <definedName name="_xlchart.v1.0" hidden="1">'19. Úloha'!$F$9:$F$23</definedName>
    <definedName name="_xlchart.v1.1" hidden="1">'19. Úloha'!$L$9:$L$23</definedName>
    <definedName name="solver_adj" localSheetId="18" hidden="1">'20. Úloha'!$D$27:$D$29</definedName>
    <definedName name="solver_cvg" localSheetId="18" hidden="1">0.0001</definedName>
    <definedName name="solver_drv" localSheetId="18" hidden="1">1</definedName>
    <definedName name="solver_eng" localSheetId="18" hidden="1">1</definedName>
    <definedName name="solver_est" localSheetId="18" hidden="1">1</definedName>
    <definedName name="solver_itr" localSheetId="18" hidden="1">2147483647</definedName>
    <definedName name="solver_lhs1" localSheetId="18" hidden="1">'20. Úloha'!$D$27</definedName>
    <definedName name="solver_lhs2" localSheetId="18" hidden="1">'20. Úloha'!$D$27</definedName>
    <definedName name="solver_lhs3" localSheetId="18" hidden="1">'20. Úloha'!$D$28</definedName>
    <definedName name="solver_lhs4" localSheetId="18" hidden="1">'20. Úloha'!$D$28</definedName>
    <definedName name="solver_lhs5" localSheetId="18" hidden="1">'20. Úloha'!$D$29</definedName>
    <definedName name="solver_lhs6" localSheetId="18" hidden="1">'20. Úloha'!$D$29</definedName>
    <definedName name="solver_mip" localSheetId="18" hidden="1">2147483647</definedName>
    <definedName name="solver_mni" localSheetId="18" hidden="1">30</definedName>
    <definedName name="solver_mrt" localSheetId="18" hidden="1">0.075</definedName>
    <definedName name="solver_msl" localSheetId="18" hidden="1">2</definedName>
    <definedName name="solver_neg" localSheetId="18" hidden="1">1</definedName>
    <definedName name="solver_nod" localSheetId="18" hidden="1">2147483647</definedName>
    <definedName name="solver_num" localSheetId="18" hidden="1">6</definedName>
    <definedName name="solver_nwt" localSheetId="18" hidden="1">1</definedName>
    <definedName name="solver_opt" localSheetId="18" hidden="1">'20. Úloha'!$J$33</definedName>
    <definedName name="solver_pre" localSheetId="18" hidden="1">0.000001</definedName>
    <definedName name="solver_rbv" localSheetId="18" hidden="1">1</definedName>
    <definedName name="solver_rel1" localSheetId="18" hidden="1">1</definedName>
    <definedName name="solver_rel2" localSheetId="18" hidden="1">3</definedName>
    <definedName name="solver_rel3" localSheetId="18" hidden="1">1</definedName>
    <definedName name="solver_rel4" localSheetId="18" hidden="1">3</definedName>
    <definedName name="solver_rel5" localSheetId="18" hidden="1">1</definedName>
    <definedName name="solver_rel6" localSheetId="18" hidden="1">3</definedName>
    <definedName name="solver_rhs1" localSheetId="18" hidden="1">1</definedName>
    <definedName name="solver_rhs2" localSheetId="18" hidden="1">-1</definedName>
    <definedName name="solver_rhs3" localSheetId="18" hidden="1">1</definedName>
    <definedName name="solver_rhs4" localSheetId="18" hidden="1">-1</definedName>
    <definedName name="solver_rhs5" localSheetId="18" hidden="1">1</definedName>
    <definedName name="solver_rhs6" localSheetId="18" hidden="1">-1</definedName>
    <definedName name="solver_rlx" localSheetId="18" hidden="1">2</definedName>
    <definedName name="solver_rsd" localSheetId="18" hidden="1">0</definedName>
    <definedName name="solver_scl" localSheetId="18" hidden="1">1</definedName>
    <definedName name="solver_sho" localSheetId="18" hidden="1">2</definedName>
    <definedName name="solver_ssz" localSheetId="18" hidden="1">100</definedName>
    <definedName name="solver_tim" localSheetId="18" hidden="1">2147483647</definedName>
    <definedName name="solver_tol" localSheetId="18" hidden="1">0.01</definedName>
    <definedName name="solver_typ" localSheetId="18" hidden="1">3</definedName>
    <definedName name="solver_val" localSheetId="18" hidden="1">150</definedName>
    <definedName name="solver_ver" localSheetId="18" hidden="1">3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31" i="21" l="1"/>
  <c r="D5" i="5"/>
  <c r="W16" i="9" l="1"/>
  <c r="C31" i="9"/>
  <c r="C30" i="8"/>
  <c r="C34" i="15" l="1"/>
  <c r="C32" i="13"/>
  <c r="C31" i="10"/>
  <c r="H13" i="1" l="1"/>
  <c r="X14" i="9"/>
  <c r="H28" i="21" l="1"/>
  <c r="H33" i="21" s="1"/>
  <c r="H29" i="21"/>
  <c r="H34" i="21" s="1"/>
  <c r="H27" i="21"/>
  <c r="H32" i="21" s="1"/>
  <c r="C36" i="21"/>
  <c r="B36" i="21"/>
  <c r="C35" i="21"/>
  <c r="B35" i="21"/>
  <c r="C34" i="21"/>
  <c r="B34" i="21"/>
  <c r="D30" i="21"/>
  <c r="C27" i="21"/>
  <c r="C28" i="21"/>
  <c r="C29" i="21"/>
  <c r="C30" i="21"/>
  <c r="C26" i="21"/>
  <c r="B27" i="21"/>
  <c r="B28" i="21"/>
  <c r="B29" i="21"/>
  <c r="B30" i="21"/>
  <c r="B26" i="21"/>
  <c r="E19" i="21"/>
  <c r="E18" i="21"/>
  <c r="E17" i="21"/>
  <c r="E16" i="21"/>
  <c r="E15" i="21"/>
  <c r="E14" i="21"/>
  <c r="E13" i="21"/>
  <c r="E12" i="21"/>
  <c r="E11" i="21"/>
  <c r="E10" i="21"/>
  <c r="E9" i="21"/>
  <c r="E8" i="21"/>
  <c r="E7" i="21"/>
  <c r="E6" i="21"/>
  <c r="E5" i="21"/>
  <c r="E4" i="21"/>
  <c r="C66" i="19"/>
  <c r="C70" i="19"/>
  <c r="C64" i="19"/>
  <c r="C63" i="19"/>
  <c r="C73" i="19" s="1"/>
  <c r="N51" i="19"/>
  <c r="N44" i="19"/>
  <c r="N43" i="19"/>
  <c r="N54" i="19" s="1"/>
  <c r="O56" i="19" s="1"/>
  <c r="N46" i="19"/>
  <c r="D75" i="19" l="1"/>
  <c r="C75" i="19"/>
  <c r="N56" i="19"/>
  <c r="F24" i="19" l="1"/>
  <c r="L10" i="19"/>
  <c r="L11" i="19"/>
  <c r="L12" i="19"/>
  <c r="L13" i="19"/>
  <c r="L14" i="19"/>
  <c r="L15" i="19"/>
  <c r="L16" i="19"/>
  <c r="L17" i="19"/>
  <c r="L18" i="19"/>
  <c r="C25" i="19" s="1"/>
  <c r="L19" i="19"/>
  <c r="L20" i="19"/>
  <c r="L21" i="19"/>
  <c r="L22" i="19"/>
  <c r="L23" i="19"/>
  <c r="L9" i="19"/>
  <c r="L24" i="19" l="1"/>
  <c r="P5" i="19"/>
  <c r="O5" i="19"/>
  <c r="P4" i="19"/>
  <c r="O4" i="19"/>
  <c r="P3" i="19"/>
  <c r="O3" i="19"/>
  <c r="S5" i="18"/>
  <c r="R10" i="18"/>
  <c r="AA20" i="18"/>
  <c r="Y20" i="18"/>
  <c r="W20" i="18"/>
  <c r="U20" i="18"/>
  <c r="S20" i="18"/>
  <c r="B27" i="18"/>
  <c r="C27" i="18"/>
  <c r="B28" i="18"/>
  <c r="C28" i="18"/>
  <c r="B29" i="18"/>
  <c r="C29" i="18"/>
  <c r="S25" i="18" s="1"/>
  <c r="W25" i="18" s="1"/>
  <c r="X23" i="18"/>
  <c r="X24" i="18"/>
  <c r="X25" i="18"/>
  <c r="X26" i="18"/>
  <c r="X22" i="18"/>
  <c r="V23" i="18"/>
  <c r="V24" i="18"/>
  <c r="V25" i="18"/>
  <c r="V26" i="18"/>
  <c r="V22" i="18"/>
  <c r="S24" i="18"/>
  <c r="W24" i="18" s="1"/>
  <c r="S23" i="18"/>
  <c r="W23" i="18" s="1"/>
  <c r="S14" i="18"/>
  <c r="R13" i="18"/>
  <c r="AA5" i="18"/>
  <c r="R14" i="18" s="1"/>
  <c r="Y5" i="18"/>
  <c r="W5" i="18"/>
  <c r="R12" i="18" s="1"/>
  <c r="U5" i="18"/>
  <c r="R11" i="18" s="1"/>
  <c r="E19" i="18"/>
  <c r="E18" i="18"/>
  <c r="E17" i="18"/>
  <c r="E16" i="18"/>
  <c r="E15" i="18"/>
  <c r="E14" i="18"/>
  <c r="E13" i="18"/>
  <c r="E12" i="18"/>
  <c r="E11" i="18"/>
  <c r="E10" i="18"/>
  <c r="E9" i="18"/>
  <c r="E8" i="18"/>
  <c r="E7" i="18"/>
  <c r="E6" i="18"/>
  <c r="E5" i="18"/>
  <c r="E4" i="18"/>
  <c r="L45" i="17"/>
  <c r="K44" i="17"/>
  <c r="K45" i="17"/>
  <c r="J45" i="17"/>
  <c r="J44" i="17"/>
  <c r="L44" i="17" s="1"/>
  <c r="L46" i="17" s="1"/>
  <c r="K27" i="17"/>
  <c r="K28" i="17"/>
  <c r="J28" i="17"/>
  <c r="L28" i="17" s="1"/>
  <c r="J27" i="17"/>
  <c r="L27" i="17" s="1"/>
  <c r="L29" i="17" s="1"/>
  <c r="K8" i="17"/>
  <c r="K9" i="17"/>
  <c r="J9" i="17"/>
  <c r="J8" i="17"/>
  <c r="L8" i="17" s="1"/>
  <c r="R15" i="18" l="1"/>
  <c r="O16" i="19"/>
  <c r="O20" i="19"/>
  <c r="O10" i="19"/>
  <c r="O11" i="19"/>
  <c r="O17" i="19"/>
  <c r="O18" i="19"/>
  <c r="O19" i="19"/>
  <c r="R19" i="19" s="1"/>
  <c r="O21" i="19"/>
  <c r="O22" i="19"/>
  <c r="R22" i="19" s="1"/>
  <c r="O9" i="19"/>
  <c r="O14" i="19"/>
  <c r="O15" i="19"/>
  <c r="O23" i="19"/>
  <c r="O12" i="19"/>
  <c r="O13" i="19"/>
  <c r="Q10" i="19"/>
  <c r="Q22" i="19"/>
  <c r="Q11" i="19"/>
  <c r="Q23" i="19"/>
  <c r="Q12" i="19"/>
  <c r="Q14" i="19"/>
  <c r="Q13" i="19"/>
  <c r="Q17" i="19"/>
  <c r="Q21" i="19"/>
  <c r="Q9" i="19"/>
  <c r="Q16" i="19"/>
  <c r="Q19" i="19"/>
  <c r="Q20" i="19"/>
  <c r="Q15" i="19"/>
  <c r="Q18" i="19"/>
  <c r="P19" i="19"/>
  <c r="P20" i="19"/>
  <c r="P21" i="19"/>
  <c r="P10" i="19"/>
  <c r="P22" i="19"/>
  <c r="P9" i="19"/>
  <c r="P23" i="19"/>
  <c r="P12" i="19"/>
  <c r="P13" i="19"/>
  <c r="P15" i="19"/>
  <c r="P16" i="19"/>
  <c r="P11" i="19"/>
  <c r="P14" i="19"/>
  <c r="P17" i="19"/>
  <c r="P18" i="19"/>
  <c r="S7" i="18"/>
  <c r="S26" i="18"/>
  <c r="W26" i="18"/>
  <c r="V27" i="18" s="1"/>
  <c r="L9" i="17"/>
  <c r="L10" i="17" s="1"/>
  <c r="R15" i="19" l="1"/>
  <c r="R14" i="19"/>
  <c r="R18" i="19"/>
  <c r="R10" i="19"/>
  <c r="R9" i="19"/>
  <c r="R11" i="19"/>
  <c r="R20" i="19"/>
  <c r="R21" i="19"/>
  <c r="R17" i="19"/>
  <c r="R13" i="19"/>
  <c r="R12" i="19"/>
  <c r="R24" i="19" s="1"/>
  <c r="R23" i="19"/>
  <c r="R16" i="19"/>
  <c r="T24" i="16"/>
  <c r="T25" i="16" s="1"/>
  <c r="T23" i="16"/>
  <c r="L24" i="16"/>
  <c r="L25" i="16" s="1"/>
  <c r="L23" i="16"/>
  <c r="D24" i="16"/>
  <c r="D25" i="16" s="1"/>
  <c r="D23" i="16"/>
  <c r="C41" i="15"/>
  <c r="C32" i="15"/>
  <c r="C31" i="15"/>
  <c r="C46" i="15" s="1"/>
  <c r="C48" i="15" l="1"/>
  <c r="D48" i="15"/>
  <c r="E34" i="15"/>
  <c r="E21" i="15"/>
  <c r="E20" i="15"/>
  <c r="E19" i="15"/>
  <c r="E18" i="15"/>
  <c r="E17" i="15"/>
  <c r="E16" i="15"/>
  <c r="E15" i="15"/>
  <c r="E14" i="15"/>
  <c r="E13" i="15"/>
  <c r="E12" i="15"/>
  <c r="E11" i="15"/>
  <c r="E10" i="15"/>
  <c r="E9" i="15"/>
  <c r="E8" i="15"/>
  <c r="E7" i="15"/>
  <c r="E6" i="15"/>
  <c r="C38" i="14"/>
  <c r="H22" i="14"/>
  <c r="J22" i="14" s="1"/>
  <c r="H23" i="14"/>
  <c r="J23" i="14" s="1"/>
  <c r="H24" i="14"/>
  <c r="J24" i="14" s="1"/>
  <c r="H25" i="14"/>
  <c r="J25" i="14" s="1"/>
  <c r="G22" i="14"/>
  <c r="I22" i="14" s="1"/>
  <c r="G23" i="14"/>
  <c r="I23" i="14" s="1"/>
  <c r="G24" i="14"/>
  <c r="I24" i="14" s="1"/>
  <c r="G25" i="14"/>
  <c r="I25" i="14" s="1"/>
  <c r="E21" i="14"/>
  <c r="H21" i="14" s="1"/>
  <c r="J21" i="14" s="1"/>
  <c r="E20" i="14"/>
  <c r="H20" i="14" s="1"/>
  <c r="J20" i="14" s="1"/>
  <c r="E19" i="14"/>
  <c r="H19" i="14" s="1"/>
  <c r="J19" i="14" s="1"/>
  <c r="E18" i="14"/>
  <c r="G18" i="14" s="1"/>
  <c r="I18" i="14" s="1"/>
  <c r="E17" i="14"/>
  <c r="G17" i="14" s="1"/>
  <c r="I17" i="14" s="1"/>
  <c r="E16" i="14"/>
  <c r="G16" i="14" s="1"/>
  <c r="I16" i="14" s="1"/>
  <c r="E15" i="14"/>
  <c r="H15" i="14" s="1"/>
  <c r="J15" i="14" s="1"/>
  <c r="E14" i="14"/>
  <c r="G14" i="14" s="1"/>
  <c r="I14" i="14" s="1"/>
  <c r="E13" i="14"/>
  <c r="H13" i="14" s="1"/>
  <c r="J13" i="14" s="1"/>
  <c r="E12" i="14"/>
  <c r="G12" i="14" s="1"/>
  <c r="I12" i="14" s="1"/>
  <c r="E11" i="14"/>
  <c r="H11" i="14" s="1"/>
  <c r="J11" i="14" s="1"/>
  <c r="E10" i="14"/>
  <c r="H10" i="14" s="1"/>
  <c r="J10" i="14" s="1"/>
  <c r="E9" i="14"/>
  <c r="G9" i="14" s="1"/>
  <c r="I9" i="14" s="1"/>
  <c r="E8" i="14"/>
  <c r="H8" i="14" s="1"/>
  <c r="J8" i="14" s="1"/>
  <c r="E7" i="14"/>
  <c r="G7" i="14" s="1"/>
  <c r="I7" i="14" s="1"/>
  <c r="E6" i="14"/>
  <c r="H6" i="14" s="1"/>
  <c r="J6" i="14" s="1"/>
  <c r="C42" i="13"/>
  <c r="C30" i="13"/>
  <c r="C29" i="13"/>
  <c r="C34" i="13" s="1"/>
  <c r="E21" i="13"/>
  <c r="E20" i="13"/>
  <c r="E19" i="13"/>
  <c r="E18" i="13"/>
  <c r="E17" i="13"/>
  <c r="E16" i="13"/>
  <c r="E15" i="13"/>
  <c r="E14" i="13"/>
  <c r="E13" i="13"/>
  <c r="E12" i="13"/>
  <c r="E11" i="13"/>
  <c r="E10" i="13"/>
  <c r="E9" i="13"/>
  <c r="E8" i="13"/>
  <c r="E7" i="13"/>
  <c r="E6" i="13"/>
  <c r="E19" i="12"/>
  <c r="E18" i="12"/>
  <c r="E17" i="12"/>
  <c r="E16" i="12"/>
  <c r="E15" i="12"/>
  <c r="E14" i="12"/>
  <c r="E13" i="12"/>
  <c r="E12" i="12"/>
  <c r="E11" i="12"/>
  <c r="E10" i="12"/>
  <c r="E9" i="12"/>
  <c r="E8" i="12"/>
  <c r="E7" i="12"/>
  <c r="E6" i="12"/>
  <c r="E5" i="12"/>
  <c r="E4" i="12"/>
  <c r="D47" i="13" l="1"/>
  <c r="C47" i="13"/>
  <c r="G13" i="14"/>
  <c r="I13" i="14" s="1"/>
  <c r="H12" i="14"/>
  <c r="J12" i="14" s="1"/>
  <c r="H14" i="14"/>
  <c r="J14" i="14" s="1"/>
  <c r="G11" i="14"/>
  <c r="I11" i="14" s="1"/>
  <c r="G10" i="14"/>
  <c r="I10" i="14" s="1"/>
  <c r="G15" i="14"/>
  <c r="I15" i="14" s="1"/>
  <c r="H17" i="14"/>
  <c r="J17" i="14" s="1"/>
  <c r="H16" i="14"/>
  <c r="J16" i="14" s="1"/>
  <c r="H9" i="14"/>
  <c r="J9" i="14" s="1"/>
  <c r="H7" i="14"/>
  <c r="J7" i="14" s="1"/>
  <c r="G8" i="14"/>
  <c r="I8" i="14" s="1"/>
  <c r="G21" i="14"/>
  <c r="I21" i="14" s="1"/>
  <c r="G19" i="14"/>
  <c r="I19" i="14" s="1"/>
  <c r="G6" i="14"/>
  <c r="I6" i="14" s="1"/>
  <c r="G20" i="14"/>
  <c r="I20" i="14" s="1"/>
  <c r="H18" i="14"/>
  <c r="J18" i="14" s="1"/>
  <c r="I26" i="14" l="1"/>
  <c r="C29" i="14"/>
  <c r="C30" i="14" s="1"/>
  <c r="J26" i="14"/>
  <c r="C28" i="14" s="1"/>
  <c r="C31" i="14" s="1"/>
  <c r="C45" i="14" s="1"/>
  <c r="C33" i="10" l="1"/>
  <c r="X24" i="10"/>
  <c r="W20" i="10"/>
  <c r="U19" i="10"/>
  <c r="W18" i="10"/>
  <c r="U18" i="10"/>
  <c r="U17" i="10"/>
  <c r="W16" i="10"/>
  <c r="U16" i="10"/>
  <c r="U15" i="10"/>
  <c r="W14" i="10"/>
  <c r="U14" i="10"/>
  <c r="U13" i="10"/>
  <c r="W12" i="10"/>
  <c r="U12" i="10"/>
  <c r="U11" i="10"/>
  <c r="W10" i="10"/>
  <c r="U10" i="10"/>
  <c r="U9" i="10"/>
  <c r="W8" i="10"/>
  <c r="U8" i="10"/>
  <c r="U7" i="10"/>
  <c r="W6" i="10"/>
  <c r="U6" i="10"/>
  <c r="U5" i="10"/>
  <c r="W4" i="10"/>
  <c r="U4" i="10"/>
  <c r="W24" i="10" l="1"/>
  <c r="N8" i="10"/>
  <c r="P8" i="10"/>
  <c r="J8" i="10"/>
  <c r="B20" i="10"/>
  <c r="F20" i="10"/>
  <c r="H20" i="10"/>
  <c r="L7" i="10"/>
  <c r="M7" i="10"/>
  <c r="L6" i="10"/>
  <c r="M6" i="10"/>
  <c r="L5" i="10"/>
  <c r="M5" i="10"/>
  <c r="O4" i="10"/>
  <c r="O8" i="10" s="1"/>
  <c r="M4" i="10"/>
  <c r="L4" i="10"/>
  <c r="E19" i="10"/>
  <c r="G18" i="10"/>
  <c r="E18" i="10"/>
  <c r="E17" i="10"/>
  <c r="G16" i="10"/>
  <c r="E16" i="10"/>
  <c r="E15" i="10"/>
  <c r="G14" i="10"/>
  <c r="E14" i="10"/>
  <c r="E13" i="10"/>
  <c r="G12" i="10"/>
  <c r="E12" i="10"/>
  <c r="E11" i="10"/>
  <c r="G10" i="10"/>
  <c r="E10" i="10"/>
  <c r="E9" i="10"/>
  <c r="G8" i="10"/>
  <c r="E8" i="10"/>
  <c r="E7" i="10"/>
  <c r="G6" i="10"/>
  <c r="E6" i="10"/>
  <c r="E5" i="10"/>
  <c r="G4" i="10"/>
  <c r="E4" i="10"/>
  <c r="T17" i="9"/>
  <c r="T16" i="9" s="1"/>
  <c r="D29" i="9" s="1"/>
  <c r="P20" i="9"/>
  <c r="P18" i="9"/>
  <c r="P16" i="9"/>
  <c r="P14" i="9"/>
  <c r="P12" i="9"/>
  <c r="P10" i="9"/>
  <c r="P8" i="9"/>
  <c r="P6" i="9"/>
  <c r="P4" i="9"/>
  <c r="M21" i="9"/>
  <c r="M22" i="9"/>
  <c r="M23" i="9"/>
  <c r="M20" i="9"/>
  <c r="L21" i="9"/>
  <c r="L22" i="9"/>
  <c r="L23" i="9"/>
  <c r="L20" i="9"/>
  <c r="K21" i="9"/>
  <c r="N21" i="9" s="1"/>
  <c r="K22" i="9"/>
  <c r="N22" i="9" s="1"/>
  <c r="K23" i="9"/>
  <c r="K20" i="9"/>
  <c r="G20" i="9"/>
  <c r="G6" i="9"/>
  <c r="G4" i="9"/>
  <c r="G18" i="9"/>
  <c r="G16" i="9"/>
  <c r="G14" i="9"/>
  <c r="G12" i="9"/>
  <c r="G10" i="9"/>
  <c r="G8" i="9"/>
  <c r="N19" i="9"/>
  <c r="N18" i="9"/>
  <c r="N17" i="9"/>
  <c r="N16" i="9"/>
  <c r="N15" i="9"/>
  <c r="N14" i="9"/>
  <c r="N13" i="9"/>
  <c r="N12" i="9"/>
  <c r="N11" i="9"/>
  <c r="N10" i="9"/>
  <c r="N9" i="9"/>
  <c r="N8" i="9"/>
  <c r="N7" i="9"/>
  <c r="N6" i="9"/>
  <c r="N5" i="9"/>
  <c r="N4" i="9"/>
  <c r="C35" i="8"/>
  <c r="D28" i="8"/>
  <c r="E19" i="8"/>
  <c r="E18" i="8"/>
  <c r="E17" i="8"/>
  <c r="E16" i="8"/>
  <c r="E15" i="8"/>
  <c r="E14" i="8"/>
  <c r="E13" i="8"/>
  <c r="E12" i="8"/>
  <c r="E11" i="8"/>
  <c r="E10" i="8"/>
  <c r="E9" i="8"/>
  <c r="E8" i="8"/>
  <c r="E7" i="8"/>
  <c r="E6" i="8"/>
  <c r="E5" i="8"/>
  <c r="E4" i="8"/>
  <c r="K25" i="4"/>
  <c r="K31" i="4" s="1"/>
  <c r="K33" i="4" s="1"/>
  <c r="I25" i="4"/>
  <c r="I31" i="4" s="1"/>
  <c r="I33" i="4" s="1"/>
  <c r="G25" i="4"/>
  <c r="G31" i="4" s="1"/>
  <c r="G33" i="4" s="1"/>
  <c r="E25" i="4"/>
  <c r="E31" i="4" s="1"/>
  <c r="C25" i="4"/>
  <c r="C31" i="4" s="1"/>
  <c r="E19" i="4"/>
  <c r="E18" i="4"/>
  <c r="E17" i="4"/>
  <c r="E16" i="4"/>
  <c r="E15" i="4"/>
  <c r="E14" i="4"/>
  <c r="E13" i="4"/>
  <c r="E12" i="4"/>
  <c r="E11" i="4"/>
  <c r="E10" i="4"/>
  <c r="E9" i="4"/>
  <c r="E8" i="4"/>
  <c r="E7" i="4"/>
  <c r="E6" i="4"/>
  <c r="E5" i="4"/>
  <c r="E4" i="4"/>
  <c r="C28" i="10" l="1"/>
  <c r="C33" i="4"/>
  <c r="E33" i="4"/>
  <c r="G20" i="10"/>
  <c r="X16" i="9"/>
  <c r="N23" i="9"/>
  <c r="N20" i="9"/>
  <c r="P24" i="9"/>
  <c r="U17" i="9" s="1"/>
  <c r="U16" i="9" s="1"/>
  <c r="V16" i="9" s="1"/>
  <c r="C39" i="10" l="1"/>
  <c r="L16" i="10"/>
  <c r="M16" i="10" s="1"/>
  <c r="N16" i="10" s="1"/>
  <c r="V17" i="9"/>
  <c r="C40" i="9" l="1"/>
  <c r="Y16" i="9"/>
  <c r="H19" i="3"/>
  <c r="G19" i="3"/>
  <c r="F19" i="3"/>
  <c r="E19" i="3"/>
  <c r="H18" i="3"/>
  <c r="G18" i="3"/>
  <c r="F18" i="3"/>
  <c r="E18" i="3"/>
  <c r="H17" i="3"/>
  <c r="G17" i="3"/>
  <c r="F17" i="3"/>
  <c r="E17" i="3"/>
  <c r="H16" i="3"/>
  <c r="G16" i="3"/>
  <c r="F16" i="3"/>
  <c r="E16" i="3"/>
  <c r="H15" i="3"/>
  <c r="G15" i="3"/>
  <c r="F15" i="3"/>
  <c r="E15" i="3"/>
  <c r="H14" i="3"/>
  <c r="G14" i="3"/>
  <c r="F14" i="3"/>
  <c r="E14" i="3"/>
  <c r="H13" i="3"/>
  <c r="G13" i="3"/>
  <c r="F13" i="3"/>
  <c r="E13" i="3"/>
  <c r="H12" i="3"/>
  <c r="G12" i="3"/>
  <c r="F12" i="3"/>
  <c r="E12" i="3"/>
  <c r="H11" i="3"/>
  <c r="G11" i="3"/>
  <c r="F11" i="3"/>
  <c r="E11" i="3"/>
  <c r="H10" i="3"/>
  <c r="G10" i="3"/>
  <c r="F10" i="3"/>
  <c r="E10" i="3"/>
  <c r="H9" i="3"/>
  <c r="G9" i="3"/>
  <c r="F9" i="3"/>
  <c r="E9" i="3"/>
  <c r="H8" i="3"/>
  <c r="G8" i="3"/>
  <c r="F8" i="3"/>
  <c r="E8" i="3"/>
  <c r="H7" i="3"/>
  <c r="G7" i="3"/>
  <c r="F7" i="3"/>
  <c r="E7" i="3"/>
  <c r="H6" i="3"/>
  <c r="G6" i="3"/>
  <c r="F6" i="3"/>
  <c r="E6" i="3"/>
  <c r="H5" i="3"/>
  <c r="G5" i="3"/>
  <c r="F5" i="3"/>
  <c r="E5" i="3"/>
  <c r="H4" i="3"/>
  <c r="G4" i="3"/>
  <c r="F4" i="3"/>
  <c r="E4" i="3"/>
  <c r="F19" i="2"/>
  <c r="F17" i="2"/>
  <c r="F15" i="2"/>
  <c r="F13" i="2"/>
  <c r="F11" i="2"/>
  <c r="F9" i="2"/>
  <c r="F7" i="2"/>
  <c r="F5" i="2"/>
  <c r="P8" i="2"/>
  <c r="P9" i="2"/>
  <c r="P10" i="2"/>
  <c r="P11" i="2"/>
  <c r="P12" i="2"/>
  <c r="P13" i="2"/>
  <c r="P14" i="2"/>
  <c r="P15" i="2"/>
  <c r="P16" i="2"/>
  <c r="P17" i="2"/>
  <c r="P18" i="2"/>
  <c r="P19" i="2"/>
  <c r="P20" i="2"/>
  <c r="P21" i="2"/>
  <c r="P22" i="2"/>
  <c r="P7" i="2"/>
  <c r="O8" i="2"/>
  <c r="O9" i="2"/>
  <c r="O10" i="2"/>
  <c r="O11" i="2"/>
  <c r="O12" i="2"/>
  <c r="O13" i="2"/>
  <c r="O14" i="2"/>
  <c r="O15" i="2"/>
  <c r="O16" i="2"/>
  <c r="O17" i="2"/>
  <c r="O18" i="2"/>
  <c r="O19" i="2"/>
  <c r="O20" i="2"/>
  <c r="O21" i="2"/>
  <c r="O22" i="2"/>
  <c r="O7" i="2"/>
  <c r="N8" i="2"/>
  <c r="N9" i="2"/>
  <c r="N10" i="2"/>
  <c r="N11" i="2"/>
  <c r="N12" i="2"/>
  <c r="N13" i="2"/>
  <c r="N14" i="2"/>
  <c r="N15" i="2"/>
  <c r="N16" i="2"/>
  <c r="N17" i="2"/>
  <c r="N18" i="2"/>
  <c r="N19" i="2"/>
  <c r="N20" i="2"/>
  <c r="N21" i="2"/>
  <c r="N22" i="2"/>
  <c r="N7" i="2"/>
  <c r="M8" i="2"/>
  <c r="M9" i="2"/>
  <c r="M10" i="2"/>
  <c r="M11" i="2"/>
  <c r="M12" i="2"/>
  <c r="M13" i="2"/>
  <c r="M14" i="2"/>
  <c r="M15" i="2"/>
  <c r="M16" i="2"/>
  <c r="M17" i="2"/>
  <c r="M18" i="2"/>
  <c r="M19" i="2"/>
  <c r="M20" i="2"/>
  <c r="M21" i="2"/>
  <c r="M22" i="2"/>
  <c r="M7" i="2"/>
  <c r="G33" i="1"/>
  <c r="B32" i="1"/>
  <c r="AC20" i="1"/>
  <c r="AC19" i="1"/>
  <c r="AC18" i="1"/>
  <c r="AC17" i="1"/>
  <c r="AC16" i="1"/>
  <c r="AC15" i="1"/>
  <c r="AC14" i="1"/>
  <c r="AC13" i="1"/>
  <c r="C37" i="1"/>
  <c r="B37" i="1"/>
  <c r="D26" i="1" s="1"/>
  <c r="C36" i="1"/>
  <c r="B36" i="1"/>
  <c r="C26" i="1" s="1"/>
  <c r="C35" i="1"/>
  <c r="B35" i="1"/>
  <c r="H14" i="1"/>
  <c r="E26" i="1" s="1"/>
  <c r="M50" i="1" s="1"/>
  <c r="H15" i="1"/>
  <c r="E27" i="1" s="1"/>
  <c r="J43" i="1" s="1"/>
  <c r="H16" i="1"/>
  <c r="E28" i="1" s="1"/>
  <c r="O43" i="1" s="1"/>
  <c r="H17" i="1"/>
  <c r="E29" i="1" s="1"/>
  <c r="H18" i="1"/>
  <c r="E30" i="1" s="1"/>
  <c r="M33" i="1" s="1"/>
  <c r="H19" i="1"/>
  <c r="E31" i="1" s="1"/>
  <c r="J27" i="1" s="1"/>
  <c r="H20" i="1"/>
  <c r="E32" i="1" s="1"/>
  <c r="O27" i="1" s="1"/>
  <c r="E25" i="1"/>
  <c r="G49" i="1" s="1"/>
  <c r="D29" i="1" l="1"/>
  <c r="D25" i="1"/>
  <c r="D28" i="1"/>
  <c r="D32" i="1"/>
  <c r="B27" i="1"/>
  <c r="B25" i="1"/>
  <c r="S7" i="2" a="1"/>
  <c r="S7" i="2" s="1"/>
  <c r="S17" i="2" s="1" a="1"/>
  <c r="B29" i="1"/>
  <c r="D31" i="1"/>
  <c r="B26" i="1"/>
  <c r="D30" i="1"/>
  <c r="B31" i="1"/>
  <c r="B30" i="1"/>
  <c r="D27" i="1"/>
  <c r="C30" i="1"/>
  <c r="C27" i="1"/>
  <c r="B28" i="1"/>
  <c r="C25" i="1"/>
  <c r="C32" i="1"/>
  <c r="C31" i="1"/>
  <c r="C29" i="1"/>
  <c r="C28" i="1"/>
  <c r="V18" i="2" l="1"/>
  <c r="V22" i="2"/>
  <c r="V23" i="2"/>
  <c r="V19" i="2"/>
  <c r="V24" i="2"/>
  <c r="V20" i="2"/>
  <c r="V21" i="2"/>
  <c r="S17" i="2"/>
  <c r="V17" i="2" s="1"/>
  <c r="S24" i="2"/>
  <c r="S23" i="2"/>
  <c r="S22" i="2"/>
  <c r="S21" i="2"/>
  <c r="S20" i="2"/>
  <c r="S19" i="2"/>
  <c r="S18" i="2"/>
  <c r="AH14" i="2"/>
  <c r="AG14" i="2"/>
  <c r="AF14" i="2"/>
  <c r="AE14" i="2"/>
  <c r="AD14" i="2"/>
  <c r="AC14" i="2"/>
  <c r="AB14" i="2"/>
  <c r="AA14" i="2"/>
  <c r="Z14" i="2"/>
  <c r="Y14" i="2"/>
  <c r="X14" i="2"/>
  <c r="W14" i="2"/>
  <c r="V14" i="2"/>
  <c r="U14" i="2"/>
  <c r="T14" i="2"/>
  <c r="S14" i="2"/>
  <c r="AH13" i="2"/>
  <c r="AG13" i="2"/>
  <c r="AF13" i="2"/>
  <c r="AE13" i="2"/>
  <c r="AD13" i="2"/>
  <c r="AC13" i="2"/>
  <c r="AB13" i="2"/>
  <c r="AA13" i="2"/>
  <c r="Z13" i="2"/>
  <c r="Y13" i="2"/>
  <c r="X13" i="2"/>
  <c r="W13" i="2"/>
  <c r="V13" i="2"/>
  <c r="U13" i="2"/>
  <c r="T13" i="2"/>
  <c r="S13" i="2"/>
  <c r="AH12" i="2"/>
  <c r="AG12" i="2"/>
  <c r="AF12" i="2"/>
  <c r="AE12" i="2"/>
  <c r="AD12" i="2"/>
  <c r="AC12" i="2"/>
  <c r="AB12" i="2"/>
  <c r="AA12" i="2"/>
  <c r="Z12" i="2"/>
  <c r="Y12" i="2"/>
  <c r="X12" i="2"/>
  <c r="W12" i="2"/>
  <c r="V12" i="2"/>
  <c r="U12" i="2"/>
  <c r="T12" i="2"/>
  <c r="S12" i="2"/>
  <c r="AH11" i="2"/>
  <c r="AG11" i="2"/>
  <c r="AF11" i="2"/>
  <c r="AE11" i="2"/>
  <c r="AD11" i="2"/>
  <c r="AC11" i="2"/>
  <c r="AB11" i="2"/>
  <c r="AA11" i="2"/>
  <c r="Z11" i="2"/>
  <c r="Y11" i="2"/>
  <c r="X11" i="2"/>
  <c r="W11" i="2"/>
  <c r="V11" i="2"/>
  <c r="U11" i="2"/>
  <c r="T11" i="2"/>
  <c r="S11" i="2"/>
  <c r="AH10" i="2"/>
  <c r="AG10" i="2"/>
  <c r="AF10" i="2"/>
  <c r="AE10" i="2"/>
  <c r="AD10" i="2"/>
  <c r="AC10" i="2"/>
  <c r="AB10" i="2"/>
  <c r="AA10" i="2"/>
  <c r="Z10" i="2"/>
  <c r="Y10" i="2"/>
  <c r="X10" i="2"/>
  <c r="W10" i="2"/>
  <c r="V10" i="2"/>
  <c r="U10" i="2"/>
  <c r="T10" i="2"/>
  <c r="S10" i="2"/>
  <c r="AH9" i="2"/>
  <c r="AG9" i="2"/>
  <c r="AF9" i="2"/>
  <c r="AE9" i="2"/>
  <c r="AD9" i="2"/>
  <c r="AC9" i="2"/>
  <c r="AB9" i="2"/>
  <c r="AA9" i="2"/>
  <c r="Z9" i="2"/>
  <c r="Y9" i="2"/>
  <c r="X9" i="2"/>
  <c r="W9" i="2"/>
  <c r="V9" i="2"/>
  <c r="U9" i="2"/>
  <c r="T9" i="2"/>
  <c r="S9" i="2"/>
  <c r="AH8" i="2"/>
  <c r="AG8" i="2"/>
  <c r="AF8" i="2"/>
  <c r="AE8" i="2"/>
  <c r="AD8" i="2"/>
  <c r="AC8" i="2"/>
  <c r="AB8" i="2"/>
  <c r="AA8" i="2"/>
  <c r="Z8" i="2"/>
  <c r="Y8" i="2"/>
  <c r="X8" i="2"/>
  <c r="W8" i="2"/>
  <c r="V8" i="2"/>
  <c r="U8" i="2"/>
  <c r="T8" i="2"/>
  <c r="S8" i="2"/>
  <c r="AH7" i="2"/>
  <c r="AG7" i="2"/>
  <c r="AF7" i="2"/>
  <c r="AE7" i="2"/>
  <c r="AD7" i="2"/>
  <c r="AC7" i="2"/>
  <c r="AB7" i="2"/>
  <c r="AA7" i="2"/>
  <c r="Z7" i="2"/>
  <c r="Y7" i="2"/>
  <c r="X7" i="2"/>
  <c r="W7" i="2"/>
  <c r="V7" i="2"/>
  <c r="U7" i="2"/>
  <c r="T7" i="2"/>
</calcChain>
</file>

<file path=xl/metadata.xml><?xml version="1.0" encoding="utf-8"?>
<metadata xmlns="http://schemas.openxmlformats.org/spreadsheetml/2006/main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xmlns:xda="http://schemas.microsoft.com/office/spreadsheetml/2017/dynamicarray"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<sst xmlns="http://schemas.openxmlformats.org/spreadsheetml/2006/main" count="871" uniqueCount="289">
  <si>
    <t>Bola skúmaná závislosť dostrelu katapultu v závislosti od vybraných premenných: Dĺžky ramena, Uhlu odpalu a Napätia guličky, pričom:</t>
  </si>
  <si>
    <t>·       𝑥1 ∈ 〈11,5; 16〉 je dĺžka ramena v cm,</t>
  </si>
  <si>
    <t>Dĺžka ramena [cm]</t>
  </si>
  <si>
    <t>Uhol odpalu [°]</t>
  </si>
  <si>
    <t>Napätie [N]</t>
  </si>
  <si>
    <t>Dostrel – rep. 1 [cm]</t>
  </si>
  <si>
    <t>Dostrel – rep. 2 [cm]</t>
  </si>
  <si>
    <t>č.m</t>
  </si>
  <si>
    <t>t1</t>
  </si>
  <si>
    <t>t3</t>
  </si>
  <si>
    <t>t2</t>
  </si>
  <si>
    <t>Y</t>
  </si>
  <si>
    <t>Priemer [cm]</t>
  </si>
  <si>
    <t>s</t>
  </si>
  <si>
    <t>λ</t>
  </si>
  <si>
    <r>
      <rPr>
        <b/>
        <i/>
        <sz val="11"/>
        <color theme="1"/>
        <rFont val="Aptos Narrow"/>
        <family val="2"/>
        <scheme val="minor"/>
      </rPr>
      <t>x</t>
    </r>
    <r>
      <rPr>
        <b/>
        <sz val="11"/>
        <color theme="1"/>
        <rFont val="Aptos Narrow"/>
        <family val="2"/>
        <charset val="238"/>
        <scheme val="minor"/>
      </rPr>
      <t>1</t>
    </r>
  </si>
  <si>
    <r>
      <rPr>
        <b/>
        <i/>
        <sz val="11"/>
        <color theme="1"/>
        <rFont val="Aptos Narrow"/>
        <family val="2"/>
        <scheme val="minor"/>
      </rPr>
      <t>x</t>
    </r>
    <r>
      <rPr>
        <b/>
        <sz val="11"/>
        <color theme="1"/>
        <rFont val="Aptos Narrow"/>
        <family val="2"/>
        <charset val="238"/>
        <scheme val="minor"/>
      </rPr>
      <t>2</t>
    </r>
  </si>
  <si>
    <r>
      <rPr>
        <b/>
        <i/>
        <sz val="11"/>
        <color theme="1"/>
        <rFont val="Aptos Narrow"/>
        <family val="2"/>
        <scheme val="minor"/>
      </rPr>
      <t>x</t>
    </r>
    <r>
      <rPr>
        <b/>
        <sz val="11"/>
        <color theme="1"/>
        <rFont val="Aptos Narrow"/>
        <family val="2"/>
        <charset val="238"/>
        <scheme val="minor"/>
      </rPr>
      <t>3</t>
    </r>
  </si>
  <si>
    <t>Y– rep. 1 [cm]</t>
  </si>
  <si>
    <t>Y – rep. 2 [cm]</t>
  </si>
  <si>
    <t>Y priemer [cm]</t>
  </si>
  <si>
    <t>Y priemer</t>
  </si>
  <si>
    <t>Výsledné hodnoty boli namerané pomocou aplikácie Virtuálny katapult. Pri experimente boli použité 2 replikácie.</t>
  </si>
  <si>
    <t>p.č.</t>
  </si>
  <si>
    <t>dĺžka ramena</t>
  </si>
  <si>
    <t>·       𝑥2 ∈ 〈30; 60〉 je uhol odpalu v °,</t>
  </si>
  <si>
    <t>·       𝑥3 ∈ 〈4,17;4,8〉 je napätie gumičky v N.</t>
  </si>
  <si>
    <t>uhol odpalu</t>
  </si>
  <si>
    <t>napätie gumičky</t>
  </si>
  <si>
    <t>1. CPLOT s priemernými odozvami:</t>
  </si>
  <si>
    <t>X=</t>
  </si>
  <si>
    <t>b0</t>
  </si>
  <si>
    <t>b1</t>
  </si>
  <si>
    <t>b2</t>
  </si>
  <si>
    <t>b3</t>
  </si>
  <si>
    <t>b12</t>
  </si>
  <si>
    <t>b13</t>
  </si>
  <si>
    <t>b23</t>
  </si>
  <si>
    <t>b123</t>
  </si>
  <si>
    <t>t1*t2</t>
  </si>
  <si>
    <t>t1*t3</t>
  </si>
  <si>
    <t>t2*t3</t>
  </si>
  <si>
    <t>t1*t2*t3</t>
  </si>
  <si>
    <t>XT=</t>
  </si>
  <si>
    <t>XT*Y=</t>
  </si>
  <si>
    <t>b0=</t>
  </si>
  <si>
    <t>b1=</t>
  </si>
  <si>
    <t>b2=</t>
  </si>
  <si>
    <t>b3=</t>
  </si>
  <si>
    <t>b12=</t>
  </si>
  <si>
    <t>b13=</t>
  </si>
  <si>
    <t>b23=</t>
  </si>
  <si>
    <t>b123=</t>
  </si>
  <si>
    <t>3. Na hladine významnosti 0,05 rozhodnite, ktoré z faktorov a interakcií nie sú štatisticky významné a možno ich vylúčiť, ak má zostať regresný model hierarchický. (1 bod)</t>
  </si>
  <si>
    <t>SUMMARY OUTPUT</t>
  </si>
  <si>
    <t>Regression Statistics</t>
  </si>
  <si>
    <t>Multiple R</t>
  </si>
  <si>
    <t>R Square</t>
  </si>
  <si>
    <t>Adjusted R Square</t>
  </si>
  <si>
    <t>Standard Error</t>
  </si>
  <si>
    <t>Observations</t>
  </si>
  <si>
    <t>ANOVA</t>
  </si>
  <si>
    <t>Regression</t>
  </si>
  <si>
    <t>Residual</t>
  </si>
  <si>
    <t>Total</t>
  </si>
  <si>
    <t>Intercept</t>
  </si>
  <si>
    <t>df</t>
  </si>
  <si>
    <t>SS</t>
  </si>
  <si>
    <t>MS</t>
  </si>
  <si>
    <t>F</t>
  </si>
  <si>
    <t>Significance F</t>
  </si>
  <si>
    <t>Coefficients</t>
  </si>
  <si>
    <t>t Stat</t>
  </si>
  <si>
    <t>P-value</t>
  </si>
  <si>
    <t>Lower 95%</t>
  </si>
  <si>
    <t>Upper 95%</t>
  </si>
  <si>
    <t>Lower 95,0%</t>
  </si>
  <si>
    <t>Upper 95,0%</t>
  </si>
  <si>
    <t>Na hladine významnosti α = 0,05 boli ako štatisticky nevýznamné identifikované interakcie t1*t3; t2*t3; t1*t2*t3</t>
  </si>
  <si>
    <t>Tieto členy boli z regresného modelu vylúčené.</t>
  </si>
  <si>
    <t>Model po redukcii zostáva hierarchický a obsahuje hlavné efekty t1,t2,t3 a interakciu t1*t2.</t>
  </si>
  <si>
    <t>4. Napíšte bodový odhad transformovanej regresnej funkcie lineárneho typu, ktorý vznikne po vylúčení štatisticky nevýznamných členov. Ďalej pracujte s týmto modelom. (1 bod)</t>
  </si>
  <si>
    <t>fLt(t1, t2, t3)=</t>
  </si>
  <si>
    <t>+</t>
  </si>
  <si>
    <t>*t1+</t>
  </si>
  <si>
    <t>*t2+</t>
  </si>
  <si>
    <t>*t3+</t>
  </si>
  <si>
    <t>*t1*t2</t>
  </si>
  <si>
    <t>5. Napíšte rovnicu pôvodnej regresnej funkcie lineárneho typu, t.j. rovnicu regresného modelu v nekódovaných hodnotách s upravenými koeficientami. (2 body)</t>
  </si>
  <si>
    <t>fL(x1, x2, x3)=</t>
  </si>
  <si>
    <t>*(x1-13,75)/2,25+</t>
  </si>
  <si>
    <t>*(x3-4,485)/0,315+</t>
  </si>
  <si>
    <t>*(x1-13,75)/2,25*(x2-45)/15</t>
  </si>
  <si>
    <t>*(x2-45)/15+</t>
  </si>
  <si>
    <t>*x1+</t>
  </si>
  <si>
    <t>*x2+</t>
  </si>
  <si>
    <t>*x3+</t>
  </si>
  <si>
    <t>*x1*x2</t>
  </si>
  <si>
    <t>fL(x1, x2, x3)= -637,789 + 26,9234 * x1 + 3,15511 * x2 + 83,6163 * x3 - 0,18646 * x1 * x2</t>
  </si>
  <si>
    <t>6. Charakterizujte kvalitu získaného modelu pomocou indexu determinácie. Číselnú hodnotu interpretujte slovne. (2 body)</t>
  </si>
  <si>
    <t>7. Porovnajte upravený index determinácie pri modeli so všetkými pôvodnými premennými a pri modeli, ktorý dostanete po ich vylúčení. Výsledok interpretujte. (2 body)</t>
  </si>
  <si>
    <t>Model s pôvodnými premennými:</t>
  </si>
  <si>
    <t>Model po vylúčení:</t>
  </si>
  <si>
    <t>Po vylúčení štatisticky nevýznamných členov došlo k nárastu upraveného indexu determinácie z 0,9745 na 0,9796, čo potvrdzuje, že redukovaný model je z hľadiska presnosti vhodnejší než pôvodný model.</t>
  </si>
  <si>
    <t>8. Charakterizujte kvalitu modelu z hľadiska jeho predikcie. (2 body)</t>
  </si>
  <si>
    <t>fLt(t1, t2, t3) = 134,035 + 41,6986 *t1 + 8,86923 * t2 + 26,3391 * t3 - 6,29303 *t1*t2</t>
  </si>
  <si>
    <t>9. Otestujte celkovú štatistickú významnosť regresného modelu pomocou F testu. (3 body)</t>
  </si>
  <si>
    <t>H0: b1=b2=b3=b12=0 &gt;&lt; H1:existuje aspoň jedno 𝑏𝑖 ≠ 0</t>
  </si>
  <si>
    <t>α= 0,03</t>
  </si>
  <si>
    <t>Testujeme hypotézu:</t>
  </si>
  <si>
    <t>F0=</t>
  </si>
  <si>
    <t>Fkv 4;11 (0,97)=</t>
  </si>
  <si>
    <t>F0&gt;Fkv 4;11 (0,97)</t>
  </si>
  <si>
    <t>Kritická oblasť: W = (4,02;∞)</t>
  </si>
  <si>
    <t>F0 patrí do W</t>
  </si>
  <si>
    <t>P hodnota:</t>
  </si>
  <si>
    <t>≪</t>
  </si>
  <si>
    <t>Lower 98,0%</t>
  </si>
  <si>
    <t>Upper 98,0%</t>
  </si>
  <si>
    <t>H0: zamietame</t>
  </si>
  <si>
    <t>H1: prijímame</t>
  </si>
  <si>
    <t xml:space="preserve">Pomocou F-testu bolo na hladine významnosti α = 0,03 preukázané, že regresný model je ako celok štatisticky významný. </t>
  </si>
  <si>
    <t>10. Otestujte kvalitu modelu testom Lack of Fit. (3 body)</t>
  </si>
  <si>
    <t>Pure error</t>
  </si>
  <si>
    <t>df pre PE</t>
  </si>
  <si>
    <t>α= 0,02</t>
  </si>
  <si>
    <t>Curvature</t>
  </si>
  <si>
    <t>Lack of fit</t>
  </si>
  <si>
    <t>F krit</t>
  </si>
  <si>
    <t>H0: NO LOF &gt;&lt; H1: LOF</t>
  </si>
  <si>
    <t>F kv 4;11 (0,98) =</t>
  </si>
  <si>
    <t>F kv 4;11 (0,98) &gt; F0</t>
  </si>
  <si>
    <t>Kritická oblasť : W= (4,59434; ∞)</t>
  </si>
  <si>
    <t>F0 nepatrí do W</t>
  </si>
  <si>
    <t>H1: zamietame</t>
  </si>
  <si>
    <t>H0: prijímame</t>
  </si>
  <si>
    <t>&gt; α</t>
  </si>
  <si>
    <t>Na hladine významnosti 𝛼 = 0,02 možno konštatovať, že regresný model lineárneho typu nie je nedostatočný (je dostatočný) a nie je potrebné do modelu zaraďovať kvadratické členy.</t>
  </si>
  <si>
    <t>11. Testom krivosti overte, či nie je potrebné do modelu zaradiť kvadratické členy.</t>
  </si>
  <si>
    <t>SSCPQ=</t>
  </si>
  <si>
    <t>&gt;&lt;</t>
  </si>
  <si>
    <t>Fkv  1;11 (0,98)=</t>
  </si>
  <si>
    <t>Kritická oblasť : W= (7,38795; ∞)</t>
  </si>
  <si>
    <t>Na hladine významnosti 𝛼 = 0,02 prijímame hypotézu, že do regresného modelu nie je potrebné zaraďovať kvadratické členy, t.j. nie je potrebný úplný kvadratický regresný model.</t>
  </si>
  <si>
    <t>12. Analyzujte reziduá graficky a overte, či spĺňajú požadované podmienky aj pomocou testov.</t>
  </si>
  <si>
    <t>Lower 99,0%</t>
  </si>
  <si>
    <t>Upper 99,0%</t>
  </si>
  <si>
    <t>RESIDUAL OUTPUT</t>
  </si>
  <si>
    <t>Observation</t>
  </si>
  <si>
    <t>Predicted Y</t>
  </si>
  <si>
    <t>Residuals</t>
  </si>
  <si>
    <t>Standard Residuals</t>
  </si>
  <si>
    <t>Histogram: ukazuje veľmi mierne asymetrické rozdelenie, čo môže naznačovať mierne skreslenie dát.</t>
  </si>
  <si>
    <t>Versus Order: správanie reziduí v čase v našom prípade nenaznačuje žiadny trend.</t>
  </si>
  <si>
    <t>Versus fits: body sú náhodne rozhádzané, nieje viditeľný žiadny vzor.</t>
  </si>
  <si>
    <r>
      <t xml:space="preserve">Normal probability plot: body takmer dokonale kopírujú červenú priamku. Nie sú tam žiadne výrazné odchýlky na koncoch, toto je </t>
    </r>
    <r>
      <rPr>
        <sz val="11"/>
        <color theme="1"/>
        <rFont val="Aptos Narrow"/>
        <family val="2"/>
        <scheme val="minor"/>
      </rPr>
      <t>ideálny stav.</t>
    </r>
  </si>
  <si>
    <t>Grafy naznačujú, že regresný model spĺňa základné predpoklady.</t>
  </si>
  <si>
    <t xml:space="preserve">Testujeme hypotézu: 𝐻0: Dáta pochádzajú z normálneho rozdelenia&gt;&lt; 𝐻1: Dáta nepochádzajú z normálneho rozdelenia. </t>
  </si>
  <si>
    <t>P hodnota &gt; α</t>
  </si>
  <si>
    <t>13. Určte, či je samostatný vplyv vybraného faktoru na hodnotu regresnej funkcie lineárneho typu štatisticky významný. Použite t test nulovosti regresného koeficientu.</t>
  </si>
  <si>
    <t>Lower 97,0%</t>
  </si>
  <si>
    <t>Upper 97,0%</t>
  </si>
  <si>
    <t>Testujeme hypotézu: H0: b3=0 &gt;&lt; H1: B3 ≠ 0</t>
  </si>
  <si>
    <t>t0(b3)=</t>
  </si>
  <si>
    <t>tkv 15 (0,99) =</t>
  </si>
  <si>
    <t>tkv 15 (0,01) =</t>
  </si>
  <si>
    <t>delta=</t>
  </si>
  <si>
    <t>t0&gt;tkv 15 (0,99)</t>
  </si>
  <si>
    <t>Kritická oblasť W : (-∞ ; -2,6 )  U   (2,6 ; ∞)</t>
  </si>
  <si>
    <t>98% IS pre b3:</t>
  </si>
  <si>
    <t xml:space="preserve">0 nepatrí do 98% IS pre b3 </t>
  </si>
  <si>
    <t>Na hladine významnosti 𝛼 = 0,02 možno konštatovať, že regresný koeficient 𝑏3 je štatisticky významný,</t>
  </si>
  <si>
    <t>t.j. nemožno ho zanedbať. Napätie gumičky je dôležitý faktor pre dostrel katapultu.</t>
  </si>
  <si>
    <t>t.j. samostatný vplyv faktora 𝑡3 na hodnotu transformovanej regresnej funkcie (𝑓𝐿)𝑡 (𝑡1,𝑡2,𝑡3) je štatisticky významný,</t>
  </si>
  <si>
    <t>14. Určte, či je samostatný vplyv vybraného faktoru na hodnotu regresnej funkcie lineárneho typu štatisticky významný. Použite F test dodatočného príspevku vybraného faktora na vysvetlenie variability závislej premennej.</t>
  </si>
  <si>
    <t>Testujeme hypotézu: 𝐻0: Dodatočný príspevok faktora Napätie gumičky na vysvetlenie variability dostrelu katapultu nie je štatisticky významný &gt;&lt; 𝐻1: Dodatočný príspevok faktora Napätie gumičky na vysvetlenie variability dostrelu katapultu je štatisticky významný.</t>
  </si>
  <si>
    <t>Y pred. s t3</t>
  </si>
  <si>
    <t>Y pred. Bez t3</t>
  </si>
  <si>
    <t>(delta s t3)^2</t>
  </si>
  <si>
    <t>(delta bez t3)^2</t>
  </si>
  <si>
    <t>SS:</t>
  </si>
  <si>
    <t>Prínos t3:</t>
  </si>
  <si>
    <t>SSR pre t3:</t>
  </si>
  <si>
    <t>SSE (t3):</t>
  </si>
  <si>
    <t>F0:</t>
  </si>
  <si>
    <t>f kv 1;15 (0,97)=</t>
  </si>
  <si>
    <t>F0&gt;Fkv 1;15 (0,97)</t>
  </si>
  <si>
    <t>Kritická oblasť: W = (5,74563;∞)</t>
  </si>
  <si>
    <t>Na hladine významnosti α=0,03 je samostatný vplyv faktora t3 – Napätie gumičky na hodnotu regresnej funkcie štatisticky významný.</t>
  </si>
  <si>
    <t>15. Určte, či je vybraná interakcia faktorov na hodnotu regresnej funkcie lineárneho typu štatisticky významná. Použite t test nulovosti regresného koeficientu. (3 body)</t>
  </si>
  <si>
    <t>Testuje sa hypotéza: H0: b12=0 &gt;&lt; H1: b12 sa nerovná 0</t>
  </si>
  <si>
    <t>α= 0,05</t>
  </si>
  <si>
    <t>Test interakcie t1*t2 na hodnotu regresnej funkcie lineárneho typu</t>
  </si>
  <si>
    <t>t kv 15 (0,975)=</t>
  </si>
  <si>
    <t>t kv 15 (0,025) =</t>
  </si>
  <si>
    <t>Kritická oblasť W : (-∞ ; -2,13 )  U   (2,13 ; ∞)</t>
  </si>
  <si>
    <t>t0 (b12)=</t>
  </si>
  <si>
    <t>=&gt;</t>
  </si>
  <si>
    <t>t0 patrí do W</t>
  </si>
  <si>
    <t>&lt;α= 0,03</t>
  </si>
  <si>
    <t>delta:</t>
  </si>
  <si>
    <t>95% IS pre b12:</t>
  </si>
  <si>
    <t>0 nepatrí do 95% IS pre b12</t>
  </si>
  <si>
    <t>Na hladine významnosti 𝛼 = 0,05 možno konštatovať, že regresný koeficient 𝑏12 je štatisticky významný,</t>
  </si>
  <si>
    <t>t.j. spoločný vplyv faktorov 𝑡1 a 𝑡2 na hodnotu transformovanej regresnej funkcie (𝑓𝐿 )𝑡 (𝑡1,𝑡2,𝑡3 ) je štatisticky významný,</t>
  </si>
  <si>
    <t>16. Vypočítajte a zobrazte grafy hlavných efektov sledovaných faktorov (main effect plots). Grafy porovnajte a interpretujte.</t>
  </si>
  <si>
    <t>A_t1</t>
  </si>
  <si>
    <t>B_t2</t>
  </si>
  <si>
    <t>C_t3</t>
  </si>
  <si>
    <t>Hlavný efekt faktora A_Dĺžka ramena</t>
  </si>
  <si>
    <t>Hlavný efekt faktora B_Uhol odpalu</t>
  </si>
  <si>
    <t>ef(A)=</t>
  </si>
  <si>
    <t>ef(B)=</t>
  </si>
  <si>
    <t>ef(C)=</t>
  </si>
  <si>
    <t>Hlavný efekt faktora C_Napätie gumičky</t>
  </si>
  <si>
    <r>
      <t>Faktor B (Uhol odpalu)</t>
    </r>
    <r>
      <rPr>
        <sz val="11"/>
        <color theme="1"/>
        <rFont val="Aptos Narrow"/>
        <family val="2"/>
        <charset val="238"/>
        <scheme val="minor"/>
      </rPr>
      <t>: Uhol odpalu má relatívne malý vplyv na dosah katapultu. Graf naznačuje, že zmena uhla mierne zvyšuje dosah, ale efekt je omnoho menší ako pri dĺžke ramena alebo napätí gumičky.</t>
    </r>
  </si>
  <si>
    <r>
      <t>Faktor C (Napätie gumičky)</t>
    </r>
    <r>
      <rPr>
        <sz val="11"/>
        <color theme="1"/>
        <rFont val="Aptos Narrow"/>
        <family val="2"/>
        <charset val="238"/>
        <scheme val="minor"/>
      </rPr>
      <t>: Zvýšenie napätia gumičky má stredný vplyv na dosah. Graf ukazuje lineárny nárast dosahu s rastúcim napätím, teda vyššie napätie umožňuje katapultu vystreliť ďalej.</t>
    </r>
  </si>
  <si>
    <r>
      <t>Faktor A (Dĺžka ramena)</t>
    </r>
    <r>
      <rPr>
        <sz val="11"/>
        <color theme="1"/>
        <rFont val="Aptos Narrow"/>
        <family val="2"/>
        <charset val="238"/>
        <scheme val="minor"/>
      </rPr>
      <t>: Zvýšenie dĺžky ramena výrazne zvyšuje dosah katapultu. Tento faktor má najväčší vplyv zo všetkých troch faktorov.</t>
    </r>
  </si>
  <si>
    <t>17. Zobrazte efekt interakcií sledovaných faktorov (interaction plots) a interpretujte ich.</t>
  </si>
  <si>
    <t xml:space="preserve">Efekt interakcie faktora A a C - počítame efekt faktora C pri konštantej úrovni faktora A, alebo naopak </t>
  </si>
  <si>
    <t>A</t>
  </si>
  <si>
    <t>C</t>
  </si>
  <si>
    <t xml:space="preserve">Efekt interakcie faktora A a B - počítame efekt faktora B pri konštantej úrovni faktora A, alebo naopak </t>
  </si>
  <si>
    <t>B</t>
  </si>
  <si>
    <t xml:space="preserve">Efekt interakcie faktora B a C - počítame efekt faktora C pri konštantej úrovni faktora B, alebo naopak </t>
  </si>
  <si>
    <t>ef(AC)=</t>
  </si>
  <si>
    <t>ef(BC)=</t>
  </si>
  <si>
    <t>ef(AB)=</t>
  </si>
  <si>
    <t>18. Pomocou nájdeného regresného modelu predikujte hodnotu odozvy pre zvolené úrovne faktorov. Správnosť výsledku overte výpočtom cez model v pôvodných aj kódovaných jednotkách.</t>
  </si>
  <si>
    <t>Pôvodné jednotky:</t>
  </si>
  <si>
    <t>yL(x1, x2, x3)=</t>
  </si>
  <si>
    <t>Zvolené úrovne faktorov:</t>
  </si>
  <si>
    <t>x1:</t>
  </si>
  <si>
    <t>x2:</t>
  </si>
  <si>
    <t>x3:</t>
  </si>
  <si>
    <t>yL(12, 35, 4,2)=</t>
  </si>
  <si>
    <t>x1</t>
  </si>
  <si>
    <t>x2</t>
  </si>
  <si>
    <t>x3</t>
  </si>
  <si>
    <t>x1*x2</t>
  </si>
  <si>
    <t>Kódované jednotky:</t>
  </si>
  <si>
    <t>x1=12-&gt;t1=</t>
  </si>
  <si>
    <t>x2=35-&gt;t2=</t>
  </si>
  <si>
    <t>x3=4,2-&gt;t3=</t>
  </si>
  <si>
    <t>yLt(-0,77 ;- 0,66; -0,90)=</t>
  </si>
  <si>
    <t>yLt (t1,t2,t3)=</t>
  </si>
  <si>
    <t>Model predikuje rovnaké hodnoty pre všetky 4 spôsoby výpočtu.</t>
  </si>
  <si>
    <t>19. Overte správnosť nájdeného regresného modelu pomocou kontrolného merania.</t>
  </si>
  <si>
    <t>Bolo vykonané kontrolné meranie:</t>
  </si>
  <si>
    <t>Predikcia pôvodné:</t>
  </si>
  <si>
    <t>Y pred.</t>
  </si>
  <si>
    <t>Predikcia transformované:</t>
  </si>
  <si>
    <t>r=</t>
  </si>
  <si>
    <t>Testujeme hypotézu: H0: b0=0 &gt;&lt; H1: b0 sa nerovná 0</t>
  </si>
  <si>
    <t>t0=</t>
  </si>
  <si>
    <t>t13 kv (0,975)=</t>
  </si>
  <si>
    <t>t13 kv (0,025)=</t>
  </si>
  <si>
    <t>Kritická oblasť W : (-∞ ; -2,16037)  U   (2,16037 ; ∞)</t>
  </si>
  <si>
    <t>t0 nepatrí do W</t>
  </si>
  <si>
    <t>95% IS pre b0:</t>
  </si>
  <si>
    <t>0 Patrí do 95% IS pre b0</t>
  </si>
  <si>
    <t>Na hladine významnosti 𝛼 = 0,05 možno prijať hypotézu, že regresný koeficient 𝑏0 je rovný nule.</t>
  </si>
  <si>
    <t>Testujeme hypotézu: H0: b1=1 &gt;&lt; H1: b1 sa nerovná 1</t>
  </si>
  <si>
    <t>95% IS pre b1:</t>
  </si>
  <si>
    <t>1 patrí do 95% IS pre b1</t>
  </si>
  <si>
    <t>Na hladine významnosti 𝛼 = 0,05 možno prijať hypotézu, že regresný koeficient 𝑏1 je rovný jednej.</t>
  </si>
  <si>
    <t>20. Analyzujte pri akom nastavení faktorov možno dostať požadovanú odozvu.</t>
  </si>
  <si>
    <t>21. Porovnajte výsledky softvérového riešenia DOE v Exceli a v Minitabe.</t>
  </si>
  <si>
    <t>Úroveň faktora v kódovaných jednotkách</t>
  </si>
  <si>
    <t>Úroveň faktora v pôvodných jednotkách</t>
  </si>
  <si>
    <t>CPLOT</t>
  </si>
  <si>
    <t>HLAVNÉ EFEKTY</t>
  </si>
  <si>
    <t>EFEKT INTERAKCIÍ</t>
  </si>
  <si>
    <t>PREDIKCIA</t>
  </si>
  <si>
    <t>NASTAVENIE FAKTOROV</t>
  </si>
  <si>
    <t>Výsledky sa zhodujú až na prvú a poslednú úlohu.</t>
  </si>
  <si>
    <t>Model vykazuje veľmi vysokú predikčnú kvalitu, keďže hodnota R-sq(pred.) = 96,84 % potvrdzuje jeho schopnosť spoľahlivo predikovať aj nové dáta.</t>
  </si>
  <si>
    <t>2. Metódou najmenších štvorcov odhadnite koeficienty transformovanej regresnej funkcie lineárneho typu.</t>
  </si>
  <si>
    <t>Testuje sa či je samostatné pôsobenie faktora x3 - Napätie gumičky na hodnotu regresnej funkcie lineárneho typu štatisticky významné</t>
  </si>
  <si>
    <t>t.j. nemožno ho zanedbať. Interakcia medzi Dĺžkou ramena a uhlom odpalu je dôležitá pre dostrel katapultu</t>
  </si>
  <si>
    <t xml:space="preserve">t0 (b3) patrí do W </t>
  </si>
  <si>
    <t xml:space="preserve">Medzi dĺžkou ramena (A) a uhlom odpálu (B) existuje interakcia. </t>
  </si>
  <si>
    <t xml:space="preserve">Zmena uhla odpálu má pri dlhom ramene zanedbateľný vplyv na dostrel, </t>
  </si>
  <si>
    <t>zatiaľ čo pri krátkom ramene sa jej účinok prejavuje veľmi výrazne.</t>
  </si>
  <si>
    <t>medzi faktormi B a C nie je prítomná interakcia, keďže zobrazené úsečky sú rovnobežné</t>
  </si>
  <si>
    <t>medzi faktormi A a C nie je prítomná interakcia, keďže zobrazené úsečky sú rovnobežné</t>
  </si>
  <si>
    <t>Index determinácie R^2=0,985041 vyjadruje, že regresný model dokáže objasniť približne 98,5 % variability dostrelu katapultu. Zvyšných 1,5 % variability pripadá na náhodné vplyvy alebo premenné, ktoré model nezohľadňuje.</t>
  </si>
  <si>
    <t>Y požadované=</t>
  </si>
  <si>
    <t>Nastavenie pri ktorom možno dostať požadovanú odozvu dostrelu 150 cm.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</si>
</sst>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3">
    <font>
      <sz val="11"/>
      <color theme="1"/>
      <name val="Aptos Narrow"/>
      <family val="2"/>
      <charset val="238"/>
      <scheme val="minor"/>
    </font>
    <font>
      <sz val="11"/>
      <color rgb="FFFF0000"/>
      <name val="Aptos Narrow"/>
      <family val="2"/>
      <charset val="238"/>
      <scheme val="minor"/>
    </font>
    <font>
      <b/>
      <sz val="11"/>
      <color theme="1"/>
      <name val="Aptos Narrow"/>
      <family val="2"/>
      <charset val="238"/>
      <scheme val="minor"/>
    </font>
    <font>
      <sz val="18"/>
      <color theme="1"/>
      <name val="Times New Roman"/>
      <family val="1"/>
      <charset val="238"/>
    </font>
    <font>
      <sz val="11"/>
      <name val="Aptos Narrow"/>
      <family val="2"/>
      <scheme val="minor"/>
    </font>
    <font>
      <b/>
      <i/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1"/>
      <color rgb="FF0070C0"/>
      <name val="Aptos Narrow"/>
      <family val="2"/>
      <scheme val="minor"/>
    </font>
    <font>
      <b/>
      <sz val="11"/>
      <name val="Aptos Narrow"/>
      <family val="2"/>
      <scheme val="minor"/>
    </font>
    <font>
      <i/>
      <sz val="11"/>
      <color theme="1"/>
      <name val="Aptos Narrow"/>
      <family val="2"/>
      <charset val="238"/>
      <scheme val="minor"/>
    </font>
    <font>
      <sz val="11"/>
      <name val="Aptos Narrow"/>
      <family val="2"/>
      <charset val="238"/>
      <scheme val="minor"/>
    </font>
    <font>
      <sz val="11"/>
      <color theme="1"/>
      <name val="Aptos Narrow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</fills>
  <borders count="5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59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>
      <alignment vertical="center" wrapText="1"/>
    </xf>
    <xf numFmtId="0" fontId="0" fillId="0" borderId="9" xfId="0" applyBorder="1" applyAlignment="1">
      <alignment vertical="center" wrapText="1"/>
    </xf>
    <xf numFmtId="0" fontId="2" fillId="0" borderId="10" xfId="0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0" fontId="2" fillId="0" borderId="12" xfId="0" applyFont="1" applyBorder="1" applyAlignment="1">
      <alignment horizontal="center" vertical="center" wrapText="1"/>
    </xf>
    <xf numFmtId="0" fontId="0" fillId="0" borderId="13" xfId="0" applyBorder="1" applyAlignment="1">
      <alignment vertical="center" wrapText="1"/>
    </xf>
    <xf numFmtId="0" fontId="0" fillId="0" borderId="14" xfId="0" applyBorder="1" applyAlignment="1">
      <alignment vertical="center" wrapText="1"/>
    </xf>
    <xf numFmtId="0" fontId="0" fillId="0" borderId="15" xfId="0" applyBorder="1" applyAlignment="1">
      <alignment vertical="center" wrapText="1"/>
    </xf>
    <xf numFmtId="0" fontId="0" fillId="0" borderId="16" xfId="0" applyBorder="1" applyAlignment="1">
      <alignment vertical="center" wrapText="1"/>
    </xf>
    <xf numFmtId="0" fontId="0" fillId="0" borderId="17" xfId="0" applyBorder="1" applyAlignment="1">
      <alignment vertical="center" wrapText="1"/>
    </xf>
    <xf numFmtId="0" fontId="0" fillId="0" borderId="9" xfId="0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6" fillId="0" borderId="11" xfId="0" applyFont="1" applyBorder="1" applyAlignment="1">
      <alignment horizontal="center" vertical="center" wrapText="1"/>
    </xf>
    <xf numFmtId="0" fontId="0" fillId="0" borderId="9" xfId="0" applyBorder="1"/>
    <xf numFmtId="0" fontId="0" fillId="0" borderId="10" xfId="0" applyBorder="1"/>
    <xf numFmtId="0" fontId="0" fillId="0" borderId="11" xfId="0" applyBorder="1"/>
    <xf numFmtId="0" fontId="0" fillId="0" borderId="13" xfId="0" applyBorder="1"/>
    <xf numFmtId="0" fontId="0" fillId="0" borderId="14" xfId="0" applyBorder="1"/>
    <xf numFmtId="0" fontId="0" fillId="0" borderId="15" xfId="0" applyBorder="1"/>
    <xf numFmtId="0" fontId="0" fillId="0" borderId="16" xfId="0" applyBorder="1"/>
    <xf numFmtId="0" fontId="0" fillId="0" borderId="17" xfId="0" applyBorder="1"/>
    <xf numFmtId="0" fontId="6" fillId="0" borderId="10" xfId="0" applyFont="1" applyBorder="1" applyAlignment="1">
      <alignment horizontal="center"/>
    </xf>
    <xf numFmtId="0" fontId="6" fillId="0" borderId="11" xfId="0" applyFont="1" applyBorder="1" applyAlignment="1">
      <alignment horizontal="center"/>
    </xf>
    <xf numFmtId="0" fontId="6" fillId="0" borderId="12" xfId="0" applyFont="1" applyBorder="1" applyAlignment="1">
      <alignment horizontal="center"/>
    </xf>
    <xf numFmtId="0" fontId="6" fillId="0" borderId="0" xfId="0" applyFont="1"/>
    <xf numFmtId="0" fontId="7" fillId="0" borderId="0" xfId="0" applyFont="1"/>
    <xf numFmtId="0" fontId="8" fillId="0" borderId="0" xfId="0" applyFont="1"/>
    <xf numFmtId="0" fontId="0" fillId="0" borderId="0" xfId="0" applyAlignment="1">
      <alignment horizontal="right"/>
    </xf>
    <xf numFmtId="0" fontId="0" fillId="0" borderId="21" xfId="0" applyBorder="1"/>
    <xf numFmtId="0" fontId="0" fillId="0" borderId="22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0" fillId="0" borderId="23" xfId="0" applyBorder="1"/>
    <xf numFmtId="0" fontId="0" fillId="0" borderId="24" xfId="0" applyBorder="1"/>
    <xf numFmtId="0" fontId="0" fillId="0" borderId="25" xfId="0" applyBorder="1"/>
    <xf numFmtId="0" fontId="0" fillId="0" borderId="29" xfId="0" applyBorder="1"/>
    <xf numFmtId="0" fontId="0" fillId="0" borderId="29" xfId="0" applyBorder="1" applyAlignment="1">
      <alignment vertical="center" wrapText="1"/>
    </xf>
    <xf numFmtId="0" fontId="0" fillId="0" borderId="33" xfId="0" applyBorder="1"/>
    <xf numFmtId="0" fontId="0" fillId="0" borderId="11" xfId="0" applyBorder="1" applyAlignment="1">
      <alignment vertical="center" wrapText="1"/>
    </xf>
    <xf numFmtId="0" fontId="0" fillId="0" borderId="36" xfId="0" applyBorder="1"/>
    <xf numFmtId="0" fontId="0" fillId="0" borderId="37" xfId="0" applyBorder="1"/>
    <xf numFmtId="0" fontId="0" fillId="0" borderId="26" xfId="0" applyBorder="1" applyAlignment="1">
      <alignment vertical="center" wrapText="1"/>
    </xf>
    <xf numFmtId="0" fontId="0" fillId="0" borderId="27" xfId="0" applyBorder="1" applyAlignment="1">
      <alignment vertical="center" wrapText="1"/>
    </xf>
    <xf numFmtId="0" fontId="0" fillId="0" borderId="39" xfId="0" applyBorder="1" applyAlignment="1">
      <alignment vertical="center" wrapText="1"/>
    </xf>
    <xf numFmtId="0" fontId="2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0" fillId="0" borderId="40" xfId="0" applyBorder="1"/>
    <xf numFmtId="0" fontId="0" fillId="0" borderId="42" xfId="0" applyBorder="1"/>
    <xf numFmtId="0" fontId="0" fillId="0" borderId="41" xfId="0" applyBorder="1"/>
    <xf numFmtId="0" fontId="1" fillId="0" borderId="0" xfId="0" applyFont="1" applyAlignment="1">
      <alignment horizontal="right"/>
    </xf>
    <xf numFmtId="0" fontId="1" fillId="0" borderId="40" xfId="0" applyFont="1" applyBorder="1"/>
    <xf numFmtId="0" fontId="1" fillId="0" borderId="42" xfId="0" applyFont="1" applyBorder="1"/>
    <xf numFmtId="0" fontId="1" fillId="0" borderId="41" xfId="0" applyFont="1" applyBorder="1"/>
    <xf numFmtId="0" fontId="6" fillId="0" borderId="30" xfId="0" applyFont="1" applyBorder="1" applyAlignment="1">
      <alignment horizontal="center"/>
    </xf>
    <xf numFmtId="0" fontId="6" fillId="0" borderId="31" xfId="0" applyFont="1" applyBorder="1" applyAlignment="1">
      <alignment horizontal="center"/>
    </xf>
    <xf numFmtId="0" fontId="6" fillId="0" borderId="38" xfId="0" applyFont="1" applyBorder="1" applyAlignment="1">
      <alignment horizontal="center"/>
    </xf>
    <xf numFmtId="0" fontId="6" fillId="0" borderId="40" xfId="0" applyFont="1" applyBorder="1" applyAlignment="1">
      <alignment horizontal="center"/>
    </xf>
    <xf numFmtId="0" fontId="9" fillId="0" borderId="9" xfId="0" applyFont="1" applyBorder="1" applyAlignment="1">
      <alignment horizontal="center" vertical="center"/>
    </xf>
    <xf numFmtId="0" fontId="6" fillId="0" borderId="10" xfId="0" applyFont="1" applyBorder="1"/>
    <xf numFmtId="0" fontId="6" fillId="0" borderId="11" xfId="0" applyFont="1" applyBorder="1"/>
    <xf numFmtId="0" fontId="0" fillId="0" borderId="7" xfId="0" applyBorder="1"/>
    <xf numFmtId="0" fontId="10" fillId="0" borderId="28" xfId="0" applyFont="1" applyBorder="1" applyAlignment="1">
      <alignment horizontal="center"/>
    </xf>
    <xf numFmtId="0" fontId="10" fillId="0" borderId="28" xfId="0" applyFont="1" applyBorder="1" applyAlignment="1">
      <alignment horizontal="centerContinuous"/>
    </xf>
    <xf numFmtId="0" fontId="7" fillId="0" borderId="7" xfId="0" applyFont="1" applyBorder="1"/>
    <xf numFmtId="0" fontId="11" fillId="0" borderId="0" xfId="0" applyFont="1"/>
    <xf numFmtId="0" fontId="11" fillId="0" borderId="0" xfId="0" applyFont="1" applyAlignment="1">
      <alignment horizontal="right"/>
    </xf>
    <xf numFmtId="0" fontId="9" fillId="0" borderId="0" xfId="0" applyFont="1" applyAlignment="1">
      <alignment horizontal="center" vertical="center"/>
    </xf>
    <xf numFmtId="0" fontId="0" fillId="2" borderId="0" xfId="0" applyFill="1"/>
    <xf numFmtId="0" fontId="0" fillId="3" borderId="0" xfId="0" applyFill="1"/>
    <xf numFmtId="0" fontId="10" fillId="0" borderId="0" xfId="0" applyFont="1" applyAlignment="1">
      <alignment horizontal="centerContinuous"/>
    </xf>
    <xf numFmtId="0" fontId="9" fillId="0" borderId="0" xfId="0" applyFont="1" applyAlignment="1">
      <alignment horizontal="right"/>
    </xf>
    <xf numFmtId="0" fontId="6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4" fillId="0" borderId="0" xfId="0" applyFont="1" applyAlignment="1">
      <alignment horizontal="right"/>
    </xf>
    <xf numFmtId="0" fontId="12" fillId="0" borderId="0" xfId="0" applyFont="1"/>
    <xf numFmtId="0" fontId="12" fillId="0" borderId="0" xfId="0" applyFont="1" applyAlignment="1">
      <alignment horizontal="center"/>
    </xf>
    <xf numFmtId="0" fontId="0" fillId="0" borderId="33" xfId="0" applyBorder="1" applyAlignment="1">
      <alignment vertical="center" wrapText="1"/>
    </xf>
    <xf numFmtId="0" fontId="9" fillId="0" borderId="11" xfId="0" applyFont="1" applyBorder="1" applyAlignment="1">
      <alignment horizontal="center" vertical="center"/>
    </xf>
    <xf numFmtId="0" fontId="9" fillId="0" borderId="12" xfId="0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6" fillId="0" borderId="0" xfId="0" applyFont="1" applyAlignment="1">
      <alignment horizontal="right"/>
    </xf>
    <xf numFmtId="0" fontId="10" fillId="0" borderId="0" xfId="0" applyFont="1" applyAlignment="1">
      <alignment horizontal="center"/>
    </xf>
    <xf numFmtId="9" fontId="6" fillId="0" borderId="0" xfId="0" applyNumberFormat="1" applyFont="1" applyAlignment="1">
      <alignment horizontal="right"/>
    </xf>
    <xf numFmtId="0" fontId="6" fillId="0" borderId="12" xfId="0" applyFont="1" applyBorder="1"/>
    <xf numFmtId="0" fontId="0" fillId="0" borderId="43" xfId="0" applyBorder="1"/>
    <xf numFmtId="0" fontId="0" fillId="0" borderId="12" xfId="0" applyBorder="1"/>
    <xf numFmtId="0" fontId="0" fillId="0" borderId="43" xfId="0" applyBorder="1" applyAlignment="1">
      <alignment vertical="center" wrapText="1"/>
    </xf>
    <xf numFmtId="0" fontId="0" fillId="0" borderId="12" xfId="0" applyBorder="1" applyAlignment="1">
      <alignment vertical="center" wrapText="1"/>
    </xf>
    <xf numFmtId="0" fontId="0" fillId="3" borderId="7" xfId="0" applyFill="1" applyBorder="1"/>
    <xf numFmtId="0" fontId="0" fillId="0" borderId="45" xfId="0" applyBorder="1"/>
    <xf numFmtId="49" fontId="0" fillId="0" borderId="0" xfId="0" applyNumberFormat="1" applyAlignment="1">
      <alignment horizontal="center"/>
    </xf>
    <xf numFmtId="0" fontId="2" fillId="0" borderId="0" xfId="0" applyFont="1"/>
    <xf numFmtId="0" fontId="7" fillId="0" borderId="0" xfId="0" applyFont="1" applyAlignment="1">
      <alignment horizontal="right"/>
    </xf>
    <xf numFmtId="0" fontId="0" fillId="3" borderId="14" xfId="0" applyFill="1" applyBorder="1" applyAlignment="1">
      <alignment horizontal="center" vertical="center"/>
    </xf>
    <xf numFmtId="0" fontId="0" fillId="3" borderId="17" xfId="0" applyFill="1" applyBorder="1" applyAlignment="1">
      <alignment horizontal="center" vertical="center"/>
    </xf>
    <xf numFmtId="0" fontId="6" fillId="0" borderId="0" xfId="0" applyFont="1" applyAlignment="1">
      <alignment vertical="center"/>
    </xf>
    <xf numFmtId="0" fontId="0" fillId="0" borderId="14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44" xfId="0" applyBorder="1" applyAlignment="1">
      <alignment vertical="center" wrapText="1"/>
    </xf>
    <xf numFmtId="0" fontId="4" fillId="0" borderId="0" xfId="0" applyFont="1"/>
    <xf numFmtId="0" fontId="4" fillId="0" borderId="7" xfId="0" applyFont="1" applyBorder="1"/>
    <xf numFmtId="0" fontId="0" fillId="0" borderId="10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7" fillId="0" borderId="0" xfId="0" applyFont="1" applyAlignment="1">
      <alignment horizontal="left"/>
    </xf>
    <xf numFmtId="0" fontId="3" fillId="0" borderId="4" xfId="0" applyFont="1" applyBorder="1" applyAlignment="1">
      <alignment horizontal="left"/>
    </xf>
    <xf numFmtId="0" fontId="3" fillId="0" borderId="0" xfId="0" applyFont="1" applyAlignment="1">
      <alignment horizontal="left"/>
    </xf>
    <xf numFmtId="0" fontId="3" fillId="0" borderId="5" xfId="0" applyFont="1" applyBorder="1" applyAlignment="1">
      <alignment horizontal="left"/>
    </xf>
    <xf numFmtId="0" fontId="3" fillId="0" borderId="6" xfId="0" applyFont="1" applyBorder="1" applyAlignment="1">
      <alignment horizontal="left"/>
    </xf>
    <xf numFmtId="0" fontId="3" fillId="0" borderId="7" xfId="0" applyFont="1" applyBorder="1" applyAlignment="1">
      <alignment horizontal="left"/>
    </xf>
    <xf numFmtId="0" fontId="3" fillId="0" borderId="8" xfId="0" applyFont="1" applyBorder="1" applyAlignment="1">
      <alignment horizontal="left"/>
    </xf>
    <xf numFmtId="0" fontId="3" fillId="0" borderId="1" xfId="0" applyFont="1" applyBorder="1" applyAlignment="1">
      <alignment horizontal="left"/>
    </xf>
    <xf numFmtId="0" fontId="3" fillId="0" borderId="2" xfId="0" applyFont="1" applyBorder="1" applyAlignment="1">
      <alignment horizontal="left"/>
    </xf>
    <xf numFmtId="0" fontId="3" fillId="0" borderId="3" xfId="0" applyFont="1" applyBorder="1" applyAlignment="1">
      <alignment horizontal="left"/>
    </xf>
    <xf numFmtId="0" fontId="0" fillId="0" borderId="40" xfId="0" applyBorder="1" applyAlignment="1">
      <alignment horizontal="center" vertical="center"/>
    </xf>
    <xf numFmtId="0" fontId="0" fillId="0" borderId="41" xfId="0" applyBorder="1" applyAlignment="1">
      <alignment horizontal="center" vertical="center"/>
    </xf>
    <xf numFmtId="0" fontId="0" fillId="0" borderId="0" xfId="0" applyAlignment="1">
      <alignment horizontal="right"/>
    </xf>
    <xf numFmtId="0" fontId="6" fillId="0" borderId="0" xfId="0" applyFont="1" applyAlignment="1">
      <alignment horizontal="right"/>
    </xf>
    <xf numFmtId="0" fontId="0" fillId="0" borderId="14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0" fontId="0" fillId="0" borderId="43" xfId="0" applyBorder="1" applyAlignment="1">
      <alignment horizontal="center" vertical="center" wrapText="1"/>
    </xf>
    <xf numFmtId="0" fontId="0" fillId="0" borderId="34" xfId="0" applyBorder="1" applyAlignment="1">
      <alignment horizontal="center" vertical="center" wrapText="1"/>
    </xf>
    <xf numFmtId="0" fontId="0" fillId="0" borderId="32" xfId="0" applyBorder="1" applyAlignment="1">
      <alignment horizontal="center" vertical="center"/>
    </xf>
    <xf numFmtId="0" fontId="0" fillId="0" borderId="44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0" fontId="0" fillId="0" borderId="44" xfId="0" applyBorder="1" applyAlignment="1">
      <alignment horizontal="center" vertical="center" wrapText="1"/>
    </xf>
    <xf numFmtId="0" fontId="0" fillId="0" borderId="46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48" xfId="0" applyBorder="1" applyAlignment="1">
      <alignment horizontal="center" vertical="center"/>
    </xf>
    <xf numFmtId="0" fontId="7" fillId="0" borderId="49" xfId="0" applyFont="1" applyBorder="1" applyAlignment="1">
      <alignment horizontal="center"/>
    </xf>
    <xf numFmtId="0" fontId="7" fillId="0" borderId="50" xfId="0" applyFont="1" applyBorder="1" applyAlignment="1">
      <alignment horizontal="center"/>
    </xf>
    <xf numFmtId="0" fontId="7" fillId="0" borderId="51" xfId="0" applyFont="1" applyBorder="1" applyAlignment="1">
      <alignment horizontal="center"/>
    </xf>
    <xf numFmtId="0" fontId="0" fillId="3" borderId="10" xfId="0" applyFill="1" applyBorder="1" applyAlignment="1">
      <alignment horizontal="center" vertical="center"/>
    </xf>
    <xf numFmtId="0" fontId="0" fillId="3" borderId="11" xfId="0" applyFill="1" applyBorder="1" applyAlignment="1">
      <alignment horizontal="center" vertical="center"/>
    </xf>
    <xf numFmtId="0" fontId="0" fillId="3" borderId="12" xfId="0" applyFill="1" applyBorder="1" applyAlignment="1">
      <alignment horizontal="center" vertical="center"/>
    </xf>
    <xf numFmtId="0" fontId="0" fillId="3" borderId="13" xfId="0" applyFill="1" applyBorder="1" applyAlignment="1">
      <alignment horizontal="center" vertical="center"/>
    </xf>
    <xf numFmtId="0" fontId="0" fillId="3" borderId="9" xfId="0" applyFill="1" applyBorder="1" applyAlignment="1">
      <alignment horizontal="center" vertical="center"/>
    </xf>
    <xf numFmtId="0" fontId="0" fillId="3" borderId="15" xfId="0" applyFill="1" applyBorder="1" applyAlignment="1">
      <alignment horizontal="center" vertical="center"/>
    </xf>
    <xf numFmtId="0" fontId="0" fillId="3" borderId="16" xfId="0" applyFill="1" applyBorder="1" applyAlignment="1">
      <alignment horizontal="center" vertic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5" xfId="0" applyBorder="1" applyAlignment="1">
      <alignment horizontal="center" vertical="center"/>
    </xf>
    <xf numFmtId="0" fontId="0" fillId="0" borderId="16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3" xfId="0" applyBorder="1" applyAlignment="1">
      <alignment horizontal="center"/>
    </xf>
  </cellXfs>
  <cellStyles count="1">
    <cellStyle name="Normálna" xfId="0" builtinId="0"/>
  </cellStyles>
  <dxfs count="0"/>
  <tableStyles count="1" defaultTableStyle="TableStyleMedium2" defaultPivotStyle="PivotStyleLight16">
    <tableStyle name="Invisible" pivot="0" table="0" count="0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eetMetadata" Target="metadata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10.xml"/><Relationship Id="rId1" Type="http://schemas.microsoft.com/office/2011/relationships/chartStyle" Target="style11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sk-SK"/>
              <a:t>t1  Residual Plot</a:t>
            </a:r>
          </a:p>
        </c:rich>
      </c:tx>
      <c:layout/>
      <c:overlay val="0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38100">
              <a:noFill/>
            </a:ln>
          </c:spPr>
          <c:xVal>
            <c:numRef>
              <c:f>'12. Úloha'!$B$4:$B$23</c:f>
              <c:numCache>
                <c:formatCode>General</c:formatCode>
                <c:ptCount val="20"/>
                <c:pt idx="0">
                  <c:v>-1</c:v>
                </c:pt>
                <c:pt idx="1">
                  <c:v>-1</c:v>
                </c:pt>
                <c:pt idx="2">
                  <c:v>1</c:v>
                </c:pt>
                <c:pt idx="3">
                  <c:v>1</c:v>
                </c:pt>
                <c:pt idx="4">
                  <c:v>-1</c:v>
                </c:pt>
                <c:pt idx="5">
                  <c:v>-1</c:v>
                </c:pt>
                <c:pt idx="6">
                  <c:v>1</c:v>
                </c:pt>
                <c:pt idx="7">
                  <c:v>1</c:v>
                </c:pt>
                <c:pt idx="8">
                  <c:v>-1</c:v>
                </c:pt>
                <c:pt idx="9">
                  <c:v>-1</c:v>
                </c:pt>
                <c:pt idx="10">
                  <c:v>1</c:v>
                </c:pt>
                <c:pt idx="11">
                  <c:v>1</c:v>
                </c:pt>
                <c:pt idx="12">
                  <c:v>-1</c:v>
                </c:pt>
                <c:pt idx="13">
                  <c:v>-1</c:v>
                </c:pt>
                <c:pt idx="14">
                  <c:v>1</c:v>
                </c:pt>
                <c:pt idx="15">
                  <c:v>1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</c:numCache>
            </c:numRef>
          </c:xVal>
          <c:yVal>
            <c:numRef>
              <c:f>'12. Úloha'!$J$6:$J$25</c:f>
              <c:numCache>
                <c:formatCode>General</c:formatCode>
                <c:ptCount val="20"/>
                <c:pt idx="0">
                  <c:v>5.7521549999999806</c:v>
                </c:pt>
                <c:pt idx="1">
                  <c:v>-2.0263450000000205</c:v>
                </c:pt>
                <c:pt idx="2">
                  <c:v>-13.066070000000053</c:v>
                </c:pt>
                <c:pt idx="3">
                  <c:v>7.8131299999999726</c:v>
                </c:pt>
                <c:pt idx="4">
                  <c:v>-1.3916450000000111</c:v>
                </c:pt>
                <c:pt idx="5">
                  <c:v>0.2533549999999849</c:v>
                </c:pt>
                <c:pt idx="6">
                  <c:v>2.6573299999999733</c:v>
                </c:pt>
                <c:pt idx="7">
                  <c:v>-8.0015700000000436</c:v>
                </c:pt>
                <c:pt idx="8">
                  <c:v>-6.2366199999999878</c:v>
                </c:pt>
                <c:pt idx="9">
                  <c:v>-1.4940199999999919</c:v>
                </c:pt>
                <c:pt idx="10">
                  <c:v>10.922154999999975</c:v>
                </c:pt>
                <c:pt idx="11">
                  <c:v>-9.6740450000000351</c:v>
                </c:pt>
                <c:pt idx="12">
                  <c:v>2.7330800000000011</c:v>
                </c:pt>
                <c:pt idx="13">
                  <c:v>-5.5996199999999874</c:v>
                </c:pt>
                <c:pt idx="14">
                  <c:v>0.79555499999997892</c:v>
                </c:pt>
                <c:pt idx="15">
                  <c:v>0.54385499999997933</c:v>
                </c:pt>
                <c:pt idx="16">
                  <c:v>20.751230000000021</c:v>
                </c:pt>
                <c:pt idx="17">
                  <c:v>3.3224300000000255</c:v>
                </c:pt>
                <c:pt idx="18">
                  <c:v>-7.6211699999999922</c:v>
                </c:pt>
                <c:pt idx="19">
                  <c:v>-0.43316999999998984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DBC0-49A3-B398-9B3DC17F0D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416410960"/>
        <c:axId val="1416417680"/>
      </c:scatterChart>
      <c:valAx>
        <c:axId val="141641096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sk-SK"/>
                  <a:t>t1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416417680"/>
        <c:crosses val="autoZero"/>
        <c:crossBetween val="midCat"/>
      </c:valAx>
      <c:valAx>
        <c:axId val="1416417680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sk-SK"/>
                  <a:t>Residuals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416410960"/>
        <c:crosses val="autoZero"/>
        <c:crossBetween val="midCat"/>
      </c:valAx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sk-SK"/>
              <a:t>t2  Residual Plot</a:t>
            </a:r>
          </a:p>
        </c:rich>
      </c:tx>
      <c:layout/>
      <c:overlay val="0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38100">
              <a:noFill/>
            </a:ln>
          </c:spPr>
          <c:xVal>
            <c:numRef>
              <c:f>'12. Úloha'!$C$4:$C$23</c:f>
              <c:numCache>
                <c:formatCode>General</c:formatCode>
                <c:ptCount val="20"/>
                <c:pt idx="0">
                  <c:v>-1</c:v>
                </c:pt>
                <c:pt idx="1">
                  <c:v>-1</c:v>
                </c:pt>
                <c:pt idx="2">
                  <c:v>-1</c:v>
                </c:pt>
                <c:pt idx="3">
                  <c:v>-1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-1</c:v>
                </c:pt>
                <c:pt idx="9">
                  <c:v>-1</c:v>
                </c:pt>
                <c:pt idx="10">
                  <c:v>-1</c:v>
                </c:pt>
                <c:pt idx="11">
                  <c:v>-1</c:v>
                </c:pt>
                <c:pt idx="12">
                  <c:v>1</c:v>
                </c:pt>
                <c:pt idx="13">
                  <c:v>1</c:v>
                </c:pt>
                <c:pt idx="14">
                  <c:v>1</c:v>
                </c:pt>
                <c:pt idx="15">
                  <c:v>1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</c:numCache>
            </c:numRef>
          </c:xVal>
          <c:yVal>
            <c:numRef>
              <c:f>'12. Úloha'!$J$6:$J$25</c:f>
              <c:numCache>
                <c:formatCode>General</c:formatCode>
                <c:ptCount val="20"/>
                <c:pt idx="0">
                  <c:v>5.7521549999999806</c:v>
                </c:pt>
                <c:pt idx="1">
                  <c:v>-2.0263450000000205</c:v>
                </c:pt>
                <c:pt idx="2">
                  <c:v>-13.066070000000053</c:v>
                </c:pt>
                <c:pt idx="3">
                  <c:v>7.8131299999999726</c:v>
                </c:pt>
                <c:pt idx="4">
                  <c:v>-1.3916450000000111</c:v>
                </c:pt>
                <c:pt idx="5">
                  <c:v>0.2533549999999849</c:v>
                </c:pt>
                <c:pt idx="6">
                  <c:v>2.6573299999999733</c:v>
                </c:pt>
                <c:pt idx="7">
                  <c:v>-8.0015700000000436</c:v>
                </c:pt>
                <c:pt idx="8">
                  <c:v>-6.2366199999999878</c:v>
                </c:pt>
                <c:pt idx="9">
                  <c:v>-1.4940199999999919</c:v>
                </c:pt>
                <c:pt idx="10">
                  <c:v>10.922154999999975</c:v>
                </c:pt>
                <c:pt idx="11">
                  <c:v>-9.6740450000000351</c:v>
                </c:pt>
                <c:pt idx="12">
                  <c:v>2.7330800000000011</c:v>
                </c:pt>
                <c:pt idx="13">
                  <c:v>-5.5996199999999874</c:v>
                </c:pt>
                <c:pt idx="14">
                  <c:v>0.79555499999997892</c:v>
                </c:pt>
                <c:pt idx="15">
                  <c:v>0.54385499999997933</c:v>
                </c:pt>
                <c:pt idx="16">
                  <c:v>20.751230000000021</c:v>
                </c:pt>
                <c:pt idx="17">
                  <c:v>3.3224300000000255</c:v>
                </c:pt>
                <c:pt idx="18">
                  <c:v>-7.6211699999999922</c:v>
                </c:pt>
                <c:pt idx="19">
                  <c:v>-0.43316999999998984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C60B-4DE4-AA78-7FF12EBCECF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416415280"/>
        <c:axId val="1416419120"/>
      </c:scatterChart>
      <c:valAx>
        <c:axId val="141641528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sk-SK"/>
                  <a:t>t2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416419120"/>
        <c:crosses val="autoZero"/>
        <c:crossBetween val="midCat"/>
      </c:valAx>
      <c:valAx>
        <c:axId val="1416419120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sk-SK"/>
                  <a:t>Residuals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416415280"/>
        <c:crosses val="autoZero"/>
        <c:crossBetween val="midCat"/>
      </c:valAx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sk-SK"/>
              <a:t>t3  Residual Plot</a:t>
            </a:r>
          </a:p>
        </c:rich>
      </c:tx>
      <c:layout/>
      <c:overlay val="0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38100">
              <a:noFill/>
            </a:ln>
          </c:spPr>
          <c:xVal>
            <c:numRef>
              <c:f>'12. Úloha'!$D$4:$D$23</c:f>
              <c:numCache>
                <c:formatCode>General</c:formatCode>
                <c:ptCount val="20"/>
                <c:pt idx="0">
                  <c:v>-0.99999999999999856</c:v>
                </c:pt>
                <c:pt idx="1">
                  <c:v>-0.99999999999999856</c:v>
                </c:pt>
                <c:pt idx="2">
                  <c:v>-0.99999999999999856</c:v>
                </c:pt>
                <c:pt idx="3">
                  <c:v>-0.99999999999999856</c:v>
                </c:pt>
                <c:pt idx="4">
                  <c:v>-0.99999999999999856</c:v>
                </c:pt>
                <c:pt idx="5">
                  <c:v>-0.99999999999999856</c:v>
                </c:pt>
                <c:pt idx="6">
                  <c:v>-0.99999999999999856</c:v>
                </c:pt>
                <c:pt idx="7">
                  <c:v>-0.99999999999999856</c:v>
                </c:pt>
                <c:pt idx="8">
                  <c:v>1.0000000000000013</c:v>
                </c:pt>
                <c:pt idx="9">
                  <c:v>1.0000000000000013</c:v>
                </c:pt>
                <c:pt idx="10">
                  <c:v>1.0000000000000013</c:v>
                </c:pt>
                <c:pt idx="11">
                  <c:v>1.0000000000000013</c:v>
                </c:pt>
                <c:pt idx="12">
                  <c:v>1.0000000000000013</c:v>
                </c:pt>
                <c:pt idx="13">
                  <c:v>1.0000000000000013</c:v>
                </c:pt>
                <c:pt idx="14">
                  <c:v>1.0000000000000013</c:v>
                </c:pt>
                <c:pt idx="15">
                  <c:v>1.0000000000000013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</c:numCache>
            </c:numRef>
          </c:xVal>
          <c:yVal>
            <c:numRef>
              <c:f>'12. Úloha'!$J$6:$J$25</c:f>
              <c:numCache>
                <c:formatCode>General</c:formatCode>
                <c:ptCount val="20"/>
                <c:pt idx="0">
                  <c:v>5.7521549999999806</c:v>
                </c:pt>
                <c:pt idx="1">
                  <c:v>-2.0263450000000205</c:v>
                </c:pt>
                <c:pt idx="2">
                  <c:v>-13.066070000000053</c:v>
                </c:pt>
                <c:pt idx="3">
                  <c:v>7.8131299999999726</c:v>
                </c:pt>
                <c:pt idx="4">
                  <c:v>-1.3916450000000111</c:v>
                </c:pt>
                <c:pt idx="5">
                  <c:v>0.2533549999999849</c:v>
                </c:pt>
                <c:pt idx="6">
                  <c:v>2.6573299999999733</c:v>
                </c:pt>
                <c:pt idx="7">
                  <c:v>-8.0015700000000436</c:v>
                </c:pt>
                <c:pt idx="8">
                  <c:v>-6.2366199999999878</c:v>
                </c:pt>
                <c:pt idx="9">
                  <c:v>-1.4940199999999919</c:v>
                </c:pt>
                <c:pt idx="10">
                  <c:v>10.922154999999975</c:v>
                </c:pt>
                <c:pt idx="11">
                  <c:v>-9.6740450000000351</c:v>
                </c:pt>
                <c:pt idx="12">
                  <c:v>2.7330800000000011</c:v>
                </c:pt>
                <c:pt idx="13">
                  <c:v>-5.5996199999999874</c:v>
                </c:pt>
                <c:pt idx="14">
                  <c:v>0.79555499999997892</c:v>
                </c:pt>
                <c:pt idx="15">
                  <c:v>0.54385499999997933</c:v>
                </c:pt>
                <c:pt idx="16">
                  <c:v>20.751230000000021</c:v>
                </c:pt>
                <c:pt idx="17">
                  <c:v>3.3224300000000255</c:v>
                </c:pt>
                <c:pt idx="18">
                  <c:v>-7.6211699999999922</c:v>
                </c:pt>
                <c:pt idx="19">
                  <c:v>-0.43316999999998984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FFF-433B-A19F-07B2A68C7E5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416412880"/>
        <c:axId val="1416415280"/>
      </c:scatterChart>
      <c:valAx>
        <c:axId val="141641288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sk-SK"/>
                  <a:t>t3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416415280"/>
        <c:crosses val="autoZero"/>
        <c:crossBetween val="midCat"/>
      </c:valAx>
      <c:valAx>
        <c:axId val="1416415280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sk-SK"/>
                  <a:t>Residuals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416412880"/>
        <c:crosses val="autoZero"/>
        <c:crossBetween val="midCat"/>
      </c:valAx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sk-SK"/>
              <a:t>t1*t2  Residual Plot</a:t>
            </a:r>
          </a:p>
        </c:rich>
      </c:tx>
      <c:layout/>
      <c:overlay val="0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38100">
              <a:noFill/>
            </a:ln>
          </c:spPr>
          <c:xVal>
            <c:numRef>
              <c:f>'12. Úloha'!$E$4:$E$23</c:f>
              <c:numCache>
                <c:formatCode>General</c:formatCode>
                <c:ptCount val="20"/>
                <c:pt idx="0">
                  <c:v>1</c:v>
                </c:pt>
                <c:pt idx="1">
                  <c:v>1</c:v>
                </c:pt>
                <c:pt idx="2">
                  <c:v>-1</c:v>
                </c:pt>
                <c:pt idx="3">
                  <c:v>-1</c:v>
                </c:pt>
                <c:pt idx="4">
                  <c:v>-1</c:v>
                </c:pt>
                <c:pt idx="5">
                  <c:v>-1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-1</c:v>
                </c:pt>
                <c:pt idx="11">
                  <c:v>-1</c:v>
                </c:pt>
                <c:pt idx="12">
                  <c:v>-1</c:v>
                </c:pt>
                <c:pt idx="13">
                  <c:v>-1</c:v>
                </c:pt>
                <c:pt idx="14">
                  <c:v>1</c:v>
                </c:pt>
                <c:pt idx="15">
                  <c:v>1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</c:numCache>
            </c:numRef>
          </c:xVal>
          <c:yVal>
            <c:numRef>
              <c:f>'12. Úloha'!$J$6:$J$25</c:f>
              <c:numCache>
                <c:formatCode>General</c:formatCode>
                <c:ptCount val="20"/>
                <c:pt idx="0">
                  <c:v>5.7521549999999806</c:v>
                </c:pt>
                <c:pt idx="1">
                  <c:v>-2.0263450000000205</c:v>
                </c:pt>
                <c:pt idx="2">
                  <c:v>-13.066070000000053</c:v>
                </c:pt>
                <c:pt idx="3">
                  <c:v>7.8131299999999726</c:v>
                </c:pt>
                <c:pt idx="4">
                  <c:v>-1.3916450000000111</c:v>
                </c:pt>
                <c:pt idx="5">
                  <c:v>0.2533549999999849</c:v>
                </c:pt>
                <c:pt idx="6">
                  <c:v>2.6573299999999733</c:v>
                </c:pt>
                <c:pt idx="7">
                  <c:v>-8.0015700000000436</c:v>
                </c:pt>
                <c:pt idx="8">
                  <c:v>-6.2366199999999878</c:v>
                </c:pt>
                <c:pt idx="9">
                  <c:v>-1.4940199999999919</c:v>
                </c:pt>
                <c:pt idx="10">
                  <c:v>10.922154999999975</c:v>
                </c:pt>
                <c:pt idx="11">
                  <c:v>-9.6740450000000351</c:v>
                </c:pt>
                <c:pt idx="12">
                  <c:v>2.7330800000000011</c:v>
                </c:pt>
                <c:pt idx="13">
                  <c:v>-5.5996199999999874</c:v>
                </c:pt>
                <c:pt idx="14">
                  <c:v>0.79555499999997892</c:v>
                </c:pt>
                <c:pt idx="15">
                  <c:v>0.54385499999997933</c:v>
                </c:pt>
                <c:pt idx="16">
                  <c:v>20.751230000000021</c:v>
                </c:pt>
                <c:pt idx="17">
                  <c:v>3.3224300000000255</c:v>
                </c:pt>
                <c:pt idx="18">
                  <c:v>-7.6211699999999922</c:v>
                </c:pt>
                <c:pt idx="19">
                  <c:v>-0.43316999999998984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F035-4CA7-ADE9-66C172D546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10005680"/>
        <c:axId val="2010006160"/>
      </c:scatterChart>
      <c:valAx>
        <c:axId val="201000568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sk-SK"/>
                  <a:t>t1*t2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2010006160"/>
        <c:crosses val="autoZero"/>
        <c:crossBetween val="midCat"/>
      </c:valAx>
      <c:valAx>
        <c:axId val="2010006160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sk-SK"/>
                  <a:t>Residuals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2010005680"/>
        <c:crosses val="autoZero"/>
        <c:crossBetween val="midCat"/>
      </c:valAx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Hlavný efekt faktora C_Napätie gumičky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'16. Úloha'!$S$23:$S$24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'16. Úloha'!$T$23:$T$24</c:f>
              <c:numCache>
                <c:formatCode>General</c:formatCode>
                <c:ptCount val="2"/>
                <c:pt idx="0">
                  <c:v>107.695425</c:v>
                </c:pt>
                <c:pt idx="1">
                  <c:v>160.37370000000001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2252-4ADB-A819-D7C31EF6681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60886976"/>
        <c:axId val="960895616"/>
      </c:scatterChart>
      <c:valAx>
        <c:axId val="960886976"/>
        <c:scaling>
          <c:orientation val="minMax"/>
          <c:max val="1"/>
          <c:min val="-1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Napätie gumičky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60895616"/>
        <c:crosses val="autoZero"/>
        <c:crossBetween val="midCat"/>
      </c:valAx>
      <c:valAx>
        <c:axId val="960895616"/>
        <c:scaling>
          <c:orientation val="minMax"/>
          <c:max val="200"/>
          <c:min val="9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6088697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Hlavný efekt faktora B_Uhol odpalu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'16. Úloha'!$K$23:$K$24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'16. Úloha'!$L$23:$L$24</c:f>
              <c:numCache>
                <c:formatCode>General</c:formatCode>
                <c:ptCount val="2"/>
                <c:pt idx="0">
                  <c:v>125.16533750000001</c:v>
                </c:pt>
                <c:pt idx="1">
                  <c:v>142.90378749999999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059-4461-8AD3-DADA3B15065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44515248"/>
        <c:axId val="980704176"/>
      </c:scatterChart>
      <c:valAx>
        <c:axId val="944515248"/>
        <c:scaling>
          <c:orientation val="minMax"/>
          <c:max val="1"/>
          <c:min val="-1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Uhol odpalu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80704176"/>
        <c:crosses val="autoZero"/>
        <c:crossBetween val="midCat"/>
      </c:valAx>
      <c:valAx>
        <c:axId val="980704176"/>
        <c:scaling>
          <c:orientation val="minMax"/>
          <c:max val="200"/>
          <c:min val="9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44515248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Hlavný efekt faktora A_Dĺžka ramena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'16. Úloha'!$C$23:$C$24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'16. Úloha'!$D$23:$D$24</c:f>
              <c:numCache>
                <c:formatCode>General</c:formatCode>
                <c:ptCount val="2"/>
                <c:pt idx="0">
                  <c:v>92.335925000000003</c:v>
                </c:pt>
                <c:pt idx="1">
                  <c:v>175.73320000000001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94D1-44BD-A01B-0842B24807A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04591856"/>
        <c:axId val="904588016"/>
      </c:scatterChart>
      <c:valAx>
        <c:axId val="904591856"/>
        <c:scaling>
          <c:orientation val="minMax"/>
          <c:max val="1"/>
          <c:min val="-1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Dĺžka ramena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04588016"/>
        <c:crosses val="autoZero"/>
        <c:crossBetween val="midCat"/>
      </c:valAx>
      <c:valAx>
        <c:axId val="904588016"/>
        <c:scaling>
          <c:orientation val="minMax"/>
          <c:max val="200"/>
          <c:min val="9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0459185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 A a C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Úloha'!$I$8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Úloha'!$J$7:$K$7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Úloha'!$J$8:$K$8</c:f>
              <c:numCache>
                <c:formatCode>General</c:formatCode>
                <c:ptCount val="2"/>
                <c:pt idx="0">
                  <c:v>67.644875000000013</c:v>
                </c:pt>
                <c:pt idx="1">
                  <c:v>147.74597499999999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DEF-4C22-BF61-42968719FD22}"/>
            </c:ext>
          </c:extLst>
        </c:ser>
        <c:ser>
          <c:idx val="1"/>
          <c:order val="1"/>
          <c:tx>
            <c:strRef>
              <c:f>'17. Úloha'!$I$9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Úloha'!$J$7:$K$7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Úloha'!$J$9:$K$9</c:f>
              <c:numCache>
                <c:formatCode>General</c:formatCode>
                <c:ptCount val="2"/>
                <c:pt idx="0">
                  <c:v>117.02697499999999</c:v>
                </c:pt>
                <c:pt idx="1">
                  <c:v>203.72042499999998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DEF-4C22-BF61-42968719FD2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66014496"/>
        <c:axId val="566017376"/>
      </c:scatterChart>
      <c:valAx>
        <c:axId val="566014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A_Dĺžka</a:t>
                </a:r>
                <a:r>
                  <a:rPr lang="sk-SK" baseline="0"/>
                  <a:t> ramena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566017376"/>
        <c:crosses val="autoZero"/>
        <c:crossBetween val="midCat"/>
      </c:valAx>
      <c:valAx>
        <c:axId val="5660173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566014496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 A a C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Úloha'!$J$7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Úloha'!$I$8:$I$9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Úloha'!$J$8:$J$9</c:f>
              <c:numCache>
                <c:formatCode>General</c:formatCode>
                <c:ptCount val="2"/>
                <c:pt idx="0">
                  <c:v>67.644875000000013</c:v>
                </c:pt>
                <c:pt idx="1">
                  <c:v>117.02697499999999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F86-47EF-8357-1852FF40A2B0}"/>
            </c:ext>
          </c:extLst>
        </c:ser>
        <c:ser>
          <c:idx val="1"/>
          <c:order val="1"/>
          <c:tx>
            <c:strRef>
              <c:f>'17. Úloha'!$K$7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Úloha'!$I$8:$I$9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Úloha'!$K$8:$K$9</c:f>
              <c:numCache>
                <c:formatCode>General</c:formatCode>
                <c:ptCount val="2"/>
                <c:pt idx="0">
                  <c:v>147.74597499999999</c:v>
                </c:pt>
                <c:pt idx="1">
                  <c:v>203.72042499999998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DF86-47EF-8357-1852FF40A2B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66014496"/>
        <c:axId val="566017376"/>
      </c:scatterChart>
      <c:valAx>
        <c:axId val="566014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baseline="0"/>
                  <a:t>C_Napätie gumičky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566017376"/>
        <c:crosses val="autoZero"/>
        <c:crossBetween val="midCat"/>
      </c:valAx>
      <c:valAx>
        <c:axId val="5660173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566014496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</a:t>
            </a:r>
            <a:r>
              <a:rPr lang="sk-SK" baseline="0"/>
              <a:t> A a B</a:t>
            </a:r>
            <a:endParaRPr lang="sk-SK"/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Úloha'!$I$27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Úloha'!$J$26:$K$26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Úloha'!$J$27:$K$27</c:f>
              <c:numCache>
                <c:formatCode>General</c:formatCode>
                <c:ptCount val="2"/>
                <c:pt idx="0">
                  <c:v>77.173675000000003</c:v>
                </c:pt>
                <c:pt idx="1">
                  <c:v>173.15700000000001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A56-4A99-872D-83552095B5A9}"/>
            </c:ext>
          </c:extLst>
        </c:ser>
        <c:ser>
          <c:idx val="1"/>
          <c:order val="1"/>
          <c:tx>
            <c:strRef>
              <c:f>'17. Úloha'!$I$28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Úloha'!$J$26:$K$26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Úloha'!$J$28:$K$28</c:f>
              <c:numCache>
                <c:formatCode>General</c:formatCode>
                <c:ptCount val="2"/>
                <c:pt idx="0">
                  <c:v>107.498175</c:v>
                </c:pt>
                <c:pt idx="1">
                  <c:v>178.30939999999998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3A56-4A99-872D-83552095B5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06201552"/>
        <c:axId val="933000304"/>
      </c:scatterChart>
      <c:valAx>
        <c:axId val="130620155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A_Dĺžka ramena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33000304"/>
        <c:crosses val="autoZero"/>
        <c:crossBetween val="midCat"/>
      </c:valAx>
      <c:valAx>
        <c:axId val="9330003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30620155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Interakcia faktorov A a B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Úloha'!$J$26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Úloha'!$I$27:$I$28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Úloha'!$J$27:$J$28</c:f>
              <c:numCache>
                <c:formatCode>General</c:formatCode>
                <c:ptCount val="2"/>
                <c:pt idx="0">
                  <c:v>77.173675000000003</c:v>
                </c:pt>
                <c:pt idx="1">
                  <c:v>107.498175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915D-470F-AB68-30E30D4D4F52}"/>
            </c:ext>
          </c:extLst>
        </c:ser>
        <c:ser>
          <c:idx val="1"/>
          <c:order val="1"/>
          <c:tx>
            <c:strRef>
              <c:f>'17. Úloha'!$K$26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Úloha'!$I$27:$I$28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Úloha'!$K$27:$K$28</c:f>
              <c:numCache>
                <c:formatCode>General</c:formatCode>
                <c:ptCount val="2"/>
                <c:pt idx="0">
                  <c:v>173.15700000000001</c:v>
                </c:pt>
                <c:pt idx="1">
                  <c:v>178.30939999999998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915D-470F-AB68-30E30D4D4F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06201552"/>
        <c:axId val="933000304"/>
      </c:scatterChart>
      <c:valAx>
        <c:axId val="130620155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B_Uhol odpalu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33000304"/>
        <c:crosses val="autoZero"/>
        <c:crossBetween val="midCat"/>
      </c:valAx>
      <c:valAx>
        <c:axId val="9330003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30620155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 B</a:t>
            </a:r>
            <a:r>
              <a:rPr lang="sk-SK" baseline="0"/>
              <a:t> a C</a:t>
            </a:r>
            <a:endParaRPr lang="sk-SK"/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Úloha'!$I$44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Úloha'!$J$43:$K$43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Úloha'!$J$44:$K$44</c:f>
              <c:numCache>
                <c:formatCode>General</c:formatCode>
                <c:ptCount val="2"/>
                <c:pt idx="0">
                  <c:v>99.445625000000007</c:v>
                </c:pt>
                <c:pt idx="1">
                  <c:v>115.94522500000001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E34-4F54-972F-A009E4BE6ADD}"/>
            </c:ext>
          </c:extLst>
        </c:ser>
        <c:ser>
          <c:idx val="1"/>
          <c:order val="1"/>
          <c:tx>
            <c:strRef>
              <c:f>'17. Úloha'!$I$45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Úloha'!$J$43:$K$43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Úloha'!$J$45:$K$45</c:f>
              <c:numCache>
                <c:formatCode>General</c:formatCode>
                <c:ptCount val="2"/>
                <c:pt idx="0">
                  <c:v>150.88505000000001</c:v>
                </c:pt>
                <c:pt idx="1">
                  <c:v>169.86234999999999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CE34-4F54-972F-A009E4BE6AD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31694032"/>
        <c:axId val="731692112"/>
      </c:scatterChart>
      <c:valAx>
        <c:axId val="7316940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B_Uhol odpalu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731692112"/>
        <c:crosses val="autoZero"/>
        <c:crossBetween val="midCat"/>
      </c:valAx>
      <c:valAx>
        <c:axId val="7316921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 marL="0" marR="0" lvl="0" indent="0" algn="ctr" defTabSz="914400" rtl="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 marL="0" marR="0" lvl="0" indent="0" algn="ctr" defTabSz="914400" rtl="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 sz="1000" b="0" i="0" u="none" strike="noStrike" kern="1200" baseline="0">
                  <a:solidFill>
                    <a:sysClr val="windowText" lastClr="000000">
                      <a:lumMod val="65000"/>
                      <a:lumOff val="35000"/>
                    </a:sys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73169403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 B</a:t>
            </a:r>
            <a:r>
              <a:rPr lang="sk-SK" baseline="0"/>
              <a:t> a C</a:t>
            </a:r>
            <a:endParaRPr lang="sk-SK"/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Úloha'!$J$43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Úloha'!$I$44:$I$45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Úloha'!$J$44:$J$45</c:f>
              <c:numCache>
                <c:formatCode>General</c:formatCode>
                <c:ptCount val="2"/>
                <c:pt idx="0">
                  <c:v>99.445625000000007</c:v>
                </c:pt>
                <c:pt idx="1">
                  <c:v>150.88505000000001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967-4E13-B95C-30906B1211E1}"/>
            </c:ext>
          </c:extLst>
        </c:ser>
        <c:ser>
          <c:idx val="1"/>
          <c:order val="1"/>
          <c:tx>
            <c:strRef>
              <c:f>'17. Úloha'!$K$43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Úloha'!$I$44:$I$45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Úloha'!$K$44:$K$45</c:f>
              <c:numCache>
                <c:formatCode>General</c:formatCode>
                <c:ptCount val="2"/>
                <c:pt idx="0">
                  <c:v>115.94522500000001</c:v>
                </c:pt>
                <c:pt idx="1">
                  <c:v>169.86234999999999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967-4E13-B95C-30906B1211E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31694032"/>
        <c:axId val="731692112"/>
      </c:scatterChart>
      <c:valAx>
        <c:axId val="7316940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C_Napátie gumičky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731692112"/>
        <c:crosses val="autoZero"/>
        <c:crossBetween val="midCat"/>
      </c:valAx>
      <c:valAx>
        <c:axId val="7316921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 marL="0" marR="0" lvl="0" indent="0" algn="ctr" defTabSz="914400" rtl="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 marL="0" marR="0" lvl="0" indent="0" algn="ctr" defTabSz="914400" rtl="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 sz="1000" b="0" i="0" u="none" strike="noStrike" kern="1200" baseline="0">
                  <a:solidFill>
                    <a:sysClr val="windowText" lastClr="000000">
                      <a:lumMod val="65000"/>
                      <a:lumOff val="35000"/>
                    </a:sys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73169403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Validácia regresného modelu 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layout>
                <c:manualLayout>
                  <c:x val="0.17226181102362204"/>
                  <c:y val="-0.18552785068533101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sk-SK"/>
                </a:p>
              </c:txPr>
            </c:trendlineLbl>
          </c:trendline>
          <c:xVal>
            <c:numRef>
              <c:f>'19. Úloha'!$L$9:$L$23</c:f>
              <c:numCache>
                <c:formatCode>General</c:formatCode>
                <c:ptCount val="15"/>
                <c:pt idx="0">
                  <c:v>103.85774103174602</c:v>
                </c:pt>
                <c:pt idx="1">
                  <c:v>93.649942619047664</c:v>
                </c:pt>
                <c:pt idx="2">
                  <c:v>200.6101961904763</c:v>
                </c:pt>
                <c:pt idx="3">
                  <c:v>155.42024702380957</c:v>
                </c:pt>
                <c:pt idx="4">
                  <c:v>126.37860134920636</c:v>
                </c:pt>
                <c:pt idx="5">
                  <c:v>73.777796984127008</c:v>
                </c:pt>
                <c:pt idx="6">
                  <c:v>189.19750388888895</c:v>
                </c:pt>
                <c:pt idx="7">
                  <c:v>135.36155134920639</c:v>
                </c:pt>
                <c:pt idx="8">
                  <c:v>99.402176190476226</c:v>
                </c:pt>
                <c:pt idx="9">
                  <c:v>113.95119436507935</c:v>
                </c:pt>
                <c:pt idx="10">
                  <c:v>75.184972380952402</c:v>
                </c:pt>
                <c:pt idx="11">
                  <c:v>186.42128232222228</c:v>
                </c:pt>
                <c:pt idx="12">
                  <c:v>124.48480031746035</c:v>
                </c:pt>
                <c:pt idx="13">
                  <c:v>120.17388507936508</c:v>
                </c:pt>
                <c:pt idx="14">
                  <c:v>137.53818428571427</c:v>
                </c:pt>
              </c:numCache>
            </c:numRef>
          </c:xVal>
          <c:yVal>
            <c:numRef>
              <c:f>'19. Úloha'!$F$9:$F$23</c:f>
              <c:numCache>
                <c:formatCode>General</c:formatCode>
                <c:ptCount val="15"/>
                <c:pt idx="0">
                  <c:v>101.6178</c:v>
                </c:pt>
                <c:pt idx="1">
                  <c:v>100.2572</c:v>
                </c:pt>
                <c:pt idx="2">
                  <c:v>205.18889999999999</c:v>
                </c:pt>
                <c:pt idx="3">
                  <c:v>166.74080000000001</c:v>
                </c:pt>
                <c:pt idx="4">
                  <c:v>130.54089999999999</c:v>
                </c:pt>
                <c:pt idx="5">
                  <c:v>81.393699999999995</c:v>
                </c:pt>
                <c:pt idx="6">
                  <c:v>197.8766</c:v>
                </c:pt>
                <c:pt idx="7">
                  <c:v>143.72239999999999</c:v>
                </c:pt>
                <c:pt idx="8">
                  <c:v>99.452200000000005</c:v>
                </c:pt>
                <c:pt idx="9">
                  <c:v>114.2816</c:v>
                </c:pt>
                <c:pt idx="10">
                  <c:v>83.121799999999993</c:v>
                </c:pt>
                <c:pt idx="11">
                  <c:v>192.7235</c:v>
                </c:pt>
                <c:pt idx="12">
                  <c:v>123.9954</c:v>
                </c:pt>
                <c:pt idx="13">
                  <c:v>127.27030000000001</c:v>
                </c:pt>
                <c:pt idx="14">
                  <c:v>153.011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5C5-4A03-96EE-76A00120B6A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60432335"/>
        <c:axId val="1060430895"/>
      </c:scatterChart>
      <c:valAx>
        <c:axId val="1060432335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Predikovaný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060430895"/>
        <c:crosses val="autoZero"/>
        <c:crossBetween val="midCat"/>
      </c:valAx>
      <c:valAx>
        <c:axId val="106043089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Nameraný</a:t>
                </a:r>
                <a:r>
                  <a:rPr lang="sk-SK" baseline="0"/>
                  <a:t> dostrel katapultu [cm]</a:t>
                </a:r>
                <a:endParaRPr lang="sk-SK"/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06043233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Hlavný efekt faktora C_Napätie gumičky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'16. Úloha'!$S$23:$S$24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'16. Úloha'!$T$23:$T$24</c:f>
              <c:numCache>
                <c:formatCode>General</c:formatCode>
                <c:ptCount val="2"/>
                <c:pt idx="0">
                  <c:v>107.695425</c:v>
                </c:pt>
                <c:pt idx="1">
                  <c:v>160.37370000000001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588-405D-A979-2ED0889643C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60886976"/>
        <c:axId val="960895616"/>
      </c:scatterChart>
      <c:valAx>
        <c:axId val="960886976"/>
        <c:scaling>
          <c:orientation val="minMax"/>
          <c:max val="1"/>
          <c:min val="-1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Napätie gumičky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60895616"/>
        <c:crosses val="autoZero"/>
        <c:crossBetween val="midCat"/>
      </c:valAx>
      <c:valAx>
        <c:axId val="960895616"/>
        <c:scaling>
          <c:orientation val="minMax"/>
          <c:max val="200"/>
          <c:min val="9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6088697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Hlavný efekt faktora B_Uhol odpalu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'16. Úloha'!$K$23:$K$24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'16. Úloha'!$L$23:$L$24</c:f>
              <c:numCache>
                <c:formatCode>General</c:formatCode>
                <c:ptCount val="2"/>
                <c:pt idx="0">
                  <c:v>125.16533750000001</c:v>
                </c:pt>
                <c:pt idx="1">
                  <c:v>142.90378749999999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854-4B55-8F86-0CCA7C9DFB8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44515248"/>
        <c:axId val="980704176"/>
      </c:scatterChart>
      <c:valAx>
        <c:axId val="944515248"/>
        <c:scaling>
          <c:orientation val="minMax"/>
          <c:max val="1"/>
          <c:min val="-1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Uhol odpalu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80704176"/>
        <c:crosses val="autoZero"/>
        <c:crossBetween val="midCat"/>
      </c:valAx>
      <c:valAx>
        <c:axId val="980704176"/>
        <c:scaling>
          <c:orientation val="minMax"/>
          <c:max val="200"/>
          <c:min val="9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44515248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Hlavný efekt faktora A_Dĺžka ramena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'16. Úloha'!$C$23:$C$24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'16. Úloha'!$D$23:$D$24</c:f>
              <c:numCache>
                <c:formatCode>General</c:formatCode>
                <c:ptCount val="2"/>
                <c:pt idx="0">
                  <c:v>92.335925000000003</c:v>
                </c:pt>
                <c:pt idx="1">
                  <c:v>175.73320000000001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C8C-4A39-AD2B-42C953CDA17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04591856"/>
        <c:axId val="904588016"/>
      </c:scatterChart>
      <c:valAx>
        <c:axId val="904591856"/>
        <c:scaling>
          <c:orientation val="minMax"/>
          <c:max val="1"/>
          <c:min val="-1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Dĺžka ramena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04588016"/>
        <c:crosses val="autoZero"/>
        <c:crossBetween val="midCat"/>
      </c:valAx>
      <c:valAx>
        <c:axId val="904588016"/>
        <c:scaling>
          <c:orientation val="minMax"/>
          <c:max val="200"/>
          <c:min val="9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0459185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 A a C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Úloha'!$I$8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Úloha'!$J$7:$K$7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Úloha'!$J$8:$K$8</c:f>
              <c:numCache>
                <c:formatCode>General</c:formatCode>
                <c:ptCount val="2"/>
                <c:pt idx="0">
                  <c:v>67.644875000000013</c:v>
                </c:pt>
                <c:pt idx="1">
                  <c:v>147.74597499999999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B25-4B06-8AEE-361B00BC4B71}"/>
            </c:ext>
          </c:extLst>
        </c:ser>
        <c:ser>
          <c:idx val="1"/>
          <c:order val="1"/>
          <c:tx>
            <c:strRef>
              <c:f>'17. Úloha'!$I$9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Úloha'!$J$7:$K$7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Úloha'!$J$9:$K$9</c:f>
              <c:numCache>
                <c:formatCode>General</c:formatCode>
                <c:ptCount val="2"/>
                <c:pt idx="0">
                  <c:v>117.02697499999999</c:v>
                </c:pt>
                <c:pt idx="1">
                  <c:v>203.72042499999998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B25-4B06-8AEE-361B00BC4B7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66014496"/>
        <c:axId val="566017376"/>
      </c:scatterChart>
      <c:valAx>
        <c:axId val="566014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A_Dĺžka</a:t>
                </a:r>
                <a:r>
                  <a:rPr lang="sk-SK" baseline="0"/>
                  <a:t> ramena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566017376"/>
        <c:crosses val="autoZero"/>
        <c:crossBetween val="midCat"/>
      </c:valAx>
      <c:valAx>
        <c:axId val="5660173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566014496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 A a C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Úloha'!$J$7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Úloha'!$I$8:$I$9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Úloha'!$J$8:$J$9</c:f>
              <c:numCache>
                <c:formatCode>General</c:formatCode>
                <c:ptCount val="2"/>
                <c:pt idx="0">
                  <c:v>67.644875000000013</c:v>
                </c:pt>
                <c:pt idx="1">
                  <c:v>117.02697499999999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35B-4EBD-921C-01E70FE5D5FD}"/>
            </c:ext>
          </c:extLst>
        </c:ser>
        <c:ser>
          <c:idx val="1"/>
          <c:order val="1"/>
          <c:tx>
            <c:strRef>
              <c:f>'17. Úloha'!$K$7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Úloha'!$I$8:$I$9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Úloha'!$K$8:$K$9</c:f>
              <c:numCache>
                <c:formatCode>General</c:formatCode>
                <c:ptCount val="2"/>
                <c:pt idx="0">
                  <c:v>147.74597499999999</c:v>
                </c:pt>
                <c:pt idx="1">
                  <c:v>203.72042499999998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35B-4EBD-921C-01E70FE5D5F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66014496"/>
        <c:axId val="566017376"/>
      </c:scatterChart>
      <c:valAx>
        <c:axId val="566014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baseline="0"/>
                  <a:t>C_Napätie gumičky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566017376"/>
        <c:crosses val="autoZero"/>
        <c:crossBetween val="midCat"/>
      </c:valAx>
      <c:valAx>
        <c:axId val="5660173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566014496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</a:t>
            </a:r>
            <a:r>
              <a:rPr lang="sk-SK" baseline="0"/>
              <a:t> A a B</a:t>
            </a:r>
            <a:endParaRPr lang="sk-SK"/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Úloha'!$I$27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Úloha'!$J$26:$K$26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Úloha'!$J$27:$K$27</c:f>
              <c:numCache>
                <c:formatCode>General</c:formatCode>
                <c:ptCount val="2"/>
                <c:pt idx="0">
                  <c:v>77.173675000000003</c:v>
                </c:pt>
                <c:pt idx="1">
                  <c:v>173.15700000000001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BEC-4EDC-BF60-56ECE15BE335}"/>
            </c:ext>
          </c:extLst>
        </c:ser>
        <c:ser>
          <c:idx val="1"/>
          <c:order val="1"/>
          <c:tx>
            <c:strRef>
              <c:f>'17. Úloha'!$I$28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Úloha'!$J$26:$K$26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Úloha'!$J$28:$K$28</c:f>
              <c:numCache>
                <c:formatCode>General</c:formatCode>
                <c:ptCount val="2"/>
                <c:pt idx="0">
                  <c:v>107.498175</c:v>
                </c:pt>
                <c:pt idx="1">
                  <c:v>178.30939999999998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BEC-4EDC-BF60-56ECE15BE33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06201552"/>
        <c:axId val="933000304"/>
      </c:scatterChart>
      <c:valAx>
        <c:axId val="130620155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A_Dĺžka ramena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33000304"/>
        <c:crosses val="autoZero"/>
        <c:crossBetween val="midCat"/>
      </c:valAx>
      <c:valAx>
        <c:axId val="9330003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30620155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Interakcia faktorov A a B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Úloha'!$J$26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Úloha'!$I$27:$I$28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Úloha'!$J$27:$J$28</c:f>
              <c:numCache>
                <c:formatCode>General</c:formatCode>
                <c:ptCount val="2"/>
                <c:pt idx="0">
                  <c:v>77.173675000000003</c:v>
                </c:pt>
                <c:pt idx="1">
                  <c:v>107.498175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1E70-4F07-8FC8-0497B3FB6B17}"/>
            </c:ext>
          </c:extLst>
        </c:ser>
        <c:ser>
          <c:idx val="1"/>
          <c:order val="1"/>
          <c:tx>
            <c:strRef>
              <c:f>'17. Úloha'!$K$26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Úloha'!$I$27:$I$28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Úloha'!$K$27:$K$28</c:f>
              <c:numCache>
                <c:formatCode>General</c:formatCode>
                <c:ptCount val="2"/>
                <c:pt idx="0">
                  <c:v>173.15700000000001</c:v>
                </c:pt>
                <c:pt idx="1">
                  <c:v>178.30939999999998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1E70-4F07-8FC8-0497B3FB6B1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06201552"/>
        <c:axId val="933000304"/>
      </c:scatterChart>
      <c:valAx>
        <c:axId val="130620155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B_Uhol odpalu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33000304"/>
        <c:crosses val="autoZero"/>
        <c:crossBetween val="midCat"/>
      </c:valAx>
      <c:valAx>
        <c:axId val="9330003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30620155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 B</a:t>
            </a:r>
            <a:r>
              <a:rPr lang="sk-SK" baseline="0"/>
              <a:t> a C</a:t>
            </a:r>
            <a:endParaRPr lang="sk-SK"/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Úloha'!$I$44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Úloha'!$J$43:$K$43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Úloha'!$J$44:$K$44</c:f>
              <c:numCache>
                <c:formatCode>General</c:formatCode>
                <c:ptCount val="2"/>
                <c:pt idx="0">
                  <c:v>99.445625000000007</c:v>
                </c:pt>
                <c:pt idx="1">
                  <c:v>115.94522500000001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287-45CA-8667-B775B57A768C}"/>
            </c:ext>
          </c:extLst>
        </c:ser>
        <c:ser>
          <c:idx val="1"/>
          <c:order val="1"/>
          <c:tx>
            <c:strRef>
              <c:f>'17. Úloha'!$I$45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Úloha'!$J$43:$K$43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Úloha'!$J$45:$K$45</c:f>
              <c:numCache>
                <c:formatCode>General</c:formatCode>
                <c:ptCount val="2"/>
                <c:pt idx="0">
                  <c:v>150.88505000000001</c:v>
                </c:pt>
                <c:pt idx="1">
                  <c:v>169.86234999999999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C287-45CA-8667-B775B57A768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31694032"/>
        <c:axId val="731692112"/>
      </c:scatterChart>
      <c:valAx>
        <c:axId val="7316940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B_Uhol odpalu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731692112"/>
        <c:crosses val="autoZero"/>
        <c:crossBetween val="midCat"/>
      </c:valAx>
      <c:valAx>
        <c:axId val="7316921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 marL="0" marR="0" lvl="0" indent="0" algn="ctr" defTabSz="914400" rtl="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 marL="0" marR="0" lvl="0" indent="0" algn="ctr" defTabSz="914400" rtl="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 sz="1000" b="0" i="0" u="none" strike="noStrike" kern="1200" baseline="0">
                  <a:solidFill>
                    <a:sysClr val="windowText" lastClr="000000">
                      <a:lumMod val="65000"/>
                      <a:lumOff val="35000"/>
                    </a:sys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73169403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sk-SK"/>
              <a:t>Interakcia faktorov B</a:t>
            </a:r>
            <a:r>
              <a:rPr lang="sk-SK" baseline="0"/>
              <a:t> a C</a:t>
            </a:r>
            <a:endParaRPr lang="sk-SK"/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'17. Úloha'!$J$43</c:f>
              <c:strCache>
                <c:ptCount val="1"/>
                <c:pt idx="0">
                  <c:v>-1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'17. Úloha'!$I$44:$I$45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Úloha'!$J$44:$J$45</c:f>
              <c:numCache>
                <c:formatCode>General</c:formatCode>
                <c:ptCount val="2"/>
                <c:pt idx="0">
                  <c:v>99.445625000000007</c:v>
                </c:pt>
                <c:pt idx="1">
                  <c:v>150.88505000000001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9C6D-4186-8EDA-7F26C2BFA842}"/>
            </c:ext>
          </c:extLst>
        </c:ser>
        <c:ser>
          <c:idx val="1"/>
          <c:order val="1"/>
          <c:tx>
            <c:strRef>
              <c:f>'17. Úloha'!$K$43</c:f>
              <c:strCache>
                <c:ptCount val="1"/>
                <c:pt idx="0">
                  <c:v>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'17. Úloha'!$I$44:$I$45</c:f>
              <c:numCache>
                <c:formatCode>General</c:formatCode>
                <c:ptCount val="2"/>
                <c:pt idx="0">
                  <c:v>-1</c:v>
                </c:pt>
                <c:pt idx="1">
                  <c:v>1</c:v>
                </c:pt>
              </c:numCache>
            </c:numRef>
          </c:xVal>
          <c:yVal>
            <c:numRef>
              <c:f>'17. Úloha'!$K$44:$K$45</c:f>
              <c:numCache>
                <c:formatCode>General</c:formatCode>
                <c:ptCount val="2"/>
                <c:pt idx="0">
                  <c:v>115.94522500000001</c:v>
                </c:pt>
                <c:pt idx="1">
                  <c:v>169.86234999999999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9C6D-4186-8EDA-7F26C2BFA84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31694032"/>
        <c:axId val="731692112"/>
      </c:scatterChart>
      <c:valAx>
        <c:axId val="7316940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C_Napátie gumičky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731692112"/>
        <c:crosses val="autoZero"/>
        <c:crossBetween val="midCat"/>
      </c:valAx>
      <c:valAx>
        <c:axId val="7316921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 marL="0" marR="0" lvl="0" indent="0" algn="ctr" defTabSz="914400" rtl="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rPr>
                  <a:t>Priemerný dostrel katapultu [cm]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 marL="0" marR="0" lvl="0" indent="0" algn="ctr" defTabSz="914400" rtl="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 sz="1000" b="0" i="0" u="none" strike="noStrike" kern="1200" baseline="0">
                  <a:solidFill>
                    <a:sysClr val="windowText" lastClr="000000">
                      <a:lumMod val="65000"/>
                      <a:lumOff val="35000"/>
                    </a:sys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73169403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_xlchart.v1.0</cx:f>
      </cx:numDim>
    </cx:data>
    <cx:data id="1">
      <cx:numDim type="val">
        <cx:f>_xlchart.v1.1</cx:f>
      </cx:numDim>
    </cx:data>
  </cx:chartData>
  <cx:chart>
    <cx:plotArea>
      <cx:plotAreaRegion>
        <cx:series layoutId="boxWhisker" uniqueId="{F8D8038B-AED0-4927-96BD-8D4B55F634D8}">
          <cx:tx>
            <cx:txData>
              <cx:f/>
              <cx:v>Y kontrolné meranie</cx:v>
            </cx:txData>
          </cx:tx>
          <cx:dataId val="0"/>
          <cx:layoutPr>
            <cx:visibility meanLine="0" meanMarker="1" nonoutliers="0" outliers="1"/>
            <cx:statistics quartileMethod="exclusive"/>
          </cx:layoutPr>
        </cx:series>
        <cx:series layoutId="boxWhisker" uniqueId="{00000001-D251-4E82-B877-C6EAC3D64214}">
          <cx:tx>
            <cx:txData>
              <cx:f/>
              <cx:v>Y predikované</cx:v>
            </cx:txData>
          </cx:tx>
          <cx:dataId val="1"/>
          <cx:layoutPr>
            <cx:statistics quartileMethod="exclusive"/>
          </cx:layoutPr>
        </cx:series>
      </cx:plotAreaRegion>
      <cx:axis id="0">
        <cx:catScaling gapWidth="1"/>
        <cx:tickLabels/>
      </cx:axis>
      <cx:axis id="1">
        <cx:valScaling/>
        <cx:title>
          <cx:tx>
            <cx:txData>
              <cx:v>Dostrel katapultu [cm]</cx:v>
            </cx:txData>
          </cx:tx>
          <cx:txPr>
            <a:bodyPr spcFirstLastPara="1" vertOverflow="ellipsis" horzOverflow="overflow" wrap="square" lIns="0" tIns="0" rIns="0" bIns="0" anchor="ctr" anchorCtr="1"/>
            <a:lstStyle/>
            <a:p>
              <a:pPr algn="ctr" rtl="0">
                <a:defRPr/>
              </a:pPr>
              <a:r>
                <a:rPr lang="sk-SK" sz="900" b="0" i="0" u="none" strike="noStrike" baseline="0">
                  <a:solidFill>
                    <a:sysClr val="windowText" lastClr="000000">
                      <a:lumMod val="65000"/>
                      <a:lumOff val="35000"/>
                    </a:sysClr>
                  </a:solidFill>
                  <a:latin typeface="Aptos Narrow" panose="02110004020202020204"/>
                </a:rPr>
                <a:t>Dostrel katapultu [cm]</a:t>
              </a:r>
            </a:p>
          </cx:txPr>
        </cx:title>
        <cx:majorGridlines/>
        <cx:tickLabels/>
      </cx:axis>
    </cx:plotArea>
    <cx:legend pos="r" align="ctr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0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5" Type="http://schemas.openxmlformats.org/officeDocument/2006/relationships/image" Target="../media/image10.png"/><Relationship Id="rId4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.xml"/><Relationship Id="rId7" Type="http://schemas.openxmlformats.org/officeDocument/2006/relationships/image" Target="../media/image13.png"/><Relationship Id="rId2" Type="http://schemas.openxmlformats.org/officeDocument/2006/relationships/chart" Target="../charts/chart1.xml"/><Relationship Id="rId1" Type="http://schemas.openxmlformats.org/officeDocument/2006/relationships/image" Target="../media/image11.png"/><Relationship Id="rId6" Type="http://schemas.openxmlformats.org/officeDocument/2006/relationships/image" Target="../media/image12.png"/><Relationship Id="rId5" Type="http://schemas.openxmlformats.org/officeDocument/2006/relationships/chart" Target="../charts/chart4.xml"/><Relationship Id="rId4" Type="http://schemas.openxmlformats.org/officeDocument/2006/relationships/chart" Target="../charts/chart3.xml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7.xml"/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0.xml"/><Relationship Id="rId2" Type="http://schemas.openxmlformats.org/officeDocument/2006/relationships/chart" Target="../charts/chart9.xml"/><Relationship Id="rId1" Type="http://schemas.openxmlformats.org/officeDocument/2006/relationships/chart" Target="../charts/chart8.xml"/><Relationship Id="rId6" Type="http://schemas.openxmlformats.org/officeDocument/2006/relationships/chart" Target="../charts/chart13.xml"/><Relationship Id="rId5" Type="http://schemas.openxmlformats.org/officeDocument/2006/relationships/chart" Target="../charts/chart12.xml"/><Relationship Id="rId4" Type="http://schemas.openxmlformats.org/officeDocument/2006/relationships/chart" Target="../charts/chart11.xml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microsoft.com/office/2014/relationships/chartEx" Target="../charts/chartEx1.xml"/><Relationship Id="rId1" Type="http://schemas.openxmlformats.org/officeDocument/2006/relationships/chart" Target="../charts/chart14.xml"/><Relationship Id="rId4" Type="http://schemas.openxmlformats.org/officeDocument/2006/relationships/image" Target="../media/image18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png"/><Relationship Id="rId13" Type="http://schemas.openxmlformats.org/officeDocument/2006/relationships/chart" Target="../charts/chart18.xml"/><Relationship Id="rId18" Type="http://schemas.openxmlformats.org/officeDocument/2006/relationships/chart" Target="../charts/chart23.xml"/><Relationship Id="rId3" Type="http://schemas.openxmlformats.org/officeDocument/2006/relationships/image" Target="../media/image22.png"/><Relationship Id="rId7" Type="http://schemas.openxmlformats.org/officeDocument/2006/relationships/image" Target="../media/image26.png"/><Relationship Id="rId12" Type="http://schemas.openxmlformats.org/officeDocument/2006/relationships/chart" Target="../charts/chart17.xml"/><Relationship Id="rId17" Type="http://schemas.openxmlformats.org/officeDocument/2006/relationships/chart" Target="../charts/chart22.xml"/><Relationship Id="rId2" Type="http://schemas.openxmlformats.org/officeDocument/2006/relationships/image" Target="../media/image21.png"/><Relationship Id="rId16" Type="http://schemas.openxmlformats.org/officeDocument/2006/relationships/chart" Target="../charts/chart21.xml"/><Relationship Id="rId1" Type="http://schemas.openxmlformats.org/officeDocument/2006/relationships/image" Target="../media/image20.png"/><Relationship Id="rId6" Type="http://schemas.openxmlformats.org/officeDocument/2006/relationships/image" Target="../media/image25.png"/><Relationship Id="rId11" Type="http://schemas.openxmlformats.org/officeDocument/2006/relationships/chart" Target="../charts/chart16.xml"/><Relationship Id="rId5" Type="http://schemas.openxmlformats.org/officeDocument/2006/relationships/image" Target="../media/image24.png"/><Relationship Id="rId15" Type="http://schemas.openxmlformats.org/officeDocument/2006/relationships/chart" Target="../charts/chart20.xml"/><Relationship Id="rId10" Type="http://schemas.openxmlformats.org/officeDocument/2006/relationships/chart" Target="../charts/chart15.xml"/><Relationship Id="rId4" Type="http://schemas.openxmlformats.org/officeDocument/2006/relationships/image" Target="../media/image23.png"/><Relationship Id="rId9" Type="http://schemas.openxmlformats.org/officeDocument/2006/relationships/image" Target="../media/image28.png"/><Relationship Id="rId14" Type="http://schemas.openxmlformats.org/officeDocument/2006/relationships/chart" Target="../charts/chart19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26668</xdr:colOff>
      <xdr:row>7</xdr:row>
      <xdr:rowOff>11711</xdr:rowOff>
    </xdr:from>
    <xdr:to>
      <xdr:col>21</xdr:col>
      <xdr:colOff>240437</xdr:colOff>
      <xdr:row>21</xdr:row>
      <xdr:rowOff>74395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267D60F9-6D90-CCFD-C262-0EC608042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72053" y="1858096"/>
          <a:ext cx="7540692" cy="3037414"/>
        </a:xfrm>
        <a:prstGeom prst="rect">
          <a:avLst/>
        </a:prstGeom>
        <a:ln>
          <a:solidFill>
            <a:schemeClr val="accent1"/>
          </a:solidFill>
        </a:ln>
      </xdr:spPr>
    </xdr:pic>
    <xdr:clientData/>
  </xdr:twoCellAnchor>
  <xdr:twoCellAnchor>
    <xdr:from>
      <xdr:col>8</xdr:col>
      <xdr:colOff>596347</xdr:colOff>
      <xdr:row>26</xdr:row>
      <xdr:rowOff>16565</xdr:rowOff>
    </xdr:from>
    <xdr:to>
      <xdr:col>13</xdr:col>
      <xdr:colOff>513522</xdr:colOff>
      <xdr:row>42</xdr:row>
      <xdr:rowOff>165652</xdr:rowOff>
    </xdr:to>
    <xdr:sp macro="" textlink="">
      <xdr:nvSpPr>
        <xdr:cNvPr id="3" name="Obdĺžnik 2">
          <a:extLst>
            <a:ext uri="{FF2B5EF4-FFF2-40B4-BE49-F238E27FC236}">
              <a16:creationId xmlns:a16="http://schemas.microsoft.com/office/drawing/2014/main" id="{5B36264B-3D53-C53C-8E8E-01ADCD4778E5}"/>
            </a:ext>
          </a:extLst>
        </xdr:cNvPr>
        <xdr:cNvSpPr/>
      </xdr:nvSpPr>
      <xdr:spPr>
        <a:xfrm>
          <a:off x="6405217" y="5726043"/>
          <a:ext cx="3075609" cy="3075609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twoCellAnchor>
    <xdr:from>
      <xdr:col>7</xdr:col>
      <xdr:colOff>273879</xdr:colOff>
      <xdr:row>31</xdr:row>
      <xdr:rowOff>135834</xdr:rowOff>
    </xdr:from>
    <xdr:to>
      <xdr:col>11</xdr:col>
      <xdr:colOff>605183</xdr:colOff>
      <xdr:row>48</xdr:row>
      <xdr:rowOff>102704</xdr:rowOff>
    </xdr:to>
    <xdr:sp macro="" textlink="">
      <xdr:nvSpPr>
        <xdr:cNvPr id="4" name="Obdĺžnik 3">
          <a:extLst>
            <a:ext uri="{FF2B5EF4-FFF2-40B4-BE49-F238E27FC236}">
              <a16:creationId xmlns:a16="http://schemas.microsoft.com/office/drawing/2014/main" id="{DD7BE52A-12DC-4738-B7A3-969BAAE5F3DA}"/>
            </a:ext>
          </a:extLst>
        </xdr:cNvPr>
        <xdr:cNvSpPr/>
      </xdr:nvSpPr>
      <xdr:spPr>
        <a:xfrm>
          <a:off x="5282096" y="6756399"/>
          <a:ext cx="3075609" cy="3075609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twoCellAnchor>
    <xdr:from>
      <xdr:col>7</xdr:col>
      <xdr:colOff>271220</xdr:colOff>
      <xdr:row>26</xdr:row>
      <xdr:rowOff>10363</xdr:rowOff>
    </xdr:from>
    <xdr:to>
      <xdr:col>8</xdr:col>
      <xdr:colOff>590826</xdr:colOff>
      <xdr:row>31</xdr:row>
      <xdr:rowOff>137763</xdr:rowOff>
    </xdr:to>
    <xdr:cxnSp macro="">
      <xdr:nvCxnSpPr>
        <xdr:cNvPr id="6" name="Rovná spojnica 5">
          <a:extLst>
            <a:ext uri="{FF2B5EF4-FFF2-40B4-BE49-F238E27FC236}">
              <a16:creationId xmlns:a16="http://schemas.microsoft.com/office/drawing/2014/main" id="{DF20C556-491B-DA3D-E160-8F7393DF227C}"/>
            </a:ext>
          </a:extLst>
        </xdr:cNvPr>
        <xdr:cNvCxnSpPr/>
      </xdr:nvCxnSpPr>
      <xdr:spPr>
        <a:xfrm flipH="1">
          <a:off x="5281370" y="5738063"/>
          <a:ext cx="1119706" cy="1048150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606961</xdr:colOff>
      <xdr:row>26</xdr:row>
      <xdr:rowOff>15981</xdr:rowOff>
    </xdr:from>
    <xdr:to>
      <xdr:col>13</xdr:col>
      <xdr:colOff>519792</xdr:colOff>
      <xdr:row>31</xdr:row>
      <xdr:rowOff>136896</xdr:rowOff>
    </xdr:to>
    <xdr:cxnSp macro="">
      <xdr:nvCxnSpPr>
        <xdr:cNvPr id="11" name="Rovná spojnica 10">
          <a:extLst>
            <a:ext uri="{FF2B5EF4-FFF2-40B4-BE49-F238E27FC236}">
              <a16:creationId xmlns:a16="http://schemas.microsoft.com/office/drawing/2014/main" id="{AF773E2C-CF2B-4E26-BBCD-FE5CA003B7B2}"/>
            </a:ext>
          </a:extLst>
        </xdr:cNvPr>
        <xdr:cNvCxnSpPr/>
      </xdr:nvCxnSpPr>
      <xdr:spPr>
        <a:xfrm flipH="1">
          <a:off x="8368805" y="5755721"/>
          <a:ext cx="1133351" cy="1044552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605846</xdr:colOff>
      <xdr:row>42</xdr:row>
      <xdr:rowOff>160240</xdr:rowOff>
    </xdr:from>
    <xdr:to>
      <xdr:col>13</xdr:col>
      <xdr:colOff>518677</xdr:colOff>
      <xdr:row>48</xdr:row>
      <xdr:rowOff>96429</xdr:rowOff>
    </xdr:to>
    <xdr:cxnSp macro="">
      <xdr:nvCxnSpPr>
        <xdr:cNvPr id="17" name="Rovná spojnica 16">
          <a:extLst>
            <a:ext uri="{FF2B5EF4-FFF2-40B4-BE49-F238E27FC236}">
              <a16:creationId xmlns:a16="http://schemas.microsoft.com/office/drawing/2014/main" id="{B254A81F-BC27-E2B2-43C0-C97125BEA36D}"/>
            </a:ext>
          </a:extLst>
        </xdr:cNvPr>
        <xdr:cNvCxnSpPr/>
      </xdr:nvCxnSpPr>
      <xdr:spPr>
        <a:xfrm flipH="1">
          <a:off x="8365367" y="8846325"/>
          <a:ext cx="1132747" cy="1041625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283874</xdr:colOff>
      <xdr:row>42</xdr:row>
      <xdr:rowOff>156663</xdr:rowOff>
    </xdr:from>
    <xdr:to>
      <xdr:col>8</xdr:col>
      <xdr:colOff>617057</xdr:colOff>
      <xdr:row>48</xdr:row>
      <xdr:rowOff>92852</xdr:rowOff>
    </xdr:to>
    <xdr:cxnSp macro="">
      <xdr:nvCxnSpPr>
        <xdr:cNvPr id="18" name="Rovná spojnica 17">
          <a:extLst>
            <a:ext uri="{FF2B5EF4-FFF2-40B4-BE49-F238E27FC236}">
              <a16:creationId xmlns:a16="http://schemas.microsoft.com/office/drawing/2014/main" id="{BB2C6CE5-BB1F-3521-E0D6-0855C8B3E676}"/>
            </a:ext>
          </a:extLst>
        </xdr:cNvPr>
        <xdr:cNvCxnSpPr/>
      </xdr:nvCxnSpPr>
      <xdr:spPr>
        <a:xfrm flipH="1">
          <a:off x="5294113" y="8842748"/>
          <a:ext cx="1132747" cy="1041625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459828</xdr:colOff>
      <xdr:row>50</xdr:row>
      <xdr:rowOff>109483</xdr:rowOff>
    </xdr:from>
    <xdr:to>
      <xdr:col>10</xdr:col>
      <xdr:colOff>543035</xdr:colOff>
      <xdr:row>50</xdr:row>
      <xdr:rowOff>109483</xdr:rowOff>
    </xdr:to>
    <xdr:cxnSp macro="">
      <xdr:nvCxnSpPr>
        <xdr:cNvPr id="20" name="Rovná spojovacia šípka 19">
          <a:extLst>
            <a:ext uri="{FF2B5EF4-FFF2-40B4-BE49-F238E27FC236}">
              <a16:creationId xmlns:a16="http://schemas.microsoft.com/office/drawing/2014/main" id="{0D10A442-5245-A389-17AB-FEFCEAAAB01A}"/>
            </a:ext>
          </a:extLst>
        </xdr:cNvPr>
        <xdr:cNvCxnSpPr/>
      </xdr:nvCxnSpPr>
      <xdr:spPr>
        <a:xfrm>
          <a:off x="6271173" y="10269483"/>
          <a:ext cx="142327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48172</xdr:colOff>
      <xdr:row>49</xdr:row>
      <xdr:rowOff>166414</xdr:rowOff>
    </xdr:from>
    <xdr:to>
      <xdr:col>8</xdr:col>
      <xdr:colOff>315310</xdr:colOff>
      <xdr:row>51</xdr:row>
      <xdr:rowOff>65690</xdr:rowOff>
    </xdr:to>
    <xdr:sp macro="" textlink="">
      <xdr:nvSpPr>
        <xdr:cNvPr id="21" name="Znak mínus 20">
          <a:extLst>
            <a:ext uri="{FF2B5EF4-FFF2-40B4-BE49-F238E27FC236}">
              <a16:creationId xmlns:a16="http://schemas.microsoft.com/office/drawing/2014/main" id="{FD08F816-C7DF-2610-712B-EB0C9E87BA82}"/>
            </a:ext>
          </a:extLst>
        </xdr:cNvPr>
        <xdr:cNvSpPr/>
      </xdr:nvSpPr>
      <xdr:spPr>
        <a:xfrm>
          <a:off x="5859517" y="10142483"/>
          <a:ext cx="267138" cy="267138"/>
        </a:xfrm>
        <a:prstGeom prst="mathMinus">
          <a:avLst/>
        </a:prstGeom>
        <a:solidFill>
          <a:schemeClr val="tx1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twoCellAnchor>
    <xdr:from>
      <xdr:col>11</xdr:col>
      <xdr:colOff>70069</xdr:colOff>
      <xdr:row>49</xdr:row>
      <xdr:rowOff>153276</xdr:rowOff>
    </xdr:from>
    <xdr:to>
      <xdr:col>11</xdr:col>
      <xdr:colOff>376621</xdr:colOff>
      <xdr:row>51</xdr:row>
      <xdr:rowOff>91966</xdr:rowOff>
    </xdr:to>
    <xdr:sp macro="" textlink="">
      <xdr:nvSpPr>
        <xdr:cNvPr id="22" name="Znak plus 21">
          <a:extLst>
            <a:ext uri="{FF2B5EF4-FFF2-40B4-BE49-F238E27FC236}">
              <a16:creationId xmlns:a16="http://schemas.microsoft.com/office/drawing/2014/main" id="{0DF32DA2-4985-401C-95E8-E5AABD9EDFBB}"/>
            </a:ext>
          </a:extLst>
        </xdr:cNvPr>
        <xdr:cNvSpPr/>
      </xdr:nvSpPr>
      <xdr:spPr>
        <a:xfrm>
          <a:off x="7830207" y="10129345"/>
          <a:ext cx="306552" cy="306552"/>
        </a:xfrm>
        <a:prstGeom prst="mathPlus">
          <a:avLst/>
        </a:prstGeom>
        <a:solidFill>
          <a:schemeClr val="tx1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>
            <a:ln>
              <a:solidFill>
                <a:schemeClr val="accent1"/>
              </a:solidFill>
            </a:ln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13</xdr:col>
      <xdr:colOff>441613</xdr:colOff>
      <xdr:row>43</xdr:row>
      <xdr:rowOff>89477</xdr:rowOff>
    </xdr:from>
    <xdr:to>
      <xdr:col>15</xdr:col>
      <xdr:colOff>98136</xdr:colOff>
      <xdr:row>48</xdr:row>
      <xdr:rowOff>127000</xdr:rowOff>
    </xdr:to>
    <xdr:cxnSp macro="">
      <xdr:nvCxnSpPr>
        <xdr:cNvPr id="23" name="Rovná spojovacia šípka 22">
          <a:extLst>
            <a:ext uri="{FF2B5EF4-FFF2-40B4-BE49-F238E27FC236}">
              <a16:creationId xmlns:a16="http://schemas.microsoft.com/office/drawing/2014/main" id="{24530E1D-FAD3-4647-A6D5-5982521ADC04}"/>
            </a:ext>
          </a:extLst>
        </xdr:cNvPr>
        <xdr:cNvCxnSpPr/>
      </xdr:nvCxnSpPr>
      <xdr:spPr>
        <a:xfrm flipV="1">
          <a:off x="9415318" y="8967932"/>
          <a:ext cx="874568" cy="961159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280176</xdr:colOff>
      <xdr:row>48</xdr:row>
      <xdr:rowOff>92164</xdr:rowOff>
    </xdr:from>
    <xdr:to>
      <xdr:col>13</xdr:col>
      <xdr:colOff>547314</xdr:colOff>
      <xdr:row>49</xdr:row>
      <xdr:rowOff>176168</xdr:rowOff>
    </xdr:to>
    <xdr:sp macro="" textlink="">
      <xdr:nvSpPr>
        <xdr:cNvPr id="24" name="Znak mínus 23">
          <a:extLst>
            <a:ext uri="{FF2B5EF4-FFF2-40B4-BE49-F238E27FC236}">
              <a16:creationId xmlns:a16="http://schemas.microsoft.com/office/drawing/2014/main" id="{49BAFA75-EF4E-4CC5-8F85-8DAA8F2AEC8C}"/>
            </a:ext>
          </a:extLst>
        </xdr:cNvPr>
        <xdr:cNvSpPr/>
      </xdr:nvSpPr>
      <xdr:spPr>
        <a:xfrm>
          <a:off x="9253881" y="9894255"/>
          <a:ext cx="267138" cy="268731"/>
        </a:xfrm>
        <a:prstGeom prst="mathMinus">
          <a:avLst/>
        </a:prstGeom>
        <a:solidFill>
          <a:schemeClr val="tx1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twoCellAnchor>
    <xdr:from>
      <xdr:col>15</xdr:col>
      <xdr:colOff>27868</xdr:colOff>
      <xdr:row>41</xdr:row>
      <xdr:rowOff>177163</xdr:rowOff>
    </xdr:from>
    <xdr:to>
      <xdr:col>15</xdr:col>
      <xdr:colOff>334420</xdr:colOff>
      <xdr:row>43</xdr:row>
      <xdr:rowOff>115853</xdr:rowOff>
    </xdr:to>
    <xdr:sp macro="" textlink="">
      <xdr:nvSpPr>
        <xdr:cNvPr id="25" name="Znak plus 24">
          <a:extLst>
            <a:ext uri="{FF2B5EF4-FFF2-40B4-BE49-F238E27FC236}">
              <a16:creationId xmlns:a16="http://schemas.microsoft.com/office/drawing/2014/main" id="{14016106-36D0-4B83-A34B-17FB25BDFF1C}"/>
            </a:ext>
          </a:extLst>
        </xdr:cNvPr>
        <xdr:cNvSpPr/>
      </xdr:nvSpPr>
      <xdr:spPr>
        <a:xfrm>
          <a:off x="10219618" y="8686163"/>
          <a:ext cx="306552" cy="308145"/>
        </a:xfrm>
        <a:prstGeom prst="mathPlus">
          <a:avLst/>
        </a:prstGeom>
        <a:solidFill>
          <a:schemeClr val="tx1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>
            <a:ln>
              <a:solidFill>
                <a:schemeClr val="accent1"/>
              </a:solidFill>
            </a:ln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14</xdr:col>
      <xdr:colOff>155121</xdr:colOff>
      <xdr:row>31</xdr:row>
      <xdr:rowOff>160421</xdr:rowOff>
    </xdr:from>
    <xdr:to>
      <xdr:col>14</xdr:col>
      <xdr:colOff>157080</xdr:colOff>
      <xdr:row>39</xdr:row>
      <xdr:rowOff>92658</xdr:rowOff>
    </xdr:to>
    <xdr:cxnSp macro="">
      <xdr:nvCxnSpPr>
        <xdr:cNvPr id="30" name="Rovná spojovacia šípka 29">
          <a:extLst>
            <a:ext uri="{FF2B5EF4-FFF2-40B4-BE49-F238E27FC236}">
              <a16:creationId xmlns:a16="http://schemas.microsoft.com/office/drawing/2014/main" id="{D3011591-DE4F-43C0-AA9C-D40A06351DA7}"/>
            </a:ext>
          </a:extLst>
        </xdr:cNvPr>
        <xdr:cNvCxnSpPr/>
      </xdr:nvCxnSpPr>
      <xdr:spPr>
        <a:xfrm flipV="1">
          <a:off x="9733595" y="6794500"/>
          <a:ext cx="1959" cy="1409447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30886</xdr:colOff>
      <xdr:row>39</xdr:row>
      <xdr:rowOff>79405</xdr:rowOff>
    </xdr:from>
    <xdr:to>
      <xdr:col>14</xdr:col>
      <xdr:colOff>298024</xdr:colOff>
      <xdr:row>40</xdr:row>
      <xdr:rowOff>162497</xdr:rowOff>
    </xdr:to>
    <xdr:sp macro="" textlink="">
      <xdr:nvSpPr>
        <xdr:cNvPr id="31" name="Znak mínus 30">
          <a:extLst>
            <a:ext uri="{FF2B5EF4-FFF2-40B4-BE49-F238E27FC236}">
              <a16:creationId xmlns:a16="http://schemas.microsoft.com/office/drawing/2014/main" id="{6B4A2E3A-CF65-4A1A-AEE4-FD867FCFD112}"/>
            </a:ext>
          </a:extLst>
        </xdr:cNvPr>
        <xdr:cNvSpPr/>
      </xdr:nvSpPr>
      <xdr:spPr>
        <a:xfrm>
          <a:off x="9609360" y="8190694"/>
          <a:ext cx="267138" cy="266908"/>
        </a:xfrm>
        <a:prstGeom prst="mathMinus">
          <a:avLst/>
        </a:prstGeom>
        <a:solidFill>
          <a:schemeClr val="tx1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twoCellAnchor>
    <xdr:from>
      <xdr:col>14</xdr:col>
      <xdr:colOff>16019</xdr:colOff>
      <xdr:row>29</xdr:row>
      <xdr:rowOff>103029</xdr:rowOff>
    </xdr:from>
    <xdr:to>
      <xdr:col>14</xdr:col>
      <xdr:colOff>322571</xdr:colOff>
      <xdr:row>31</xdr:row>
      <xdr:rowOff>41719</xdr:rowOff>
    </xdr:to>
    <xdr:sp macro="" textlink="">
      <xdr:nvSpPr>
        <xdr:cNvPr id="32" name="Znak plus 31">
          <a:extLst>
            <a:ext uri="{FF2B5EF4-FFF2-40B4-BE49-F238E27FC236}">
              <a16:creationId xmlns:a16="http://schemas.microsoft.com/office/drawing/2014/main" id="{0FC2413B-D12A-45D9-8097-2B0CC1A8B4E5}"/>
            </a:ext>
          </a:extLst>
        </xdr:cNvPr>
        <xdr:cNvSpPr/>
      </xdr:nvSpPr>
      <xdr:spPr>
        <a:xfrm>
          <a:off x="9594493" y="6369476"/>
          <a:ext cx="306552" cy="306322"/>
        </a:xfrm>
        <a:prstGeom prst="mathPlus">
          <a:avLst/>
        </a:prstGeom>
        <a:solidFill>
          <a:schemeClr val="tx1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>
            <a:ln>
              <a:solidFill>
                <a:schemeClr val="accent1"/>
              </a:solidFill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21</xdr:col>
      <xdr:colOff>517072</xdr:colOff>
      <xdr:row>20</xdr:row>
      <xdr:rowOff>122465</xdr:rowOff>
    </xdr:from>
    <xdr:to>
      <xdr:col>37</xdr:col>
      <xdr:colOff>518481</xdr:colOff>
      <xdr:row>45</xdr:row>
      <xdr:rowOff>19705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35B0F340-5249-737A-73BE-AAF1A2FBB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151429" y="4898572"/>
          <a:ext cx="10097909" cy="468695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2</xdr:row>
      <xdr:rowOff>0</xdr:rowOff>
    </xdr:from>
    <xdr:to>
      <xdr:col>6</xdr:col>
      <xdr:colOff>268515</xdr:colOff>
      <xdr:row>9</xdr:row>
      <xdr:rowOff>26621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C6EC516F-068C-84F6-337E-22E00B486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1" y="370114"/>
          <a:ext cx="3316514" cy="132202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323021</xdr:colOff>
      <xdr:row>23</xdr:row>
      <xdr:rowOff>58837</xdr:rowOff>
    </xdr:from>
    <xdr:to>
      <xdr:col>20</xdr:col>
      <xdr:colOff>252949</xdr:colOff>
      <xdr:row>43</xdr:row>
      <xdr:rowOff>16565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C1A5B0D7-79AC-4D63-3C47-03E1D6A4D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19391" y="4506598"/>
          <a:ext cx="6589145" cy="376772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206158</xdr:colOff>
      <xdr:row>25</xdr:row>
      <xdr:rowOff>78442</xdr:rowOff>
    </xdr:from>
    <xdr:to>
      <xdr:col>31</xdr:col>
      <xdr:colOff>434218</xdr:colOff>
      <xdr:row>55</xdr:row>
      <xdr:rowOff>29589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19532791-ECCC-735A-F6F2-2EC233277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18129" y="4896971"/>
          <a:ext cx="9327236" cy="566614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23812</xdr:colOff>
      <xdr:row>24</xdr:row>
      <xdr:rowOff>62307</xdr:rowOff>
    </xdr:from>
    <xdr:to>
      <xdr:col>6</xdr:col>
      <xdr:colOff>125774</xdr:colOff>
      <xdr:row>26</xdr:row>
      <xdr:rowOff>127186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C1AC973F-03FC-26C5-D80A-493E3F12B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000" y="4515245"/>
          <a:ext cx="3231168" cy="430003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254000</xdr:colOff>
      <xdr:row>20</xdr:row>
      <xdr:rowOff>131099</xdr:rowOff>
    </xdr:from>
    <xdr:to>
      <xdr:col>5</xdr:col>
      <xdr:colOff>579092</xdr:colOff>
      <xdr:row>22</xdr:row>
      <xdr:rowOff>77636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C25E1EA3-1E1B-AEF0-0D8E-9A593D8B6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87563" y="3853787"/>
          <a:ext cx="1547467" cy="321432"/>
        </a:xfrm>
        <a:prstGeom prst="rect">
          <a:avLst/>
        </a:prstGeom>
      </xdr:spPr>
    </xdr:pic>
    <xdr:clientData/>
  </xdr:twoCellAnchor>
  <xdr:twoCellAnchor editAs="oneCell">
    <xdr:from>
      <xdr:col>6</xdr:col>
      <xdr:colOff>242093</xdr:colOff>
      <xdr:row>20</xdr:row>
      <xdr:rowOff>133152</xdr:rowOff>
    </xdr:from>
    <xdr:to>
      <xdr:col>8</xdr:col>
      <xdr:colOff>345712</xdr:colOff>
      <xdr:row>22</xdr:row>
      <xdr:rowOff>60176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3B5CB219-93D9-029E-0A45-C7B7E77D2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09218" y="3855840"/>
          <a:ext cx="1325995" cy="301919"/>
        </a:xfrm>
        <a:prstGeom prst="rect">
          <a:avLst/>
        </a:prstGeom>
      </xdr:spPr>
    </xdr:pic>
    <xdr:clientData/>
  </xdr:twoCellAnchor>
  <xdr:twoCellAnchor editAs="oneCell">
    <xdr:from>
      <xdr:col>10</xdr:col>
      <xdr:colOff>593912</xdr:colOff>
      <xdr:row>23</xdr:row>
      <xdr:rowOff>89646</xdr:rowOff>
    </xdr:from>
    <xdr:to>
      <xdr:col>19</xdr:col>
      <xdr:colOff>6877</xdr:colOff>
      <xdr:row>38</xdr:row>
      <xdr:rowOff>156881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4CABB5DA-D636-70EB-EDFB-53E60DF17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01118" y="4605617"/>
          <a:ext cx="5251230" cy="2924735"/>
        </a:xfrm>
        <a:prstGeom prst="rect">
          <a:avLst/>
        </a:prstGeom>
      </xdr:spPr>
    </xdr:pic>
    <xdr:clientData/>
  </xdr:twoCellAnchor>
  <xdr:twoCellAnchor editAs="oneCell">
    <xdr:from>
      <xdr:col>19</xdr:col>
      <xdr:colOff>145676</xdr:colOff>
      <xdr:row>25</xdr:row>
      <xdr:rowOff>15739</xdr:rowOff>
    </xdr:from>
    <xdr:to>
      <xdr:col>30</xdr:col>
      <xdr:colOff>301737</xdr:colOff>
      <xdr:row>46</xdr:row>
      <xdr:rowOff>21006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BC14BFCB-4251-FF09-2192-74C0D974C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091147" y="4912710"/>
          <a:ext cx="6812355" cy="400576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373323</xdr:colOff>
      <xdr:row>25</xdr:row>
      <xdr:rowOff>120951</xdr:rowOff>
    </xdr:from>
    <xdr:to>
      <xdr:col>10</xdr:col>
      <xdr:colOff>316241</xdr:colOff>
      <xdr:row>47</xdr:row>
      <xdr:rowOff>110470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DE826200-2654-9954-69EF-FE950A756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323" y="4765522"/>
          <a:ext cx="6020775" cy="3980948"/>
        </a:xfrm>
        <a:prstGeom prst="rect">
          <a:avLst/>
        </a:prstGeom>
      </xdr:spPr>
    </xdr:pic>
    <xdr:clientData/>
  </xdr:twoCellAnchor>
  <xdr:twoCellAnchor>
    <xdr:from>
      <xdr:col>11</xdr:col>
      <xdr:colOff>106274</xdr:colOff>
      <xdr:row>23</xdr:row>
      <xdr:rowOff>142909</xdr:rowOff>
    </xdr:from>
    <xdr:to>
      <xdr:col>15</xdr:col>
      <xdr:colOff>536121</xdr:colOff>
      <xdr:row>33</xdr:row>
      <xdr:rowOff>161051</xdr:rowOff>
    </xdr:to>
    <xdr:graphicFrame macro="">
      <xdr:nvGraphicFramePr>
        <xdr:cNvPr id="17" name="Graf 16">
          <a:extLst>
            <a:ext uri="{FF2B5EF4-FFF2-40B4-BE49-F238E27FC236}">
              <a16:creationId xmlns:a16="http://schemas.microsoft.com/office/drawing/2014/main" id="{77567253-9A8D-F344-33DF-E04DC86875B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16</xdr:col>
      <xdr:colOff>130698</xdr:colOff>
      <xdr:row>23</xdr:row>
      <xdr:rowOff>138024</xdr:rowOff>
    </xdr:from>
    <xdr:to>
      <xdr:col>22</xdr:col>
      <xdr:colOff>130698</xdr:colOff>
      <xdr:row>33</xdr:row>
      <xdr:rowOff>151282</xdr:rowOff>
    </xdr:to>
    <xdr:graphicFrame macro="">
      <xdr:nvGraphicFramePr>
        <xdr:cNvPr id="18" name="Graf 17">
          <a:extLst>
            <a:ext uri="{FF2B5EF4-FFF2-40B4-BE49-F238E27FC236}">
              <a16:creationId xmlns:a16="http://schemas.microsoft.com/office/drawing/2014/main" id="{6C876D88-BCCA-B089-B950-A0159D7F804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11</xdr:col>
      <xdr:colOff>118138</xdr:colOff>
      <xdr:row>34</xdr:row>
      <xdr:rowOff>51496</xdr:rowOff>
    </xdr:from>
    <xdr:to>
      <xdr:col>15</xdr:col>
      <xdr:colOff>535425</xdr:colOff>
      <xdr:row>44</xdr:row>
      <xdr:rowOff>77245</xdr:rowOff>
    </xdr:to>
    <xdr:graphicFrame macro="">
      <xdr:nvGraphicFramePr>
        <xdr:cNvPr id="19" name="Graf 18">
          <a:extLst>
            <a:ext uri="{FF2B5EF4-FFF2-40B4-BE49-F238E27FC236}">
              <a16:creationId xmlns:a16="http://schemas.microsoft.com/office/drawing/2014/main" id="{F8196F47-35D6-04CD-7DAF-B3AD995400E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16</xdr:col>
      <xdr:colOff>80456</xdr:colOff>
      <xdr:row>34</xdr:row>
      <xdr:rowOff>4047</xdr:rowOff>
    </xdr:from>
    <xdr:to>
      <xdr:col>22</xdr:col>
      <xdr:colOff>80457</xdr:colOff>
      <xdr:row>44</xdr:row>
      <xdr:rowOff>43055</xdr:rowOff>
    </xdr:to>
    <xdr:graphicFrame macro="">
      <xdr:nvGraphicFramePr>
        <xdr:cNvPr id="20" name="Graf 19">
          <a:extLst>
            <a:ext uri="{FF2B5EF4-FFF2-40B4-BE49-F238E27FC236}">
              <a16:creationId xmlns:a16="http://schemas.microsoft.com/office/drawing/2014/main" id="{C0FB391B-C309-E64A-053F-CE99AA185D1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1</xdr:col>
      <xdr:colOff>0</xdr:colOff>
      <xdr:row>58</xdr:row>
      <xdr:rowOff>96345</xdr:rowOff>
    </xdr:from>
    <xdr:to>
      <xdr:col>7</xdr:col>
      <xdr:colOff>5443</xdr:colOff>
      <xdr:row>71</xdr:row>
      <xdr:rowOff>143766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63A1F96F-A10D-A5A4-8DE6-ADA7B39DD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724" y="10869448"/>
          <a:ext cx="3657788" cy="2438525"/>
        </a:xfrm>
        <a:prstGeom prst="rect">
          <a:avLst/>
        </a:prstGeom>
      </xdr:spPr>
    </xdr:pic>
    <xdr:clientData/>
  </xdr:twoCellAnchor>
  <xdr:twoCellAnchor editAs="oneCell">
    <xdr:from>
      <xdr:col>9</xdr:col>
      <xdr:colOff>372241</xdr:colOff>
      <xdr:row>58</xdr:row>
      <xdr:rowOff>127002</xdr:rowOff>
    </xdr:from>
    <xdr:to>
      <xdr:col>13</xdr:col>
      <xdr:colOff>776201</xdr:colOff>
      <xdr:row>71</xdr:row>
      <xdr:rowOff>174423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80DF9222-FDED-401B-9CCD-2770D746A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0758" y="10900105"/>
          <a:ext cx="3657788" cy="24385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209550</xdr:colOff>
      <xdr:row>25</xdr:row>
      <xdr:rowOff>152173</xdr:rowOff>
    </xdr:from>
    <xdr:to>
      <xdr:col>15</xdr:col>
      <xdr:colOff>210782</xdr:colOff>
      <xdr:row>49</xdr:row>
      <xdr:rowOff>58280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E024F728-A7C7-9B59-F9BA-C6406E147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76775" y="5019448"/>
          <a:ext cx="4878032" cy="447810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562841</xdr:colOff>
      <xdr:row>34</xdr:row>
      <xdr:rowOff>164478</xdr:rowOff>
    </xdr:from>
    <xdr:to>
      <xdr:col>20</xdr:col>
      <xdr:colOff>267386</xdr:colOff>
      <xdr:row>53</xdr:row>
      <xdr:rowOff>99783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C5E04BF6-9519-DF54-61C9-C4C97C413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51273" y="6710751"/>
          <a:ext cx="5159772" cy="355480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228599</xdr:colOff>
      <xdr:row>26</xdr:row>
      <xdr:rowOff>113605</xdr:rowOff>
    </xdr:from>
    <xdr:to>
      <xdr:col>20</xdr:col>
      <xdr:colOff>172836</xdr:colOff>
      <xdr:row>49</xdr:row>
      <xdr:rowOff>58142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41A9FFB4-BCF3-D72A-C855-74894F17F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24599" y="5142805"/>
          <a:ext cx="6040237" cy="432603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603251</xdr:colOff>
      <xdr:row>25</xdr:row>
      <xdr:rowOff>53445</xdr:rowOff>
    </xdr:from>
    <xdr:to>
      <xdr:col>24</xdr:col>
      <xdr:colOff>298452</xdr:colOff>
      <xdr:row>39</xdr:row>
      <xdr:rowOff>130703</xdr:rowOff>
    </xdr:to>
    <xdr:graphicFrame macro="">
      <xdr:nvGraphicFramePr>
        <xdr:cNvPr id="2" name="Graf 1">
          <a:extLst>
            <a:ext uri="{FF2B5EF4-FFF2-40B4-BE49-F238E27FC236}">
              <a16:creationId xmlns:a16="http://schemas.microsoft.com/office/drawing/2014/main" id="{0A493761-1EDD-87E9-8A3A-C0FD1F1A578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8</xdr:col>
      <xdr:colOff>433917</xdr:colOff>
      <xdr:row>25</xdr:row>
      <xdr:rowOff>51857</xdr:rowOff>
    </xdr:from>
    <xdr:to>
      <xdr:col>15</xdr:col>
      <xdr:colOff>539751</xdr:colOff>
      <xdr:row>39</xdr:row>
      <xdr:rowOff>128057</xdr:rowOff>
    </xdr:to>
    <xdr:graphicFrame macro="">
      <xdr:nvGraphicFramePr>
        <xdr:cNvPr id="8" name="Graf 7">
          <a:extLst>
            <a:ext uri="{FF2B5EF4-FFF2-40B4-BE49-F238E27FC236}">
              <a16:creationId xmlns:a16="http://schemas.microsoft.com/office/drawing/2014/main" id="{8F19A853-72F1-3F56-574F-101D5466B77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137584</xdr:colOff>
      <xdr:row>25</xdr:row>
      <xdr:rowOff>73025</xdr:rowOff>
    </xdr:from>
    <xdr:to>
      <xdr:col>7</xdr:col>
      <xdr:colOff>412751</xdr:colOff>
      <xdr:row>39</xdr:row>
      <xdr:rowOff>149225</xdr:rowOff>
    </xdr:to>
    <xdr:graphicFrame macro="">
      <xdr:nvGraphicFramePr>
        <xdr:cNvPr id="9" name="Graf 8">
          <a:extLst>
            <a:ext uri="{FF2B5EF4-FFF2-40B4-BE49-F238E27FC236}">
              <a16:creationId xmlns:a16="http://schemas.microsoft.com/office/drawing/2014/main" id="{ADA56555-FAD2-2F5D-793B-3F15FA4AF6A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725354</xdr:colOff>
      <xdr:row>1</xdr:row>
      <xdr:rowOff>173119</xdr:rowOff>
    </xdr:from>
    <xdr:to>
      <xdr:col>22</xdr:col>
      <xdr:colOff>120455</xdr:colOff>
      <xdr:row>16</xdr:row>
      <xdr:rowOff>97476</xdr:rowOff>
    </xdr:to>
    <xdr:graphicFrame macro="">
      <xdr:nvGraphicFramePr>
        <xdr:cNvPr id="3" name="Graf 2">
          <a:extLst>
            <a:ext uri="{FF2B5EF4-FFF2-40B4-BE49-F238E27FC236}">
              <a16:creationId xmlns:a16="http://schemas.microsoft.com/office/drawing/2014/main" id="{0BBCB05D-49A3-7627-0AE9-974D7BA4959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22</xdr:col>
      <xdr:colOff>490166</xdr:colOff>
      <xdr:row>1</xdr:row>
      <xdr:rowOff>166997</xdr:rowOff>
    </xdr:from>
    <xdr:to>
      <xdr:col>30</xdr:col>
      <xdr:colOff>182150</xdr:colOff>
      <xdr:row>16</xdr:row>
      <xdr:rowOff>91354</xdr:rowOff>
    </xdr:to>
    <xdr:graphicFrame macro="">
      <xdr:nvGraphicFramePr>
        <xdr:cNvPr id="5" name="Graf 4">
          <a:extLst>
            <a:ext uri="{FF2B5EF4-FFF2-40B4-BE49-F238E27FC236}">
              <a16:creationId xmlns:a16="http://schemas.microsoft.com/office/drawing/2014/main" id="{56787931-F894-45F2-9E66-B5F836FB3A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861700</xdr:colOff>
      <xdr:row>21</xdr:row>
      <xdr:rowOff>16841</xdr:rowOff>
    </xdr:from>
    <xdr:to>
      <xdr:col>22</xdr:col>
      <xdr:colOff>260190</xdr:colOff>
      <xdr:row>35</xdr:row>
      <xdr:rowOff>149287</xdr:rowOff>
    </xdr:to>
    <xdr:graphicFrame macro="">
      <xdr:nvGraphicFramePr>
        <xdr:cNvPr id="6" name="Graf 5">
          <a:extLst>
            <a:ext uri="{FF2B5EF4-FFF2-40B4-BE49-F238E27FC236}">
              <a16:creationId xmlns:a16="http://schemas.microsoft.com/office/drawing/2014/main" id="{22AE43A2-F2B3-567C-09FB-6BB9A78318D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22</xdr:col>
      <xdr:colOff>465998</xdr:colOff>
      <xdr:row>20</xdr:row>
      <xdr:rowOff>189428</xdr:rowOff>
    </xdr:from>
    <xdr:to>
      <xdr:col>30</xdr:col>
      <xdr:colOff>139425</xdr:colOff>
      <xdr:row>35</xdr:row>
      <xdr:rowOff>126155</xdr:rowOff>
    </xdr:to>
    <xdr:graphicFrame macro="">
      <xdr:nvGraphicFramePr>
        <xdr:cNvPr id="7" name="Graf 6">
          <a:extLst>
            <a:ext uri="{FF2B5EF4-FFF2-40B4-BE49-F238E27FC236}">
              <a16:creationId xmlns:a16="http://schemas.microsoft.com/office/drawing/2014/main" id="{7FABF193-69FC-4F7E-B1A5-B90634FBF88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15</xdr:col>
      <xdr:colOff>55989</xdr:colOff>
      <xdr:row>38</xdr:row>
      <xdr:rowOff>37229</xdr:rowOff>
    </xdr:from>
    <xdr:to>
      <xdr:col>22</xdr:col>
      <xdr:colOff>343603</xdr:colOff>
      <xdr:row>52</xdr:row>
      <xdr:rowOff>169675</xdr:rowOff>
    </xdr:to>
    <xdr:graphicFrame macro="">
      <xdr:nvGraphicFramePr>
        <xdr:cNvPr id="8" name="Graf 7">
          <a:extLst>
            <a:ext uri="{FF2B5EF4-FFF2-40B4-BE49-F238E27FC236}">
              <a16:creationId xmlns:a16="http://schemas.microsoft.com/office/drawing/2014/main" id="{06B3FA1B-8C72-C36A-FECF-C9C082E8688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23</xdr:col>
      <xdr:colOff>21202</xdr:colOff>
      <xdr:row>38</xdr:row>
      <xdr:rowOff>22601</xdr:rowOff>
    </xdr:from>
    <xdr:to>
      <xdr:col>30</xdr:col>
      <xdr:colOff>307884</xdr:colOff>
      <xdr:row>52</xdr:row>
      <xdr:rowOff>155047</xdr:rowOff>
    </xdr:to>
    <xdr:graphicFrame macro="">
      <xdr:nvGraphicFramePr>
        <xdr:cNvPr id="9" name="Graf 8">
          <a:extLst>
            <a:ext uri="{FF2B5EF4-FFF2-40B4-BE49-F238E27FC236}">
              <a16:creationId xmlns:a16="http://schemas.microsoft.com/office/drawing/2014/main" id="{E6E0064A-4470-4E48-8F5C-0E18EEC042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41442</xdr:colOff>
      <xdr:row>25</xdr:row>
      <xdr:rowOff>6016</xdr:rowOff>
    </xdr:from>
    <xdr:to>
      <xdr:col>8</xdr:col>
      <xdr:colOff>143376</xdr:colOff>
      <xdr:row>39</xdr:row>
      <xdr:rowOff>58821</xdr:rowOff>
    </xdr:to>
    <xdr:graphicFrame macro="">
      <xdr:nvGraphicFramePr>
        <xdr:cNvPr id="2" name="Graf 1">
          <a:extLst>
            <a:ext uri="{FF2B5EF4-FFF2-40B4-BE49-F238E27FC236}">
              <a16:creationId xmlns:a16="http://schemas.microsoft.com/office/drawing/2014/main" id="{52058993-100C-B2C6-4784-99BCBB8953A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8</xdr:col>
      <xdr:colOff>535238</xdr:colOff>
      <xdr:row>24</xdr:row>
      <xdr:rowOff>179805</xdr:rowOff>
    </xdr:from>
    <xdr:to>
      <xdr:col>15</xdr:col>
      <xdr:colOff>361783</xdr:colOff>
      <xdr:row>39</xdr:row>
      <xdr:rowOff>42110</xdr:rowOff>
    </xdr:to>
    <mc:AlternateContent xmlns:mc="http://schemas.openxmlformats.org/markup-compatibility/2006">
      <mc:Choice xmlns:cx1="http://schemas.microsoft.com/office/drawing/2015/9/8/chartex" xmlns="" Requires="cx1">
        <xdr:graphicFrame macro="">
          <xdr:nvGraphicFramePr>
            <xdr:cNvPr id="3" name="Graf 2">
              <a:extLst>
                <a:ext uri="{FF2B5EF4-FFF2-40B4-BE49-F238E27FC236}">
                  <a16:creationId xmlns:a16="http://schemas.microsoft.com/office/drawing/2014/main" id="{22CD5A37-A691-B300-518A-CE224FEA0BA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3" name="Obdĺžnik 2"/>
            <xdr:cNvSpPr>
              <a:spLocks noTextEdit="1"/>
            </xdr:cNvSpPr>
          </xdr:nvSpPr>
          <xdr:spPr>
            <a:xfrm>
              <a:off x="5783513" y="4770855"/>
              <a:ext cx="4569995" cy="271980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graf nie je k dispozícii vo vašej verzii programu Excel.
Ak tento tvar upravíte alebo ak zošit uložíte v inom formáte súboru, graf sa natrvalo poškodí.</a:t>
              </a:r>
            </a:p>
          </xdr:txBody>
        </xdr:sp>
      </mc:Fallback>
    </mc:AlternateContent>
    <xdr:clientData/>
  </xdr:twoCellAnchor>
  <xdr:twoCellAnchor editAs="oneCell">
    <xdr:from>
      <xdr:col>20</xdr:col>
      <xdr:colOff>459441</xdr:colOff>
      <xdr:row>38</xdr:row>
      <xdr:rowOff>91146</xdr:rowOff>
    </xdr:from>
    <xdr:to>
      <xdr:col>29</xdr:col>
      <xdr:colOff>259616</xdr:colOff>
      <xdr:row>60</xdr:row>
      <xdr:rowOff>6652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32BC354B-08B4-8CC0-73FD-AC51C4BC6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84088" y="7352558"/>
          <a:ext cx="5246234" cy="4173741"/>
        </a:xfrm>
        <a:prstGeom prst="rect">
          <a:avLst/>
        </a:prstGeom>
      </xdr:spPr>
    </xdr:pic>
    <xdr:clientData/>
  </xdr:twoCellAnchor>
  <xdr:twoCellAnchor editAs="oneCell">
    <xdr:from>
      <xdr:col>10</xdr:col>
      <xdr:colOff>358588</xdr:colOff>
      <xdr:row>60</xdr:row>
      <xdr:rowOff>99156</xdr:rowOff>
    </xdr:from>
    <xdr:to>
      <xdr:col>18</xdr:col>
      <xdr:colOff>286568</xdr:colOff>
      <xdr:row>81</xdr:row>
      <xdr:rowOff>41293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C06A47A6-CA75-5FB4-E7C1-3A7256B8C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90764" y="11618803"/>
          <a:ext cx="5710216" cy="3942637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390525</xdr:colOff>
      <xdr:row>1</xdr:row>
      <xdr:rowOff>180975</xdr:rowOff>
    </xdr:from>
    <xdr:to>
      <xdr:col>24</xdr:col>
      <xdr:colOff>351744</xdr:colOff>
      <xdr:row>32</xdr:row>
      <xdr:rowOff>189786</xdr:rowOff>
    </xdr:to>
    <xdr:pic>
      <xdr:nvPicPr>
        <xdr:cNvPr id="2" name="Obrázok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63325" y="371475"/>
          <a:ext cx="5447619" cy="5714286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16566</xdr:rowOff>
    </xdr:from>
    <xdr:to>
      <xdr:col>6</xdr:col>
      <xdr:colOff>174293</xdr:colOff>
      <xdr:row>18</xdr:row>
      <xdr:rowOff>155177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331F93C2-DC09-50DA-F86E-85E896E5E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778566"/>
          <a:ext cx="3851771" cy="2805611"/>
        </a:xfrm>
        <a:prstGeom prst="rect">
          <a:avLst/>
        </a:prstGeom>
      </xdr:spPr>
    </xdr:pic>
    <xdr:clientData/>
  </xdr:twoCellAnchor>
  <xdr:twoCellAnchor editAs="oneCell">
    <xdr:from>
      <xdr:col>6</xdr:col>
      <xdr:colOff>422414</xdr:colOff>
      <xdr:row>3</xdr:row>
      <xdr:rowOff>139511</xdr:rowOff>
    </xdr:from>
    <xdr:to>
      <xdr:col>12</xdr:col>
      <xdr:colOff>197833</xdr:colOff>
      <xdr:row>19</xdr:row>
      <xdr:rowOff>2249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3003CC7C-3BBF-CBE9-BF49-BFD22BC46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99892" y="711011"/>
          <a:ext cx="3452898" cy="2901213"/>
        </a:xfrm>
        <a:prstGeom prst="rect">
          <a:avLst/>
        </a:prstGeom>
      </xdr:spPr>
    </xdr:pic>
    <xdr:clientData/>
  </xdr:twoCellAnchor>
  <xdr:twoCellAnchor editAs="oneCell">
    <xdr:from>
      <xdr:col>9</xdr:col>
      <xdr:colOff>546652</xdr:colOff>
      <xdr:row>19</xdr:row>
      <xdr:rowOff>33131</xdr:rowOff>
    </xdr:from>
    <xdr:to>
      <xdr:col>16</xdr:col>
      <xdr:colOff>390687</xdr:colOff>
      <xdr:row>47</xdr:row>
      <xdr:rowOff>117548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230A9ED5-F424-18DD-8846-E68783876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62869" y="3652631"/>
          <a:ext cx="4134427" cy="5468113"/>
        </a:xfrm>
        <a:prstGeom prst="rect">
          <a:avLst/>
        </a:prstGeom>
      </xdr:spPr>
    </xdr:pic>
    <xdr:clientData/>
  </xdr:twoCellAnchor>
  <xdr:twoCellAnchor editAs="oneCell">
    <xdr:from>
      <xdr:col>6</xdr:col>
      <xdr:colOff>265043</xdr:colOff>
      <xdr:row>19</xdr:row>
      <xdr:rowOff>49696</xdr:rowOff>
    </xdr:from>
    <xdr:to>
      <xdr:col>9</xdr:col>
      <xdr:colOff>522096</xdr:colOff>
      <xdr:row>23</xdr:row>
      <xdr:rowOff>108204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2AA30F6C-C87C-2B23-8691-C0D0E046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42521" y="3669196"/>
          <a:ext cx="2095792" cy="828791"/>
        </a:xfrm>
        <a:prstGeom prst="rect">
          <a:avLst/>
        </a:prstGeom>
      </xdr:spPr>
    </xdr:pic>
    <xdr:clientData/>
  </xdr:twoCellAnchor>
  <xdr:twoCellAnchor editAs="oneCell">
    <xdr:from>
      <xdr:col>8</xdr:col>
      <xdr:colOff>348222</xdr:colOff>
      <xdr:row>61</xdr:row>
      <xdr:rowOff>154079</xdr:rowOff>
    </xdr:from>
    <xdr:to>
      <xdr:col>19</xdr:col>
      <xdr:colOff>259695</xdr:colOff>
      <xdr:row>84</xdr:row>
      <xdr:rowOff>154079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F59B6F97-3535-0803-AABB-046B78D6E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225022" y="11831729"/>
          <a:ext cx="6617073" cy="4381500"/>
        </a:xfrm>
        <a:prstGeom prst="rect">
          <a:avLst/>
        </a:prstGeom>
      </xdr:spPr>
    </xdr:pic>
    <xdr:clientData/>
  </xdr:twoCellAnchor>
  <xdr:twoCellAnchor editAs="oneCell">
    <xdr:from>
      <xdr:col>17</xdr:col>
      <xdr:colOff>176492</xdr:colOff>
      <xdr:row>98</xdr:row>
      <xdr:rowOff>182095</xdr:rowOff>
    </xdr:from>
    <xdr:to>
      <xdr:col>28</xdr:col>
      <xdr:colOff>101973</xdr:colOff>
      <xdr:row>122</xdr:row>
      <xdr:rowOff>1120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533D1131-67C0-627C-5890-F8EA4D24F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037117" y="9897595"/>
          <a:ext cx="6735856" cy="4381500"/>
        </a:xfrm>
        <a:prstGeom prst="rect">
          <a:avLst/>
        </a:prstGeom>
      </xdr:spPr>
    </xdr:pic>
    <xdr:clientData/>
  </xdr:twoCellAnchor>
  <xdr:twoCellAnchor editAs="oneCell">
    <xdr:from>
      <xdr:col>17</xdr:col>
      <xdr:colOff>142876</xdr:colOff>
      <xdr:row>122</xdr:row>
      <xdr:rowOff>72839</xdr:rowOff>
    </xdr:from>
    <xdr:to>
      <xdr:col>28</xdr:col>
      <xdr:colOff>54350</xdr:colOff>
      <xdr:row>145</xdr:row>
      <xdr:rowOff>50427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02A5D7B0-D64C-0052-95B4-32261DACC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003501" y="14360339"/>
          <a:ext cx="6721849" cy="4359088"/>
        </a:xfrm>
        <a:prstGeom prst="rect">
          <a:avLst/>
        </a:prstGeom>
      </xdr:spPr>
    </xdr:pic>
    <xdr:clientData/>
  </xdr:twoCellAnchor>
  <xdr:twoCellAnchor editAs="oneCell">
    <xdr:from>
      <xdr:col>4</xdr:col>
      <xdr:colOff>129710</xdr:colOff>
      <xdr:row>145</xdr:row>
      <xdr:rowOff>166967</xdr:rowOff>
    </xdr:from>
    <xdr:to>
      <xdr:col>10</xdr:col>
      <xdr:colOff>523596</xdr:colOff>
      <xdr:row>158</xdr:row>
      <xdr:rowOff>97268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94347D51-5358-F435-3830-5D371A5EF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68110" y="27846617"/>
          <a:ext cx="4051486" cy="2425851"/>
        </a:xfrm>
        <a:prstGeom prst="rect">
          <a:avLst/>
        </a:prstGeom>
      </xdr:spPr>
    </xdr:pic>
    <xdr:clientData/>
  </xdr:twoCellAnchor>
  <xdr:twoCellAnchor editAs="oneCell">
    <xdr:from>
      <xdr:col>5</xdr:col>
      <xdr:colOff>165286</xdr:colOff>
      <xdr:row>160</xdr:row>
      <xdr:rowOff>51546</xdr:rowOff>
    </xdr:from>
    <xdr:to>
      <xdr:col>12</xdr:col>
      <xdr:colOff>244890</xdr:colOff>
      <xdr:row>169</xdr:row>
      <xdr:rowOff>162742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81CC2134-EC11-F424-BA46-552DD79AA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213286" y="30607746"/>
          <a:ext cx="4346804" cy="184474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82</xdr:row>
      <xdr:rowOff>1588</xdr:rowOff>
    </xdr:from>
    <xdr:to>
      <xdr:col>7</xdr:col>
      <xdr:colOff>300320</xdr:colOff>
      <xdr:row>96</xdr:row>
      <xdr:rowOff>78846</xdr:rowOff>
    </xdr:to>
    <xdr:graphicFrame macro="">
      <xdr:nvGraphicFramePr>
        <xdr:cNvPr id="14" name="Graf 13">
          <a:extLst>
            <a:ext uri="{FF2B5EF4-FFF2-40B4-BE49-F238E27FC236}">
              <a16:creationId xmlns:a16="http://schemas.microsoft.com/office/drawing/2014/main" id="{22CB1EBC-B405-4B4F-9D31-B19D63A9659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67</xdr:row>
      <xdr:rowOff>85445</xdr:rowOff>
    </xdr:from>
    <xdr:to>
      <xdr:col>7</xdr:col>
      <xdr:colOff>285129</xdr:colOff>
      <xdr:row>81</xdr:row>
      <xdr:rowOff>161645</xdr:rowOff>
    </xdr:to>
    <xdr:graphicFrame macro="">
      <xdr:nvGraphicFramePr>
        <xdr:cNvPr id="15" name="Graf 14">
          <a:extLst>
            <a:ext uri="{FF2B5EF4-FFF2-40B4-BE49-F238E27FC236}">
              <a16:creationId xmlns:a16="http://schemas.microsoft.com/office/drawing/2014/main" id="{71F5A3AA-C0C2-4151-9ABC-138837F688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0</xdr:col>
      <xdr:colOff>0</xdr:colOff>
      <xdr:row>53</xdr:row>
      <xdr:rowOff>25370</xdr:rowOff>
    </xdr:from>
    <xdr:to>
      <xdr:col>7</xdr:col>
      <xdr:colOff>275167</xdr:colOff>
      <xdr:row>67</xdr:row>
      <xdr:rowOff>101570</xdr:rowOff>
    </xdr:to>
    <xdr:graphicFrame macro="">
      <xdr:nvGraphicFramePr>
        <xdr:cNvPr id="16" name="Graf 15">
          <a:extLst>
            <a:ext uri="{FF2B5EF4-FFF2-40B4-BE49-F238E27FC236}">
              <a16:creationId xmlns:a16="http://schemas.microsoft.com/office/drawing/2014/main" id="{74B32732-E672-45F8-A9B5-59F56D707C2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</xdr:col>
      <xdr:colOff>18208</xdr:colOff>
      <xdr:row>100</xdr:row>
      <xdr:rowOff>25734</xdr:rowOff>
    </xdr:from>
    <xdr:to>
      <xdr:col>8</xdr:col>
      <xdr:colOff>377326</xdr:colOff>
      <xdr:row>114</xdr:row>
      <xdr:rowOff>151174</xdr:rowOff>
    </xdr:to>
    <xdr:graphicFrame macro="">
      <xdr:nvGraphicFramePr>
        <xdr:cNvPr id="17" name="Graf 16">
          <a:extLst>
            <a:ext uri="{FF2B5EF4-FFF2-40B4-BE49-F238E27FC236}">
              <a16:creationId xmlns:a16="http://schemas.microsoft.com/office/drawing/2014/main" id="{AA0B1969-A38A-4EE6-B0D4-8ABC826331E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8</xdr:col>
      <xdr:colOff>377243</xdr:colOff>
      <xdr:row>100</xdr:row>
      <xdr:rowOff>42024</xdr:rowOff>
    </xdr:from>
    <xdr:to>
      <xdr:col>16</xdr:col>
      <xdr:colOff>124945</xdr:colOff>
      <xdr:row>114</xdr:row>
      <xdr:rowOff>167464</xdr:rowOff>
    </xdr:to>
    <xdr:graphicFrame macro="">
      <xdr:nvGraphicFramePr>
        <xdr:cNvPr id="18" name="Graf 17">
          <a:extLst>
            <a:ext uri="{FF2B5EF4-FFF2-40B4-BE49-F238E27FC236}">
              <a16:creationId xmlns:a16="http://schemas.microsoft.com/office/drawing/2014/main" id="{9933079C-7C32-471C-B320-A0C5EA16166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</xdr:col>
      <xdr:colOff>20083</xdr:colOff>
      <xdr:row>114</xdr:row>
      <xdr:rowOff>148359</xdr:rowOff>
    </xdr:from>
    <xdr:to>
      <xdr:col>8</xdr:col>
      <xdr:colOff>382590</xdr:colOff>
      <xdr:row>129</xdr:row>
      <xdr:rowOff>90305</xdr:rowOff>
    </xdr:to>
    <xdr:graphicFrame macro="">
      <xdr:nvGraphicFramePr>
        <xdr:cNvPr id="19" name="Graf 18">
          <a:extLst>
            <a:ext uri="{FF2B5EF4-FFF2-40B4-BE49-F238E27FC236}">
              <a16:creationId xmlns:a16="http://schemas.microsoft.com/office/drawing/2014/main" id="{381659B2-E76C-4599-AB63-2AB92190A63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8</xdr:col>
      <xdr:colOff>375487</xdr:colOff>
      <xdr:row>114</xdr:row>
      <xdr:rowOff>152857</xdr:rowOff>
    </xdr:from>
    <xdr:to>
      <xdr:col>16</xdr:col>
      <xdr:colOff>104632</xdr:colOff>
      <xdr:row>129</xdr:row>
      <xdr:rowOff>89584</xdr:rowOff>
    </xdr:to>
    <xdr:graphicFrame macro="">
      <xdr:nvGraphicFramePr>
        <xdr:cNvPr id="20" name="Graf 19">
          <a:extLst>
            <a:ext uri="{FF2B5EF4-FFF2-40B4-BE49-F238E27FC236}">
              <a16:creationId xmlns:a16="http://schemas.microsoft.com/office/drawing/2014/main" id="{D111B714-8A45-4297-AB9E-7782EE72CA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</xdr:col>
      <xdr:colOff>24931</xdr:colOff>
      <xdr:row>129</xdr:row>
      <xdr:rowOff>34275</xdr:rowOff>
    </xdr:from>
    <xdr:to>
      <xdr:col>8</xdr:col>
      <xdr:colOff>387562</xdr:colOff>
      <xdr:row>143</xdr:row>
      <xdr:rowOff>144309</xdr:rowOff>
    </xdr:to>
    <xdr:graphicFrame macro="">
      <xdr:nvGraphicFramePr>
        <xdr:cNvPr id="21" name="Graf 20">
          <a:extLst>
            <a:ext uri="{FF2B5EF4-FFF2-40B4-BE49-F238E27FC236}">
              <a16:creationId xmlns:a16="http://schemas.microsoft.com/office/drawing/2014/main" id="{E0B0FCD8-2789-4056-99B7-BC78ED706E2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8</xdr:col>
      <xdr:colOff>387642</xdr:colOff>
      <xdr:row>129</xdr:row>
      <xdr:rowOff>19648</xdr:rowOff>
    </xdr:from>
    <xdr:to>
      <xdr:col>16</xdr:col>
      <xdr:colOff>116209</xdr:colOff>
      <xdr:row>143</xdr:row>
      <xdr:rowOff>129682</xdr:rowOff>
    </xdr:to>
    <xdr:graphicFrame macro="">
      <xdr:nvGraphicFramePr>
        <xdr:cNvPr id="22" name="Graf 21">
          <a:extLst>
            <a:ext uri="{FF2B5EF4-FFF2-40B4-BE49-F238E27FC236}">
              <a16:creationId xmlns:a16="http://schemas.microsoft.com/office/drawing/2014/main" id="{BA0FB9D4-1553-4625-B417-87AC25C84D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Motív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C50"/>
  <sheetViews>
    <sheetView tabSelected="1" zoomScale="70" zoomScaleNormal="70" workbookViewId="0">
      <selection activeCell="T38" sqref="T38"/>
    </sheetView>
  </sheetViews>
  <sheetFormatPr defaultRowHeight="14.25"/>
  <cols>
    <col min="2" max="2" width="8.75" customWidth="1"/>
    <col min="4" max="4" width="11.875" customWidth="1"/>
    <col min="5" max="5" width="11.25" customWidth="1"/>
    <col min="6" max="6" width="11.75" customWidth="1"/>
    <col min="7" max="7" width="10.625" customWidth="1"/>
    <col min="8" max="8" width="11.375" customWidth="1"/>
    <col min="9" max="9" width="10.375" customWidth="1"/>
    <col min="23" max="26" width="9.25" bestFit="1" customWidth="1"/>
    <col min="27" max="28" width="10" bestFit="1" customWidth="1"/>
    <col min="29" max="29" width="11.125" bestFit="1" customWidth="1"/>
  </cols>
  <sheetData>
    <row r="1" spans="2:29" ht="15" thickBot="1"/>
    <row r="2" spans="2:29" ht="23.25">
      <c r="B2" s="115" t="s">
        <v>0</v>
      </c>
      <c r="C2" s="116"/>
      <c r="D2" s="116"/>
      <c r="E2" s="116"/>
      <c r="F2" s="116"/>
      <c r="G2" s="116"/>
      <c r="H2" s="116"/>
      <c r="I2" s="116"/>
      <c r="J2" s="116"/>
      <c r="K2" s="116"/>
      <c r="L2" s="116"/>
      <c r="M2" s="116"/>
      <c r="N2" s="116"/>
      <c r="O2" s="116"/>
      <c r="P2" s="116"/>
      <c r="Q2" s="116"/>
      <c r="R2" s="116"/>
      <c r="S2" s="116"/>
      <c r="T2" s="116"/>
      <c r="U2" s="116"/>
      <c r="V2" s="117"/>
    </row>
    <row r="3" spans="2:29" ht="23.25">
      <c r="B3" s="109" t="s">
        <v>1</v>
      </c>
      <c r="C3" s="110"/>
      <c r="D3" s="110"/>
      <c r="E3" s="110"/>
      <c r="F3" s="110"/>
      <c r="G3" s="110"/>
      <c r="H3" s="110"/>
      <c r="I3" s="110"/>
      <c r="J3" s="110"/>
      <c r="K3" s="110"/>
      <c r="L3" s="110"/>
      <c r="M3" s="110"/>
      <c r="N3" s="110"/>
      <c r="O3" s="110"/>
      <c r="P3" s="110"/>
      <c r="Q3" s="110"/>
      <c r="R3" s="110"/>
      <c r="S3" s="110"/>
      <c r="T3" s="110"/>
      <c r="U3" s="110"/>
      <c r="V3" s="111"/>
    </row>
    <row r="4" spans="2:29" ht="23.25">
      <c r="B4" s="109" t="s">
        <v>25</v>
      </c>
      <c r="C4" s="110"/>
      <c r="D4" s="110"/>
      <c r="E4" s="110"/>
      <c r="F4" s="110"/>
      <c r="G4" s="110"/>
      <c r="H4" s="110"/>
      <c r="I4" s="110"/>
      <c r="J4" s="110"/>
      <c r="K4" s="110"/>
      <c r="L4" s="110"/>
      <c r="M4" s="110"/>
      <c r="N4" s="110"/>
      <c r="O4" s="110"/>
      <c r="P4" s="110"/>
      <c r="Q4" s="110"/>
      <c r="R4" s="110"/>
      <c r="S4" s="110"/>
      <c r="T4" s="110"/>
      <c r="U4" s="110"/>
      <c r="V4" s="111"/>
    </row>
    <row r="5" spans="2:29" ht="23.25">
      <c r="B5" s="109" t="s">
        <v>26</v>
      </c>
      <c r="C5" s="110"/>
      <c r="D5" s="110"/>
      <c r="E5" s="110"/>
      <c r="F5" s="110"/>
      <c r="G5" s="110"/>
      <c r="H5" s="110"/>
      <c r="I5" s="110"/>
      <c r="J5" s="110"/>
      <c r="K5" s="110"/>
      <c r="L5" s="110"/>
      <c r="M5" s="110"/>
      <c r="N5" s="110"/>
      <c r="O5" s="110"/>
      <c r="P5" s="110"/>
      <c r="Q5" s="110"/>
      <c r="R5" s="110"/>
      <c r="S5" s="110"/>
      <c r="T5" s="110"/>
      <c r="U5" s="110"/>
      <c r="V5" s="111"/>
    </row>
    <row r="6" spans="2:29" ht="24" thickBot="1">
      <c r="B6" s="112" t="s">
        <v>22</v>
      </c>
      <c r="C6" s="113"/>
      <c r="D6" s="113"/>
      <c r="E6" s="113"/>
      <c r="F6" s="113"/>
      <c r="G6" s="113"/>
      <c r="H6" s="113"/>
      <c r="I6" s="113"/>
      <c r="J6" s="113"/>
      <c r="K6" s="113"/>
      <c r="L6" s="113"/>
      <c r="M6" s="113"/>
      <c r="N6" s="113"/>
      <c r="O6" s="113"/>
      <c r="P6" s="113"/>
      <c r="Q6" s="113"/>
      <c r="R6" s="113"/>
      <c r="S6" s="113"/>
      <c r="T6" s="113"/>
      <c r="U6" s="113"/>
      <c r="V6" s="114"/>
    </row>
    <row r="11" spans="2:29" ht="15" thickBot="1"/>
    <row r="12" spans="2:29" ht="45">
      <c r="B12" s="4" t="s">
        <v>23</v>
      </c>
      <c r="C12" s="15" t="s">
        <v>15</v>
      </c>
      <c r="D12" s="15" t="s">
        <v>16</v>
      </c>
      <c r="E12" s="15" t="s">
        <v>17</v>
      </c>
      <c r="F12" s="5" t="s">
        <v>18</v>
      </c>
      <c r="G12" s="5" t="s">
        <v>19</v>
      </c>
      <c r="H12" s="6" t="s">
        <v>20</v>
      </c>
      <c r="W12" s="4" t="s">
        <v>7</v>
      </c>
      <c r="X12" s="5" t="s">
        <v>2</v>
      </c>
      <c r="Y12" s="5" t="s">
        <v>3</v>
      </c>
      <c r="Z12" s="5" t="s">
        <v>4</v>
      </c>
      <c r="AA12" s="5" t="s">
        <v>5</v>
      </c>
      <c r="AB12" s="5" t="s">
        <v>6</v>
      </c>
      <c r="AC12" s="6" t="s">
        <v>12</v>
      </c>
    </row>
    <row r="13" spans="2:29">
      <c r="B13" s="7">
        <v>1</v>
      </c>
      <c r="C13" s="3">
        <v>11.5</v>
      </c>
      <c r="D13" s="3">
        <v>30</v>
      </c>
      <c r="E13" s="3">
        <v>4.17</v>
      </c>
      <c r="F13" s="3">
        <v>57.587899999999998</v>
      </c>
      <c r="G13" s="3">
        <v>49.809399999999997</v>
      </c>
      <c r="H13" s="8">
        <f>AVERAGE(F13,G13)</f>
        <v>53.698650000000001</v>
      </c>
      <c r="W13" s="7">
        <v>1</v>
      </c>
      <c r="X13" s="3">
        <v>11.5</v>
      </c>
      <c r="Y13" s="3">
        <v>30</v>
      </c>
      <c r="Z13" s="3">
        <v>4.17</v>
      </c>
      <c r="AA13" s="3">
        <v>57.587899999999998</v>
      </c>
      <c r="AB13" s="3">
        <v>49.809399999999997</v>
      </c>
      <c r="AC13" s="8">
        <f>AVERAGE(AA13,AB13)</f>
        <v>53.698650000000001</v>
      </c>
    </row>
    <row r="14" spans="2:29">
      <c r="B14" s="7">
        <v>2</v>
      </c>
      <c r="C14" s="3">
        <v>16</v>
      </c>
      <c r="D14" s="3">
        <v>30</v>
      </c>
      <c r="E14" s="3">
        <v>4.17</v>
      </c>
      <c r="F14" s="3">
        <v>134.75299999999999</v>
      </c>
      <c r="G14" s="3">
        <v>155.63220000000001</v>
      </c>
      <c r="H14" s="8">
        <f t="shared" ref="H14:H20" si="0">AVERAGE(F14,G14)</f>
        <v>145.1926</v>
      </c>
      <c r="W14" s="7">
        <v>2</v>
      </c>
      <c r="X14" s="3">
        <v>16</v>
      </c>
      <c r="Y14" s="3">
        <v>30</v>
      </c>
      <c r="Z14" s="3">
        <v>4.17</v>
      </c>
      <c r="AA14" s="3">
        <v>134.75299999999999</v>
      </c>
      <c r="AB14" s="3">
        <v>155.63220000000001</v>
      </c>
      <c r="AC14" s="8">
        <f t="shared" ref="AC14:AC20" si="1">AVERAGE(AA14,AB14)</f>
        <v>145.1926</v>
      </c>
    </row>
    <row r="15" spans="2:29">
      <c r="B15" s="7">
        <v>3</v>
      </c>
      <c r="C15" s="3">
        <v>11.5</v>
      </c>
      <c r="D15" s="3">
        <v>60</v>
      </c>
      <c r="E15" s="3">
        <v>4.17</v>
      </c>
      <c r="F15" s="3">
        <v>80.768600000000006</v>
      </c>
      <c r="G15" s="3">
        <v>82.413600000000002</v>
      </c>
      <c r="H15" s="8">
        <f t="shared" si="0"/>
        <v>81.591100000000012</v>
      </c>
      <c r="W15" s="7">
        <v>3</v>
      </c>
      <c r="X15" s="3">
        <v>11.5</v>
      </c>
      <c r="Y15" s="3">
        <v>60</v>
      </c>
      <c r="Z15" s="3">
        <v>4.17</v>
      </c>
      <c r="AA15" s="3">
        <v>80.768600000000006</v>
      </c>
      <c r="AB15" s="3">
        <v>82.413600000000002</v>
      </c>
      <c r="AC15" s="8">
        <f t="shared" si="1"/>
        <v>81.591100000000012</v>
      </c>
    </row>
    <row r="16" spans="2:29">
      <c r="B16" s="7">
        <v>4</v>
      </c>
      <c r="C16" s="3">
        <v>16</v>
      </c>
      <c r="D16" s="3">
        <v>60</v>
      </c>
      <c r="E16" s="3">
        <v>4.17</v>
      </c>
      <c r="F16" s="3">
        <v>155.62880000000001</v>
      </c>
      <c r="G16" s="3">
        <v>144.9699</v>
      </c>
      <c r="H16" s="8">
        <f t="shared" si="0"/>
        <v>150.29935</v>
      </c>
      <c r="M16" s="2"/>
      <c r="W16" s="7">
        <v>4</v>
      </c>
      <c r="X16" s="3">
        <v>16</v>
      </c>
      <c r="Y16" s="3">
        <v>60</v>
      </c>
      <c r="Z16" s="3">
        <v>4.17</v>
      </c>
      <c r="AA16" s="3">
        <v>155.62880000000001</v>
      </c>
      <c r="AB16" s="3">
        <v>144.9699</v>
      </c>
      <c r="AC16" s="8">
        <f t="shared" si="1"/>
        <v>150.29935</v>
      </c>
    </row>
    <row r="17" spans="2:29">
      <c r="B17" s="7">
        <v>5</v>
      </c>
      <c r="C17" s="3">
        <v>11.5</v>
      </c>
      <c r="D17" s="3">
        <v>30</v>
      </c>
      <c r="E17" s="3">
        <v>4.8</v>
      </c>
      <c r="F17" s="3">
        <v>98.2774</v>
      </c>
      <c r="G17" s="3">
        <v>103.02</v>
      </c>
      <c r="H17" s="8">
        <f t="shared" si="0"/>
        <v>100.64869999999999</v>
      </c>
      <c r="M17" s="2"/>
      <c r="W17" s="7">
        <v>5</v>
      </c>
      <c r="X17" s="3">
        <v>11.5</v>
      </c>
      <c r="Y17" s="3">
        <v>30</v>
      </c>
      <c r="Z17" s="3">
        <v>4.8</v>
      </c>
      <c r="AA17" s="3">
        <v>98.2774</v>
      </c>
      <c r="AB17" s="3">
        <v>103.02</v>
      </c>
      <c r="AC17" s="8">
        <f t="shared" si="1"/>
        <v>100.64869999999999</v>
      </c>
    </row>
    <row r="18" spans="2:29">
      <c r="B18" s="7">
        <v>6</v>
      </c>
      <c r="C18" s="3">
        <v>16</v>
      </c>
      <c r="D18" s="3">
        <v>30</v>
      </c>
      <c r="E18" s="3">
        <v>4.8</v>
      </c>
      <c r="F18" s="3">
        <v>211.4195</v>
      </c>
      <c r="G18" s="3">
        <v>190.82329999999999</v>
      </c>
      <c r="H18" s="8">
        <f t="shared" si="0"/>
        <v>201.12139999999999</v>
      </c>
      <c r="M18" s="2"/>
      <c r="W18" s="7">
        <v>6</v>
      </c>
      <c r="X18" s="3">
        <v>16</v>
      </c>
      <c r="Y18" s="3">
        <v>30</v>
      </c>
      <c r="Z18" s="3">
        <v>4.8</v>
      </c>
      <c r="AA18" s="3">
        <v>211.4195</v>
      </c>
      <c r="AB18" s="3">
        <v>190.82329999999999</v>
      </c>
      <c r="AC18" s="8">
        <f t="shared" si="1"/>
        <v>201.12139999999999</v>
      </c>
    </row>
    <row r="19" spans="2:29">
      <c r="B19" s="7">
        <v>7</v>
      </c>
      <c r="C19" s="3">
        <v>11.5</v>
      </c>
      <c r="D19" s="3">
        <v>60</v>
      </c>
      <c r="E19" s="3">
        <v>4.8</v>
      </c>
      <c r="F19" s="3">
        <v>137.57159999999999</v>
      </c>
      <c r="G19" s="3">
        <v>129.2389</v>
      </c>
      <c r="H19" s="8">
        <f t="shared" si="0"/>
        <v>133.40525</v>
      </c>
      <c r="M19" s="2"/>
      <c r="W19" s="7">
        <v>7</v>
      </c>
      <c r="X19" s="3">
        <v>11.5</v>
      </c>
      <c r="Y19" s="3">
        <v>60</v>
      </c>
      <c r="Z19" s="3">
        <v>4.8</v>
      </c>
      <c r="AA19" s="3">
        <v>137.57159999999999</v>
      </c>
      <c r="AB19" s="3">
        <v>129.2389</v>
      </c>
      <c r="AC19" s="8">
        <f t="shared" si="1"/>
        <v>133.40525</v>
      </c>
    </row>
    <row r="20" spans="2:29" ht="15" thickBot="1">
      <c r="B20" s="9">
        <v>8</v>
      </c>
      <c r="C20" s="10">
        <v>16</v>
      </c>
      <c r="D20" s="10">
        <v>60</v>
      </c>
      <c r="E20" s="10">
        <v>4.8</v>
      </c>
      <c r="F20" s="10">
        <v>206.4453</v>
      </c>
      <c r="G20" s="10">
        <v>206.1936</v>
      </c>
      <c r="H20" s="11">
        <f t="shared" si="0"/>
        <v>206.31945000000002</v>
      </c>
      <c r="W20" s="9">
        <v>8</v>
      </c>
      <c r="X20" s="10">
        <v>16</v>
      </c>
      <c r="Y20" s="10">
        <v>60</v>
      </c>
      <c r="Z20" s="10">
        <v>4.8</v>
      </c>
      <c r="AA20" s="10">
        <v>206.4453</v>
      </c>
      <c r="AB20" s="10">
        <v>206.1936</v>
      </c>
      <c r="AC20" s="11">
        <f t="shared" si="1"/>
        <v>206.31945000000002</v>
      </c>
    </row>
    <row r="23" spans="2:29" ht="15" thickBot="1"/>
    <row r="24" spans="2:29" ht="15">
      <c r="B24" s="24" t="s">
        <v>8</v>
      </c>
      <c r="C24" s="25" t="s">
        <v>10</v>
      </c>
      <c r="D24" s="25" t="s">
        <v>9</v>
      </c>
      <c r="E24" s="26" t="s">
        <v>21</v>
      </c>
      <c r="J24" s="13"/>
      <c r="K24" s="13"/>
    </row>
    <row r="25" spans="2:29" ht="15">
      <c r="B25" s="19">
        <f>(C13-$B$35)/$C$35</f>
        <v>-1</v>
      </c>
      <c r="C25" s="16">
        <f t="shared" ref="C25:C32" si="2">(D13-$B$36)/$C$36</f>
        <v>-1</v>
      </c>
      <c r="D25" s="16">
        <f t="shared" ref="D25:D32" si="3">(E13-$B$37)/$C$37</f>
        <v>-0.99999999999999856</v>
      </c>
      <c r="E25" s="20">
        <f>H13</f>
        <v>53.698650000000001</v>
      </c>
      <c r="G25" s="29" t="s">
        <v>29</v>
      </c>
      <c r="K25" s="14"/>
    </row>
    <row r="26" spans="2:29" ht="15">
      <c r="B26" s="19">
        <f t="shared" ref="B26:B32" si="4">(C14-$B$35)/$C$35</f>
        <v>1</v>
      </c>
      <c r="C26" s="16">
        <f t="shared" si="2"/>
        <v>-1</v>
      </c>
      <c r="D26" s="16">
        <f t="shared" si="3"/>
        <v>-0.99999999999999856</v>
      </c>
      <c r="E26" s="20">
        <f t="shared" ref="E26:E32" si="5">H14</f>
        <v>145.1926</v>
      </c>
      <c r="K26" s="14"/>
      <c r="W26" s="48"/>
      <c r="X26" s="49"/>
      <c r="Y26" s="49"/>
      <c r="Z26" s="49"/>
      <c r="AA26" s="48"/>
      <c r="AB26" s="48"/>
      <c r="AC26" s="48"/>
    </row>
    <row r="27" spans="2:29" ht="15">
      <c r="B27" s="19">
        <f t="shared" si="4"/>
        <v>-1</v>
      </c>
      <c r="C27" s="16">
        <f t="shared" si="2"/>
        <v>1</v>
      </c>
      <c r="D27" s="16">
        <f t="shared" si="3"/>
        <v>-0.99999999999999856</v>
      </c>
      <c r="E27" s="20">
        <f t="shared" si="5"/>
        <v>81.591100000000012</v>
      </c>
      <c r="J27" s="28">
        <f>E31</f>
        <v>133.40525</v>
      </c>
      <c r="K27" s="14"/>
      <c r="O27" s="28">
        <f>E32</f>
        <v>206.31945000000002</v>
      </c>
      <c r="W27" s="2"/>
      <c r="X27" s="2"/>
      <c r="Y27" s="2"/>
      <c r="Z27" s="2"/>
      <c r="AA27" s="2"/>
      <c r="AB27" s="2"/>
      <c r="AC27" s="2"/>
    </row>
    <row r="28" spans="2:29">
      <c r="B28" s="19">
        <f t="shared" si="4"/>
        <v>1</v>
      </c>
      <c r="C28" s="16">
        <f t="shared" si="2"/>
        <v>1</v>
      </c>
      <c r="D28" s="16">
        <f t="shared" si="3"/>
        <v>-0.99999999999999856</v>
      </c>
      <c r="E28" s="20">
        <f t="shared" si="5"/>
        <v>150.29935</v>
      </c>
      <c r="W28" s="2"/>
      <c r="X28" s="2"/>
      <c r="Y28" s="2"/>
      <c r="Z28" s="2"/>
      <c r="AA28" s="2"/>
      <c r="AB28" s="2"/>
      <c r="AC28" s="2"/>
    </row>
    <row r="29" spans="2:29">
      <c r="B29" s="19">
        <f t="shared" si="4"/>
        <v>-1</v>
      </c>
      <c r="C29" s="16">
        <f t="shared" si="2"/>
        <v>-1</v>
      </c>
      <c r="D29" s="16">
        <f t="shared" si="3"/>
        <v>1.0000000000000013</v>
      </c>
      <c r="E29" s="20">
        <f t="shared" si="5"/>
        <v>100.64869999999999</v>
      </c>
      <c r="W29" s="2"/>
      <c r="X29" s="2"/>
      <c r="Y29" s="2"/>
      <c r="Z29" s="2"/>
      <c r="AA29" s="2"/>
      <c r="AB29" s="2"/>
      <c r="AC29" s="2"/>
    </row>
    <row r="30" spans="2:29">
      <c r="B30" s="19">
        <f t="shared" si="4"/>
        <v>1</v>
      </c>
      <c r="C30" s="16">
        <f t="shared" si="2"/>
        <v>-1</v>
      </c>
      <c r="D30" s="16">
        <f t="shared" si="3"/>
        <v>1.0000000000000013</v>
      </c>
      <c r="E30" s="20">
        <f t="shared" si="5"/>
        <v>201.12139999999999</v>
      </c>
      <c r="W30" s="2"/>
      <c r="X30" s="2"/>
      <c r="Y30" s="2"/>
      <c r="Z30" s="2"/>
      <c r="AA30" s="2"/>
      <c r="AB30" s="2"/>
      <c r="AC30" s="2"/>
    </row>
    <row r="31" spans="2:29">
      <c r="B31" s="19">
        <f t="shared" si="4"/>
        <v>-1</v>
      </c>
      <c r="C31" s="16">
        <f t="shared" si="2"/>
        <v>1</v>
      </c>
      <c r="D31" s="16">
        <f t="shared" si="3"/>
        <v>1.0000000000000013</v>
      </c>
      <c r="E31" s="20">
        <f t="shared" si="5"/>
        <v>133.40525</v>
      </c>
      <c r="W31" s="2"/>
      <c r="X31" s="2"/>
      <c r="Y31" s="2"/>
      <c r="Z31" s="2"/>
      <c r="AA31" s="2"/>
      <c r="AB31" s="2"/>
      <c r="AC31" s="2"/>
    </row>
    <row r="32" spans="2:29" ht="15" thickBot="1">
      <c r="B32" s="21">
        <f t="shared" si="4"/>
        <v>1</v>
      </c>
      <c r="C32" s="22">
        <f t="shared" si="2"/>
        <v>1</v>
      </c>
      <c r="D32" s="22">
        <f t="shared" si="3"/>
        <v>1.0000000000000013</v>
      </c>
      <c r="E32" s="23">
        <f t="shared" si="5"/>
        <v>206.31945000000002</v>
      </c>
      <c r="W32" s="2"/>
      <c r="X32" s="2"/>
      <c r="Y32" s="2"/>
      <c r="Z32" s="2"/>
      <c r="AA32" s="2"/>
      <c r="AB32" s="2"/>
      <c r="AC32" s="2"/>
    </row>
    <row r="33" spans="2:29" ht="15">
      <c r="G33" s="28">
        <f>E29</f>
        <v>100.64869999999999</v>
      </c>
      <c r="M33" s="28">
        <f>E30</f>
        <v>201.12139999999999</v>
      </c>
      <c r="W33" s="2"/>
      <c r="X33" s="2"/>
      <c r="Y33" s="2"/>
      <c r="Z33" s="2"/>
      <c r="AA33" s="2"/>
      <c r="AB33" s="2"/>
      <c r="AC33" s="2"/>
    </row>
    <row r="34" spans="2:29" ht="15">
      <c r="B34" s="61" t="s">
        <v>13</v>
      </c>
      <c r="C34" s="61" t="s">
        <v>14</v>
      </c>
      <c r="P34" s="27" t="s">
        <v>28</v>
      </c>
      <c r="W34" s="2"/>
      <c r="X34" s="2"/>
      <c r="Y34" s="2"/>
      <c r="Z34" s="2"/>
      <c r="AA34" s="2"/>
      <c r="AB34" s="2"/>
      <c r="AC34" s="2"/>
    </row>
    <row r="35" spans="2:29">
      <c r="B35" s="12">
        <f>(11.5+16)/2</f>
        <v>13.75</v>
      </c>
      <c r="C35" s="12">
        <f>(16-11.5)/2</f>
        <v>2.25</v>
      </c>
    </row>
    <row r="36" spans="2:29">
      <c r="B36" s="12">
        <f>(30+60)/2</f>
        <v>45</v>
      </c>
      <c r="C36" s="12">
        <f>(60-30)/2</f>
        <v>15</v>
      </c>
    </row>
    <row r="37" spans="2:29">
      <c r="B37" s="12">
        <f>(4.17+4.8)/2</f>
        <v>4.4849999999999994</v>
      </c>
      <c r="C37" s="12">
        <f>(4.8-4.17)/2</f>
        <v>0.31499999999999995</v>
      </c>
    </row>
    <row r="43" spans="2:29" ht="15">
      <c r="J43" s="28">
        <f>E27</f>
        <v>81.591100000000012</v>
      </c>
      <c r="O43" s="28">
        <f>E28</f>
        <v>150.29935</v>
      </c>
    </row>
    <row r="47" spans="2:29" ht="15">
      <c r="N47" s="27" t="s">
        <v>27</v>
      </c>
    </row>
    <row r="49" spans="7:13" ht="15">
      <c r="G49" s="28">
        <f>E25</f>
        <v>53.698650000000001</v>
      </c>
    </row>
    <row r="50" spans="7:13" ht="15">
      <c r="J50" s="27" t="s">
        <v>24</v>
      </c>
      <c r="M50" s="28">
        <f>E26</f>
        <v>145.1926</v>
      </c>
    </row>
  </sheetData>
  <mergeCells count="5">
    <mergeCell ref="B3:V3"/>
    <mergeCell ref="B4:V4"/>
    <mergeCell ref="B5:V5"/>
    <mergeCell ref="B6:V6"/>
    <mergeCell ref="B2:V2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H48"/>
  <sheetViews>
    <sheetView zoomScaleNormal="100" workbookViewId="0">
      <selection activeCell="I7" sqref="I7"/>
    </sheetView>
  </sheetViews>
  <sheetFormatPr defaultRowHeight="14.25"/>
  <sheetData>
    <row r="1" spans="1:34" ht="15">
      <c r="A1" s="28" t="s">
        <v>277</v>
      </c>
    </row>
    <row r="3" spans="1:34" ht="15.75" thickBot="1">
      <c r="B3" s="1"/>
      <c r="C3" s="1"/>
      <c r="D3" s="1"/>
      <c r="E3" s="1"/>
      <c r="O3" s="48"/>
      <c r="P3" s="49"/>
      <c r="Q3" s="49"/>
      <c r="R3" s="49"/>
      <c r="S3" s="48"/>
      <c r="T3" s="48"/>
      <c r="U3" s="48"/>
    </row>
    <row r="4" spans="1:34" ht="15.75" thickBot="1">
      <c r="B4" s="57" t="s">
        <v>8</v>
      </c>
      <c r="C4" s="58" t="s">
        <v>10</v>
      </c>
      <c r="D4" s="58" t="s">
        <v>9</v>
      </c>
      <c r="E4" s="59" t="s">
        <v>11</v>
      </c>
      <c r="F4" s="60" t="s">
        <v>21</v>
      </c>
      <c r="R4" s="2"/>
      <c r="U4" s="2"/>
    </row>
    <row r="5" spans="1:34" ht="15">
      <c r="B5" s="17">
        <v>-1</v>
      </c>
      <c r="C5" s="18">
        <v>-1</v>
      </c>
      <c r="D5" s="18">
        <v>-0.99999999999999856</v>
      </c>
      <c r="E5" s="45">
        <v>57.587899999999998</v>
      </c>
      <c r="F5" s="118">
        <f>AVERAGE(E5,E6)</f>
        <v>53.698650000000001</v>
      </c>
      <c r="I5" s="27"/>
      <c r="J5" s="27" t="s">
        <v>8</v>
      </c>
      <c r="K5" s="27" t="s">
        <v>10</v>
      </c>
      <c r="L5" s="27" t="s">
        <v>9</v>
      </c>
      <c r="M5" s="27" t="s">
        <v>39</v>
      </c>
      <c r="N5" s="27" t="s">
        <v>40</v>
      </c>
      <c r="O5" s="27" t="s">
        <v>41</v>
      </c>
      <c r="P5" s="27" t="s">
        <v>42</v>
      </c>
      <c r="R5" s="2"/>
      <c r="U5" s="2"/>
    </row>
    <row r="6" spans="1:34" ht="15.75" thickBot="1">
      <c r="B6" s="21">
        <v>-1</v>
      </c>
      <c r="C6" s="22">
        <v>-1</v>
      </c>
      <c r="D6" s="22">
        <v>-0.99999999999999856</v>
      </c>
      <c r="E6" s="46">
        <v>49.809399999999997</v>
      </c>
      <c r="F6" s="119"/>
      <c r="I6" s="27" t="s">
        <v>31</v>
      </c>
      <c r="J6" s="27" t="s">
        <v>32</v>
      </c>
      <c r="K6" s="27" t="s">
        <v>33</v>
      </c>
      <c r="L6" s="27" t="s">
        <v>34</v>
      </c>
      <c r="M6" s="27" t="s">
        <v>35</v>
      </c>
      <c r="N6" s="27" t="s">
        <v>36</v>
      </c>
      <c r="O6" s="27" t="s">
        <v>37</v>
      </c>
      <c r="P6" s="27" t="s">
        <v>38</v>
      </c>
      <c r="R6" s="2"/>
      <c r="U6" s="2"/>
    </row>
    <row r="7" spans="1:34">
      <c r="B7" s="17">
        <v>1</v>
      </c>
      <c r="C7" s="18">
        <v>-1</v>
      </c>
      <c r="D7" s="18">
        <v>-0.99999999999999856</v>
      </c>
      <c r="E7" s="45">
        <v>134.75299999999999</v>
      </c>
      <c r="F7" s="118">
        <f>AVERAGE(E7,E8)</f>
        <v>145.1926</v>
      </c>
      <c r="H7" s="30" t="s">
        <v>30</v>
      </c>
      <c r="I7" s="33">
        <v>1</v>
      </c>
      <c r="J7" s="34">
        <v>-1</v>
      </c>
      <c r="K7" s="34">
        <v>-1</v>
      </c>
      <c r="L7" s="34">
        <v>-0.99999999999999856</v>
      </c>
      <c r="M7" s="34">
        <f>J7*K7</f>
        <v>1</v>
      </c>
      <c r="N7" s="34">
        <f>J7*L7</f>
        <v>0.99999999999999856</v>
      </c>
      <c r="O7" s="34">
        <f>K7*L7</f>
        <v>0.99999999999999856</v>
      </c>
      <c r="P7" s="35">
        <f>J7*K7*L7</f>
        <v>-0.99999999999999856</v>
      </c>
      <c r="R7" s="30" t="s">
        <v>43</v>
      </c>
      <c r="S7" s="33" cm="1">
        <f t="array" ref="S7:AH14">TRANSPOSE(I7:P22)</f>
        <v>1</v>
      </c>
      <c r="T7" s="34">
        <v>1</v>
      </c>
      <c r="U7" s="34">
        <v>1</v>
      </c>
      <c r="V7" s="34">
        <v>1</v>
      </c>
      <c r="W7" s="34">
        <v>1</v>
      </c>
      <c r="X7" s="34">
        <v>1</v>
      </c>
      <c r="Y7" s="34">
        <v>1</v>
      </c>
      <c r="Z7" s="34">
        <v>1</v>
      </c>
      <c r="AA7" s="34">
        <v>1</v>
      </c>
      <c r="AB7" s="34">
        <v>1</v>
      </c>
      <c r="AC7" s="34">
        <v>1</v>
      </c>
      <c r="AD7" s="34">
        <v>1</v>
      </c>
      <c r="AE7" s="34">
        <v>1</v>
      </c>
      <c r="AF7" s="34">
        <v>1</v>
      </c>
      <c r="AG7" s="34">
        <v>1</v>
      </c>
      <c r="AH7" s="35">
        <v>1</v>
      </c>
    </row>
    <row r="8" spans="1:34" ht="15" thickBot="1">
      <c r="B8" s="21">
        <v>1</v>
      </c>
      <c r="C8" s="22">
        <v>-1</v>
      </c>
      <c r="D8" s="22">
        <v>-0.99999999999999856</v>
      </c>
      <c r="E8" s="46">
        <v>155.63220000000001</v>
      </c>
      <c r="F8" s="119"/>
      <c r="I8" s="31">
        <v>1</v>
      </c>
      <c r="J8">
        <v>-1</v>
      </c>
      <c r="K8">
        <v>-1</v>
      </c>
      <c r="L8">
        <v>-0.99999999999999856</v>
      </c>
      <c r="M8">
        <f t="shared" ref="M8:M22" si="0">J8*K8</f>
        <v>1</v>
      </c>
      <c r="N8">
        <f t="shared" ref="N8:N22" si="1">J8*L8</f>
        <v>0.99999999999999856</v>
      </c>
      <c r="O8">
        <f t="shared" ref="O8:O22" si="2">K8*L8</f>
        <v>0.99999999999999856</v>
      </c>
      <c r="P8" s="32">
        <f t="shared" ref="P8:P22" si="3">J8*K8*L8</f>
        <v>-0.99999999999999856</v>
      </c>
      <c r="S8" s="31">
        <v>-1</v>
      </c>
      <c r="T8">
        <v>-1</v>
      </c>
      <c r="U8">
        <v>1</v>
      </c>
      <c r="V8">
        <v>1</v>
      </c>
      <c r="W8">
        <v>-1</v>
      </c>
      <c r="X8">
        <v>-1</v>
      </c>
      <c r="Y8">
        <v>1</v>
      </c>
      <c r="Z8">
        <v>1</v>
      </c>
      <c r="AA8">
        <v>-1</v>
      </c>
      <c r="AB8">
        <v>-1</v>
      </c>
      <c r="AC8">
        <v>1</v>
      </c>
      <c r="AD8">
        <v>1</v>
      </c>
      <c r="AE8">
        <v>-1</v>
      </c>
      <c r="AF8">
        <v>-1</v>
      </c>
      <c r="AG8">
        <v>1</v>
      </c>
      <c r="AH8" s="32">
        <v>1</v>
      </c>
    </row>
    <row r="9" spans="1:34">
      <c r="B9" s="17">
        <v>-1</v>
      </c>
      <c r="C9" s="18">
        <v>1</v>
      </c>
      <c r="D9" s="18">
        <v>-0.99999999999999856</v>
      </c>
      <c r="E9" s="45">
        <v>80.768600000000006</v>
      </c>
      <c r="F9" s="118">
        <f>AVERAGE(E9,E10)</f>
        <v>81.591100000000012</v>
      </c>
      <c r="I9" s="31">
        <v>1</v>
      </c>
      <c r="J9">
        <v>1</v>
      </c>
      <c r="K9">
        <v>-1</v>
      </c>
      <c r="L9">
        <v>-0.99999999999999856</v>
      </c>
      <c r="M9">
        <f t="shared" si="0"/>
        <v>-1</v>
      </c>
      <c r="N9">
        <f t="shared" si="1"/>
        <v>-0.99999999999999856</v>
      </c>
      <c r="O9">
        <f t="shared" si="2"/>
        <v>0.99999999999999856</v>
      </c>
      <c r="P9" s="32">
        <f t="shared" si="3"/>
        <v>0.99999999999999856</v>
      </c>
      <c r="S9" s="31">
        <v>-1</v>
      </c>
      <c r="T9">
        <v>-1</v>
      </c>
      <c r="U9">
        <v>-1</v>
      </c>
      <c r="V9">
        <v>-1</v>
      </c>
      <c r="W9">
        <v>1</v>
      </c>
      <c r="X9">
        <v>1</v>
      </c>
      <c r="Y9">
        <v>1</v>
      </c>
      <c r="Z9">
        <v>1</v>
      </c>
      <c r="AA9">
        <v>-1</v>
      </c>
      <c r="AB9">
        <v>-1</v>
      </c>
      <c r="AC9">
        <v>-1</v>
      </c>
      <c r="AD9">
        <v>-1</v>
      </c>
      <c r="AE9">
        <v>1</v>
      </c>
      <c r="AF9">
        <v>1</v>
      </c>
      <c r="AG9">
        <v>1</v>
      </c>
      <c r="AH9" s="32">
        <v>1</v>
      </c>
    </row>
    <row r="10" spans="1:34" ht="15" thickBot="1">
      <c r="B10" s="21">
        <v>-1</v>
      </c>
      <c r="C10" s="22">
        <v>1</v>
      </c>
      <c r="D10" s="22">
        <v>-0.99999999999999856</v>
      </c>
      <c r="E10" s="46">
        <v>82.413600000000002</v>
      </c>
      <c r="F10" s="119"/>
      <c r="I10" s="31">
        <v>1</v>
      </c>
      <c r="J10">
        <v>1</v>
      </c>
      <c r="K10">
        <v>-1</v>
      </c>
      <c r="L10">
        <v>-0.99999999999999856</v>
      </c>
      <c r="M10">
        <f t="shared" si="0"/>
        <v>-1</v>
      </c>
      <c r="N10">
        <f t="shared" si="1"/>
        <v>-0.99999999999999856</v>
      </c>
      <c r="O10">
        <f t="shared" si="2"/>
        <v>0.99999999999999856</v>
      </c>
      <c r="P10" s="32">
        <f t="shared" si="3"/>
        <v>0.99999999999999856</v>
      </c>
      <c r="S10" s="31">
        <v>-0.99999999999999856</v>
      </c>
      <c r="T10">
        <v>-0.99999999999999856</v>
      </c>
      <c r="U10">
        <v>-0.99999999999999856</v>
      </c>
      <c r="V10">
        <v>-0.99999999999999856</v>
      </c>
      <c r="W10">
        <v>-0.99999999999999856</v>
      </c>
      <c r="X10">
        <v>-0.99999999999999856</v>
      </c>
      <c r="Y10">
        <v>-0.99999999999999856</v>
      </c>
      <c r="Z10">
        <v>-0.99999999999999856</v>
      </c>
      <c r="AA10">
        <v>1.0000000000000013</v>
      </c>
      <c r="AB10">
        <v>1.0000000000000013</v>
      </c>
      <c r="AC10">
        <v>1.0000000000000013</v>
      </c>
      <c r="AD10">
        <v>1.0000000000000013</v>
      </c>
      <c r="AE10">
        <v>1.0000000000000013</v>
      </c>
      <c r="AF10">
        <v>1.0000000000000013</v>
      </c>
      <c r="AG10">
        <v>1.0000000000000013</v>
      </c>
      <c r="AH10" s="32">
        <v>1.0000000000000013</v>
      </c>
    </row>
    <row r="11" spans="1:34">
      <c r="B11" s="17">
        <v>1</v>
      </c>
      <c r="C11" s="18">
        <v>1</v>
      </c>
      <c r="D11" s="18">
        <v>-0.99999999999999856</v>
      </c>
      <c r="E11" s="45">
        <v>155.62880000000001</v>
      </c>
      <c r="F11" s="118">
        <f>AVERAGE(E11,E12)</f>
        <v>150.29935</v>
      </c>
      <c r="I11" s="31">
        <v>1</v>
      </c>
      <c r="J11">
        <v>-1</v>
      </c>
      <c r="K11">
        <v>1</v>
      </c>
      <c r="L11">
        <v>-0.99999999999999856</v>
      </c>
      <c r="M11">
        <f t="shared" si="0"/>
        <v>-1</v>
      </c>
      <c r="N11">
        <f t="shared" si="1"/>
        <v>0.99999999999999856</v>
      </c>
      <c r="O11">
        <f t="shared" si="2"/>
        <v>-0.99999999999999856</v>
      </c>
      <c r="P11" s="32">
        <f t="shared" si="3"/>
        <v>0.99999999999999856</v>
      </c>
      <c r="S11" s="31">
        <v>1</v>
      </c>
      <c r="T11">
        <v>1</v>
      </c>
      <c r="U11">
        <v>-1</v>
      </c>
      <c r="V11">
        <v>-1</v>
      </c>
      <c r="W11">
        <v>-1</v>
      </c>
      <c r="X11">
        <v>-1</v>
      </c>
      <c r="Y11">
        <v>1</v>
      </c>
      <c r="Z11">
        <v>1</v>
      </c>
      <c r="AA11">
        <v>1</v>
      </c>
      <c r="AB11">
        <v>1</v>
      </c>
      <c r="AC11">
        <v>-1</v>
      </c>
      <c r="AD11">
        <v>-1</v>
      </c>
      <c r="AE11">
        <v>-1</v>
      </c>
      <c r="AF11">
        <v>-1</v>
      </c>
      <c r="AG11">
        <v>1</v>
      </c>
      <c r="AH11" s="32">
        <v>1</v>
      </c>
    </row>
    <row r="12" spans="1:34" ht="15" thickBot="1">
      <c r="B12" s="21">
        <v>1</v>
      </c>
      <c r="C12" s="22">
        <v>1</v>
      </c>
      <c r="D12" s="22">
        <v>-0.99999999999999856</v>
      </c>
      <c r="E12" s="46">
        <v>144.9699</v>
      </c>
      <c r="F12" s="119"/>
      <c r="I12" s="31">
        <v>1</v>
      </c>
      <c r="J12">
        <v>-1</v>
      </c>
      <c r="K12">
        <v>1</v>
      </c>
      <c r="L12">
        <v>-0.99999999999999856</v>
      </c>
      <c r="M12">
        <f t="shared" si="0"/>
        <v>-1</v>
      </c>
      <c r="N12">
        <f t="shared" si="1"/>
        <v>0.99999999999999856</v>
      </c>
      <c r="O12">
        <f t="shared" si="2"/>
        <v>-0.99999999999999856</v>
      </c>
      <c r="P12" s="32">
        <f t="shared" si="3"/>
        <v>0.99999999999999856</v>
      </c>
      <c r="S12" s="31">
        <v>0.99999999999999856</v>
      </c>
      <c r="T12">
        <v>0.99999999999999856</v>
      </c>
      <c r="U12">
        <v>-0.99999999999999856</v>
      </c>
      <c r="V12">
        <v>-0.99999999999999856</v>
      </c>
      <c r="W12">
        <v>0.99999999999999856</v>
      </c>
      <c r="X12">
        <v>0.99999999999999856</v>
      </c>
      <c r="Y12">
        <v>-0.99999999999999856</v>
      </c>
      <c r="Z12">
        <v>-0.99999999999999856</v>
      </c>
      <c r="AA12">
        <v>-1.0000000000000013</v>
      </c>
      <c r="AB12">
        <v>-1.0000000000000013</v>
      </c>
      <c r="AC12">
        <v>1.0000000000000013</v>
      </c>
      <c r="AD12">
        <v>1.0000000000000013</v>
      </c>
      <c r="AE12">
        <v>-1.0000000000000013</v>
      </c>
      <c r="AF12">
        <v>-1.0000000000000013</v>
      </c>
      <c r="AG12">
        <v>1.0000000000000013</v>
      </c>
      <c r="AH12" s="32">
        <v>1.0000000000000013</v>
      </c>
    </row>
    <row r="13" spans="1:34">
      <c r="B13" s="17">
        <v>-1</v>
      </c>
      <c r="C13" s="18">
        <v>-1</v>
      </c>
      <c r="D13" s="18">
        <v>1.0000000000000013</v>
      </c>
      <c r="E13" s="45">
        <v>98.2774</v>
      </c>
      <c r="F13" s="118">
        <f>AVERAGE(E13,E14)</f>
        <v>100.64869999999999</v>
      </c>
      <c r="I13" s="31">
        <v>1</v>
      </c>
      <c r="J13">
        <v>1</v>
      </c>
      <c r="K13">
        <v>1</v>
      </c>
      <c r="L13">
        <v>-0.99999999999999856</v>
      </c>
      <c r="M13">
        <f t="shared" si="0"/>
        <v>1</v>
      </c>
      <c r="N13">
        <f t="shared" si="1"/>
        <v>-0.99999999999999856</v>
      </c>
      <c r="O13">
        <f t="shared" si="2"/>
        <v>-0.99999999999999856</v>
      </c>
      <c r="P13" s="32">
        <f t="shared" si="3"/>
        <v>-0.99999999999999856</v>
      </c>
      <c r="S13" s="31">
        <v>0.99999999999999856</v>
      </c>
      <c r="T13">
        <v>0.99999999999999856</v>
      </c>
      <c r="U13">
        <v>0.99999999999999856</v>
      </c>
      <c r="V13">
        <v>0.99999999999999856</v>
      </c>
      <c r="W13">
        <v>-0.99999999999999856</v>
      </c>
      <c r="X13">
        <v>-0.99999999999999856</v>
      </c>
      <c r="Y13">
        <v>-0.99999999999999856</v>
      </c>
      <c r="Z13">
        <v>-0.99999999999999856</v>
      </c>
      <c r="AA13">
        <v>-1.0000000000000013</v>
      </c>
      <c r="AB13">
        <v>-1.0000000000000013</v>
      </c>
      <c r="AC13">
        <v>-1.0000000000000013</v>
      </c>
      <c r="AD13">
        <v>-1.0000000000000013</v>
      </c>
      <c r="AE13">
        <v>1.0000000000000013</v>
      </c>
      <c r="AF13">
        <v>1.0000000000000013</v>
      </c>
      <c r="AG13">
        <v>1.0000000000000013</v>
      </c>
      <c r="AH13" s="32">
        <v>1.0000000000000013</v>
      </c>
    </row>
    <row r="14" spans="1:34" ht="15" thickBot="1">
      <c r="B14" s="21">
        <v>-1</v>
      </c>
      <c r="C14" s="22">
        <v>-1</v>
      </c>
      <c r="D14" s="22">
        <v>1.0000000000000013</v>
      </c>
      <c r="E14" s="46">
        <v>103.02</v>
      </c>
      <c r="F14" s="119"/>
      <c r="I14" s="31">
        <v>1</v>
      </c>
      <c r="J14">
        <v>1</v>
      </c>
      <c r="K14">
        <v>1</v>
      </c>
      <c r="L14">
        <v>-0.99999999999999856</v>
      </c>
      <c r="M14">
        <f t="shared" si="0"/>
        <v>1</v>
      </c>
      <c r="N14">
        <f t="shared" si="1"/>
        <v>-0.99999999999999856</v>
      </c>
      <c r="O14">
        <f t="shared" si="2"/>
        <v>-0.99999999999999856</v>
      </c>
      <c r="P14" s="32">
        <f t="shared" si="3"/>
        <v>-0.99999999999999856</v>
      </c>
      <c r="S14" s="36">
        <v>-0.99999999999999856</v>
      </c>
      <c r="T14" s="37">
        <v>-0.99999999999999856</v>
      </c>
      <c r="U14" s="37">
        <v>0.99999999999999856</v>
      </c>
      <c r="V14" s="37">
        <v>0.99999999999999856</v>
      </c>
      <c r="W14" s="37">
        <v>0.99999999999999856</v>
      </c>
      <c r="X14" s="37">
        <v>0.99999999999999856</v>
      </c>
      <c r="Y14" s="37">
        <v>-0.99999999999999856</v>
      </c>
      <c r="Z14" s="37">
        <v>-0.99999999999999856</v>
      </c>
      <c r="AA14" s="37">
        <v>1.0000000000000013</v>
      </c>
      <c r="AB14" s="37">
        <v>1.0000000000000013</v>
      </c>
      <c r="AC14" s="37">
        <v>-1.0000000000000013</v>
      </c>
      <c r="AD14" s="37">
        <v>-1.0000000000000013</v>
      </c>
      <c r="AE14" s="37">
        <v>-1.0000000000000013</v>
      </c>
      <c r="AF14" s="37">
        <v>-1.0000000000000013</v>
      </c>
      <c r="AG14" s="37">
        <v>1.0000000000000013</v>
      </c>
      <c r="AH14" s="38">
        <v>1.0000000000000013</v>
      </c>
    </row>
    <row r="15" spans="1:34">
      <c r="B15" s="17">
        <v>1</v>
      </c>
      <c r="C15" s="18">
        <v>-1</v>
      </c>
      <c r="D15" s="18">
        <v>1.0000000000000013</v>
      </c>
      <c r="E15" s="45">
        <v>211.4195</v>
      </c>
      <c r="F15" s="118">
        <f>AVERAGE(E15,E16)</f>
        <v>201.12139999999999</v>
      </c>
      <c r="I15" s="31">
        <v>1</v>
      </c>
      <c r="J15">
        <v>-1</v>
      </c>
      <c r="K15">
        <v>-1</v>
      </c>
      <c r="L15">
        <v>1.0000000000000013</v>
      </c>
      <c r="M15">
        <f t="shared" si="0"/>
        <v>1</v>
      </c>
      <c r="N15">
        <f t="shared" si="1"/>
        <v>-1.0000000000000013</v>
      </c>
      <c r="O15">
        <f t="shared" si="2"/>
        <v>-1.0000000000000013</v>
      </c>
      <c r="P15" s="32">
        <f t="shared" si="3"/>
        <v>1.0000000000000013</v>
      </c>
    </row>
    <row r="16" spans="1:34" ht="15" thickBot="1">
      <c r="B16" s="21">
        <v>1</v>
      </c>
      <c r="C16" s="22">
        <v>-1</v>
      </c>
      <c r="D16" s="22">
        <v>1.0000000000000013</v>
      </c>
      <c r="E16" s="46">
        <v>190.82329999999999</v>
      </c>
      <c r="F16" s="119"/>
      <c r="I16" s="31">
        <v>1</v>
      </c>
      <c r="J16">
        <v>-1</v>
      </c>
      <c r="K16">
        <v>-1</v>
      </c>
      <c r="L16">
        <v>1.0000000000000013</v>
      </c>
      <c r="M16">
        <f t="shared" si="0"/>
        <v>1</v>
      </c>
      <c r="N16">
        <f t="shared" si="1"/>
        <v>-1.0000000000000013</v>
      </c>
      <c r="O16">
        <f t="shared" si="2"/>
        <v>-1.0000000000000013</v>
      </c>
      <c r="P16" s="32">
        <f t="shared" si="3"/>
        <v>1.0000000000000013</v>
      </c>
    </row>
    <row r="17" spans="2:22">
      <c r="B17" s="17">
        <v>-1</v>
      </c>
      <c r="C17" s="18">
        <v>1</v>
      </c>
      <c r="D17" s="18">
        <v>1.0000000000000013</v>
      </c>
      <c r="E17" s="45">
        <v>137.57159999999999</v>
      </c>
      <c r="F17" s="118">
        <f>AVERAGE(E18,E17)</f>
        <v>133.40525</v>
      </c>
      <c r="I17" s="31">
        <v>1</v>
      </c>
      <c r="J17">
        <v>1</v>
      </c>
      <c r="K17">
        <v>-1</v>
      </c>
      <c r="L17">
        <v>1.0000000000000013</v>
      </c>
      <c r="M17">
        <f t="shared" si="0"/>
        <v>-1</v>
      </c>
      <c r="N17">
        <f t="shared" si="1"/>
        <v>1.0000000000000013</v>
      </c>
      <c r="O17">
        <f t="shared" si="2"/>
        <v>-1.0000000000000013</v>
      </c>
      <c r="P17" s="32">
        <f t="shared" si="3"/>
        <v>-1.0000000000000013</v>
      </c>
      <c r="R17" s="30" t="s">
        <v>44</v>
      </c>
      <c r="S17" s="50" cm="1">
        <f t="array" ref="S17:S24">MMULT(_xlfn.ANCHORARRAY(S7),E5:E20)</f>
        <v>2144.5529999999999</v>
      </c>
      <c r="U17" s="53" t="s">
        <v>45</v>
      </c>
      <c r="V17" s="54">
        <f>S17/16</f>
        <v>134.03456249999999</v>
      </c>
    </row>
    <row r="18" spans="2:22" ht="15" thickBot="1">
      <c r="B18" s="21">
        <v>-1</v>
      </c>
      <c r="C18" s="22">
        <v>1</v>
      </c>
      <c r="D18" s="22">
        <v>1.0000000000000013</v>
      </c>
      <c r="E18" s="46">
        <v>129.2389</v>
      </c>
      <c r="F18" s="119"/>
      <c r="I18" s="31">
        <v>1</v>
      </c>
      <c r="J18">
        <v>1</v>
      </c>
      <c r="K18">
        <v>-1</v>
      </c>
      <c r="L18">
        <v>1.0000000000000013</v>
      </c>
      <c r="M18">
        <f t="shared" si="0"/>
        <v>-1</v>
      </c>
      <c r="N18">
        <f t="shared" si="1"/>
        <v>1.0000000000000013</v>
      </c>
      <c r="O18">
        <f t="shared" si="2"/>
        <v>-1.0000000000000013</v>
      </c>
      <c r="P18" s="32">
        <f t="shared" si="3"/>
        <v>-1.0000000000000013</v>
      </c>
      <c r="S18" s="51">
        <v>667.17820000000006</v>
      </c>
      <c r="U18" s="53" t="s">
        <v>46</v>
      </c>
      <c r="V18" s="55">
        <f t="shared" ref="V18:V24" si="4">S18/16</f>
        <v>41.698637500000004</v>
      </c>
    </row>
    <row r="19" spans="2:22" ht="15" thickBot="1">
      <c r="B19" s="43">
        <v>1</v>
      </c>
      <c r="C19" s="44">
        <v>1</v>
      </c>
      <c r="D19" s="44">
        <v>1.0000000000000013</v>
      </c>
      <c r="E19" s="47">
        <v>206.4453</v>
      </c>
      <c r="F19" s="118">
        <f>AVERAGE(E20,E19)</f>
        <v>206.31945000000002</v>
      </c>
      <c r="I19" s="31">
        <v>1</v>
      </c>
      <c r="J19">
        <v>-1</v>
      </c>
      <c r="K19">
        <v>1</v>
      </c>
      <c r="L19">
        <v>1.0000000000000013</v>
      </c>
      <c r="M19">
        <f t="shared" si="0"/>
        <v>-1</v>
      </c>
      <c r="N19">
        <f t="shared" si="1"/>
        <v>-1.0000000000000013</v>
      </c>
      <c r="O19">
        <f t="shared" si="2"/>
        <v>1.0000000000000013</v>
      </c>
      <c r="P19" s="32">
        <f t="shared" si="3"/>
        <v>-1.0000000000000013</v>
      </c>
      <c r="S19" s="51">
        <v>141.90759999999992</v>
      </c>
      <c r="U19" s="53" t="s">
        <v>47</v>
      </c>
      <c r="V19" s="55">
        <f t="shared" si="4"/>
        <v>8.8692249999999948</v>
      </c>
    </row>
    <row r="20" spans="2:22" ht="15" thickBot="1">
      <c r="B20" s="21">
        <v>1</v>
      </c>
      <c r="C20" s="22">
        <v>1</v>
      </c>
      <c r="D20" s="22">
        <v>1.0000000000000013</v>
      </c>
      <c r="E20" s="46">
        <v>206.1936</v>
      </c>
      <c r="F20" s="119"/>
      <c r="I20" s="31">
        <v>1</v>
      </c>
      <c r="J20">
        <v>-1</v>
      </c>
      <c r="K20">
        <v>1</v>
      </c>
      <c r="L20">
        <v>1.0000000000000013</v>
      </c>
      <c r="M20">
        <f t="shared" si="0"/>
        <v>-1</v>
      </c>
      <c r="N20">
        <f t="shared" si="1"/>
        <v>-1.0000000000000013</v>
      </c>
      <c r="O20">
        <f t="shared" si="2"/>
        <v>1.0000000000000013</v>
      </c>
      <c r="P20" s="32">
        <f t="shared" si="3"/>
        <v>-1.0000000000000013</v>
      </c>
      <c r="S20" s="51">
        <v>421.42620000000284</v>
      </c>
      <c r="U20" s="53" t="s">
        <v>48</v>
      </c>
      <c r="V20" s="55">
        <f t="shared" si="4"/>
        <v>26.339137500000177</v>
      </c>
    </row>
    <row r="21" spans="2:22">
      <c r="I21" s="31">
        <v>1</v>
      </c>
      <c r="J21">
        <v>1</v>
      </c>
      <c r="K21">
        <v>1</v>
      </c>
      <c r="L21">
        <v>1.0000000000000013</v>
      </c>
      <c r="M21">
        <f t="shared" si="0"/>
        <v>1</v>
      </c>
      <c r="N21">
        <f t="shared" si="1"/>
        <v>1.0000000000000013</v>
      </c>
      <c r="O21">
        <f t="shared" si="2"/>
        <v>1.0000000000000013</v>
      </c>
      <c r="P21" s="32">
        <f t="shared" si="3"/>
        <v>1.0000000000000013</v>
      </c>
      <c r="S21" s="51">
        <v>-100.68840000000006</v>
      </c>
      <c r="U21" s="53" t="s">
        <v>49</v>
      </c>
      <c r="V21" s="55">
        <f t="shared" si="4"/>
        <v>-6.2930250000000036</v>
      </c>
    </row>
    <row r="22" spans="2:22">
      <c r="I22" s="36">
        <v>1</v>
      </c>
      <c r="J22" s="37">
        <v>1</v>
      </c>
      <c r="K22" s="37">
        <v>1</v>
      </c>
      <c r="L22" s="37">
        <v>1.0000000000000013</v>
      </c>
      <c r="M22" s="37">
        <f t="shared" si="0"/>
        <v>1</v>
      </c>
      <c r="N22" s="37">
        <f t="shared" si="1"/>
        <v>1.0000000000000013</v>
      </c>
      <c r="O22" s="37">
        <f t="shared" si="2"/>
        <v>1.0000000000000013</v>
      </c>
      <c r="P22" s="38">
        <f t="shared" si="3"/>
        <v>1.0000000000000013</v>
      </c>
      <c r="S22" s="51">
        <v>26.369400000000979</v>
      </c>
      <c r="U22" s="53" t="s">
        <v>50</v>
      </c>
      <c r="V22" s="55">
        <f t="shared" si="4"/>
        <v>1.6480875000000612</v>
      </c>
    </row>
    <row r="23" spans="2:22">
      <c r="S23" s="51">
        <v>9.9108000000001937</v>
      </c>
      <c r="U23" s="53" t="s">
        <v>51</v>
      </c>
      <c r="V23" s="55">
        <f t="shared" si="4"/>
        <v>0.6194250000000121</v>
      </c>
    </row>
    <row r="24" spans="2:22" ht="15" thickBot="1">
      <c r="S24" s="52">
        <v>-9.5456000000000643</v>
      </c>
      <c r="U24" s="53" t="s">
        <v>52</v>
      </c>
      <c r="V24" s="56">
        <f t="shared" si="4"/>
        <v>-0.59660000000000402</v>
      </c>
    </row>
    <row r="32" spans="2:22" ht="15">
      <c r="C32" s="75"/>
      <c r="D32" s="75"/>
      <c r="E32" s="75"/>
      <c r="F32" s="75"/>
    </row>
    <row r="33" spans="6:6">
      <c r="F33" s="2"/>
    </row>
    <row r="34" spans="6:6">
      <c r="F34" s="2"/>
    </row>
    <row r="35" spans="6:6">
      <c r="F35" s="2"/>
    </row>
    <row r="36" spans="6:6">
      <c r="F36" s="2"/>
    </row>
    <row r="37" spans="6:6">
      <c r="F37" s="2"/>
    </row>
    <row r="38" spans="6:6">
      <c r="F38" s="2"/>
    </row>
    <row r="39" spans="6:6">
      <c r="F39" s="2"/>
    </row>
    <row r="40" spans="6:6">
      <c r="F40" s="2"/>
    </row>
    <row r="41" spans="6:6">
      <c r="F41" s="2"/>
    </row>
    <row r="42" spans="6:6">
      <c r="F42" s="2"/>
    </row>
    <row r="43" spans="6:6">
      <c r="F43" s="2"/>
    </row>
    <row r="44" spans="6:6">
      <c r="F44" s="2"/>
    </row>
    <row r="45" spans="6:6">
      <c r="F45" s="2"/>
    </row>
    <row r="46" spans="6:6">
      <c r="F46" s="2"/>
    </row>
    <row r="47" spans="6:6">
      <c r="F47" s="2"/>
    </row>
    <row r="48" spans="6:6">
      <c r="F48" s="2"/>
    </row>
  </sheetData>
  <mergeCells count="8">
    <mergeCell ref="F17:F18"/>
    <mergeCell ref="F19:F20"/>
    <mergeCell ref="F5:F6"/>
    <mergeCell ref="F7:F8"/>
    <mergeCell ref="F9:F10"/>
    <mergeCell ref="F11:F12"/>
    <mergeCell ref="F13:F14"/>
    <mergeCell ref="F15:F16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31"/>
  <sheetViews>
    <sheetView zoomScale="89" zoomScaleNormal="160" workbookViewId="0">
      <selection activeCell="F21" sqref="F21"/>
    </sheetView>
  </sheetViews>
  <sheetFormatPr defaultRowHeight="14.25"/>
  <cols>
    <col min="11" max="11" width="16.125" customWidth="1"/>
    <col min="12" max="12" width="11.25" customWidth="1"/>
    <col min="13" max="13" width="13.875" customWidth="1"/>
    <col min="16" max="16" width="13.75" customWidth="1"/>
    <col min="17" max="17" width="12.375" customWidth="1"/>
    <col min="18" max="18" width="15.125" customWidth="1"/>
    <col min="19" max="19" width="14.375" customWidth="1"/>
  </cols>
  <sheetData>
    <row r="1" spans="1:16" ht="15">
      <c r="A1" s="28" t="s">
        <v>53</v>
      </c>
    </row>
    <row r="2" spans="1:16" ht="15" thickBot="1"/>
    <row r="3" spans="1:16" ht="15">
      <c r="B3" s="62" t="s">
        <v>8</v>
      </c>
      <c r="C3" s="63" t="s">
        <v>10</v>
      </c>
      <c r="D3" s="63" t="s">
        <v>9</v>
      </c>
      <c r="E3" s="63" t="s">
        <v>39</v>
      </c>
      <c r="F3" s="63" t="s">
        <v>40</v>
      </c>
      <c r="G3" s="63" t="s">
        <v>41</v>
      </c>
      <c r="H3" s="63" t="s">
        <v>42</v>
      </c>
      <c r="I3" s="26" t="s">
        <v>11</v>
      </c>
      <c r="K3" t="s">
        <v>54</v>
      </c>
    </row>
    <row r="4" spans="1:16" ht="15" thickBot="1">
      <c r="B4" s="19">
        <v>-1</v>
      </c>
      <c r="C4" s="16">
        <v>-1</v>
      </c>
      <c r="D4" s="16">
        <v>-0.99999999999999856</v>
      </c>
      <c r="E4" s="16">
        <f>B4*C4</f>
        <v>1</v>
      </c>
      <c r="F4" s="16">
        <f>B4*D4</f>
        <v>0.99999999999999856</v>
      </c>
      <c r="G4" s="16">
        <f>C4*D4</f>
        <v>0.99999999999999856</v>
      </c>
      <c r="H4" s="16">
        <f>B4*C4*D4</f>
        <v>-0.99999999999999856</v>
      </c>
      <c r="I4" s="8">
        <v>57.587899999999998</v>
      </c>
    </row>
    <row r="5" spans="1:16">
      <c r="B5" s="19">
        <v>-1</v>
      </c>
      <c r="C5" s="16">
        <v>-1</v>
      </c>
      <c r="D5" s="16">
        <v>-0.99999999999999856</v>
      </c>
      <c r="E5" s="16">
        <f t="shared" ref="E5:E19" si="0">B5*C5</f>
        <v>1</v>
      </c>
      <c r="F5" s="16">
        <f t="shared" ref="F5:F19" si="1">B5*D5</f>
        <v>0.99999999999999856</v>
      </c>
      <c r="G5" s="16">
        <f t="shared" ref="G5:G19" si="2">C5*D5</f>
        <v>0.99999999999999856</v>
      </c>
      <c r="H5" s="16">
        <f t="shared" ref="H5:H19" si="3">B5*C5*D5</f>
        <v>-0.99999999999999856</v>
      </c>
      <c r="I5" s="8">
        <v>49.809399999999997</v>
      </c>
      <c r="K5" s="66" t="s">
        <v>55</v>
      </c>
      <c r="L5" s="66"/>
    </row>
    <row r="6" spans="1:16">
      <c r="B6" s="19">
        <v>1</v>
      </c>
      <c r="C6" s="16">
        <v>-1</v>
      </c>
      <c r="D6" s="16">
        <v>-0.99999999999999856</v>
      </c>
      <c r="E6" s="16">
        <f t="shared" si="0"/>
        <v>-1</v>
      </c>
      <c r="F6" s="16">
        <f t="shared" si="1"/>
        <v>-0.99999999999999856</v>
      </c>
      <c r="G6" s="16">
        <f t="shared" si="2"/>
        <v>0.99999999999999856</v>
      </c>
      <c r="H6" s="16">
        <f t="shared" si="3"/>
        <v>0.99999999999999856</v>
      </c>
      <c r="I6" s="8">
        <v>134.75299999999999</v>
      </c>
      <c r="K6" t="s">
        <v>56</v>
      </c>
      <c r="L6">
        <v>0.99316460232256598</v>
      </c>
    </row>
    <row r="7" spans="1:16">
      <c r="B7" s="19">
        <v>1</v>
      </c>
      <c r="C7" s="16">
        <v>-1</v>
      </c>
      <c r="D7" s="16">
        <v>-0.99999999999999856</v>
      </c>
      <c r="E7" s="16">
        <f t="shared" si="0"/>
        <v>-1</v>
      </c>
      <c r="F7" s="16">
        <f t="shared" si="1"/>
        <v>-0.99999999999999856</v>
      </c>
      <c r="G7" s="16">
        <f t="shared" si="2"/>
        <v>0.99999999999999856</v>
      </c>
      <c r="H7" s="16">
        <f t="shared" si="3"/>
        <v>0.99999999999999856</v>
      </c>
      <c r="I7" s="8">
        <v>155.63220000000001</v>
      </c>
      <c r="K7" t="s">
        <v>57</v>
      </c>
      <c r="L7">
        <v>0.98637592730654067</v>
      </c>
    </row>
    <row r="8" spans="1:16">
      <c r="B8" s="19">
        <v>-1</v>
      </c>
      <c r="C8" s="16">
        <v>1</v>
      </c>
      <c r="D8" s="16">
        <v>-0.99999999999999856</v>
      </c>
      <c r="E8" s="16">
        <f t="shared" si="0"/>
        <v>-1</v>
      </c>
      <c r="F8" s="16">
        <f t="shared" si="1"/>
        <v>0.99999999999999856</v>
      </c>
      <c r="G8" s="16">
        <f t="shared" si="2"/>
        <v>-0.99999999999999856</v>
      </c>
      <c r="H8" s="16">
        <f t="shared" si="3"/>
        <v>0.99999999999999856</v>
      </c>
      <c r="I8" s="8">
        <v>80.768600000000006</v>
      </c>
      <c r="K8" t="s">
        <v>58</v>
      </c>
      <c r="L8">
        <v>0.97445486369976386</v>
      </c>
    </row>
    <row r="9" spans="1:16">
      <c r="B9" s="19">
        <v>-1</v>
      </c>
      <c r="C9" s="16">
        <v>1</v>
      </c>
      <c r="D9" s="16">
        <v>-0.99999999999999856</v>
      </c>
      <c r="E9" s="16">
        <f t="shared" si="0"/>
        <v>-1</v>
      </c>
      <c r="F9" s="16">
        <f t="shared" si="1"/>
        <v>0.99999999999999856</v>
      </c>
      <c r="G9" s="16">
        <f t="shared" si="2"/>
        <v>-0.99999999999999856</v>
      </c>
      <c r="H9" s="16">
        <f t="shared" si="3"/>
        <v>0.99999999999999856</v>
      </c>
      <c r="I9" s="8">
        <v>82.413600000000002</v>
      </c>
      <c r="K9" t="s">
        <v>59</v>
      </c>
      <c r="L9">
        <v>8.3999895107077478</v>
      </c>
    </row>
    <row r="10" spans="1:16" ht="15" thickBot="1">
      <c r="B10" s="19">
        <v>1</v>
      </c>
      <c r="C10" s="16">
        <v>1</v>
      </c>
      <c r="D10" s="16">
        <v>-0.99999999999999856</v>
      </c>
      <c r="E10" s="16">
        <f t="shared" si="0"/>
        <v>1</v>
      </c>
      <c r="F10" s="16">
        <f t="shared" si="1"/>
        <v>-0.99999999999999856</v>
      </c>
      <c r="G10" s="16">
        <f t="shared" si="2"/>
        <v>-0.99999999999999856</v>
      </c>
      <c r="H10" s="16">
        <f t="shared" si="3"/>
        <v>-0.99999999999999856</v>
      </c>
      <c r="I10" s="8">
        <v>155.62880000000001</v>
      </c>
      <c r="K10" s="64" t="s">
        <v>60</v>
      </c>
      <c r="L10" s="64">
        <v>16</v>
      </c>
    </row>
    <row r="11" spans="1:16">
      <c r="B11" s="19">
        <v>1</v>
      </c>
      <c r="C11" s="16">
        <v>1</v>
      </c>
      <c r="D11" s="16">
        <v>-0.99999999999999856</v>
      </c>
      <c r="E11" s="16">
        <f t="shared" si="0"/>
        <v>1</v>
      </c>
      <c r="F11" s="16">
        <f t="shared" si="1"/>
        <v>-0.99999999999999856</v>
      </c>
      <c r="G11" s="16">
        <f t="shared" si="2"/>
        <v>-0.99999999999999856</v>
      </c>
      <c r="H11" s="16">
        <f t="shared" si="3"/>
        <v>-0.99999999999999856</v>
      </c>
      <c r="I11" s="8">
        <v>144.9699</v>
      </c>
    </row>
    <row r="12" spans="1:16" ht="15" thickBot="1">
      <c r="B12" s="19">
        <v>-1</v>
      </c>
      <c r="C12" s="16">
        <v>-1</v>
      </c>
      <c r="D12" s="16">
        <v>1.0000000000000013</v>
      </c>
      <c r="E12" s="16">
        <f t="shared" si="0"/>
        <v>1</v>
      </c>
      <c r="F12" s="16">
        <f t="shared" si="1"/>
        <v>-1.0000000000000013</v>
      </c>
      <c r="G12" s="16">
        <f t="shared" si="2"/>
        <v>-1.0000000000000013</v>
      </c>
      <c r="H12" s="16">
        <f t="shared" si="3"/>
        <v>1.0000000000000013</v>
      </c>
      <c r="I12" s="8">
        <v>98.2774</v>
      </c>
      <c r="K12" t="s">
        <v>61</v>
      </c>
    </row>
    <row r="13" spans="1:16">
      <c r="B13" s="19">
        <v>-1</v>
      </c>
      <c r="C13" s="16">
        <v>-1</v>
      </c>
      <c r="D13" s="16">
        <v>1.0000000000000013</v>
      </c>
      <c r="E13" s="16">
        <f t="shared" si="0"/>
        <v>1</v>
      </c>
      <c r="F13" s="16">
        <f t="shared" si="1"/>
        <v>-1.0000000000000013</v>
      </c>
      <c r="G13" s="16">
        <f t="shared" si="2"/>
        <v>-1.0000000000000013</v>
      </c>
      <c r="H13" s="16">
        <f t="shared" si="3"/>
        <v>1.0000000000000013</v>
      </c>
      <c r="I13" s="8">
        <v>103.02</v>
      </c>
      <c r="K13" s="65"/>
      <c r="L13" s="65" t="s">
        <v>66</v>
      </c>
      <c r="M13" s="65" t="s">
        <v>67</v>
      </c>
      <c r="N13" s="65" t="s">
        <v>68</v>
      </c>
      <c r="O13" s="65" t="s">
        <v>69</v>
      </c>
      <c r="P13" s="65" t="s">
        <v>70</v>
      </c>
    </row>
    <row r="14" spans="1:16">
      <c r="B14" s="19">
        <v>1</v>
      </c>
      <c r="C14" s="16">
        <v>-1</v>
      </c>
      <c r="D14" s="16">
        <v>1.0000000000000013</v>
      </c>
      <c r="E14" s="16">
        <f t="shared" si="0"/>
        <v>-1</v>
      </c>
      <c r="F14" s="16">
        <f t="shared" si="1"/>
        <v>1.0000000000000013</v>
      </c>
      <c r="G14" s="16">
        <f t="shared" si="2"/>
        <v>-1.0000000000000013</v>
      </c>
      <c r="H14" s="16">
        <f t="shared" si="3"/>
        <v>-1.0000000000000013</v>
      </c>
      <c r="I14" s="8">
        <v>211.4195</v>
      </c>
      <c r="K14" t="s">
        <v>62</v>
      </c>
      <c r="L14">
        <v>7</v>
      </c>
      <c r="M14">
        <v>40867.962570397496</v>
      </c>
      <c r="N14">
        <v>5838.2803671996426</v>
      </c>
      <c r="O14">
        <v>82.742275340750936</v>
      </c>
      <c r="P14">
        <v>7.8646357276583404E-7</v>
      </c>
    </row>
    <row r="15" spans="1:16">
      <c r="B15" s="19">
        <v>1</v>
      </c>
      <c r="C15" s="16">
        <v>-1</v>
      </c>
      <c r="D15" s="16">
        <v>1.0000000000000013</v>
      </c>
      <c r="E15" s="16">
        <f t="shared" si="0"/>
        <v>-1</v>
      </c>
      <c r="F15" s="16">
        <f t="shared" si="1"/>
        <v>1.0000000000000013</v>
      </c>
      <c r="G15" s="16">
        <f t="shared" si="2"/>
        <v>-1.0000000000000013</v>
      </c>
      <c r="H15" s="16">
        <f t="shared" si="3"/>
        <v>-1.0000000000000013</v>
      </c>
      <c r="I15" s="8">
        <v>190.82329999999999</v>
      </c>
      <c r="K15" t="s">
        <v>63</v>
      </c>
      <c r="L15">
        <v>8</v>
      </c>
      <c r="M15">
        <v>564.47859024000161</v>
      </c>
      <c r="N15">
        <v>70.559823780000201</v>
      </c>
    </row>
    <row r="16" spans="1:16" ht="15" thickBot="1">
      <c r="B16" s="19">
        <v>-1</v>
      </c>
      <c r="C16" s="16">
        <v>1</v>
      </c>
      <c r="D16" s="16">
        <v>1.0000000000000013</v>
      </c>
      <c r="E16" s="16">
        <f t="shared" si="0"/>
        <v>-1</v>
      </c>
      <c r="F16" s="16">
        <f t="shared" si="1"/>
        <v>-1.0000000000000013</v>
      </c>
      <c r="G16" s="16">
        <f t="shared" si="2"/>
        <v>1.0000000000000013</v>
      </c>
      <c r="H16" s="16">
        <f t="shared" si="3"/>
        <v>-1.0000000000000013</v>
      </c>
      <c r="I16" s="8">
        <v>137.57159999999999</v>
      </c>
      <c r="K16" s="64" t="s">
        <v>64</v>
      </c>
      <c r="L16" s="64">
        <v>15</v>
      </c>
      <c r="M16" s="64">
        <v>41432.4411606375</v>
      </c>
      <c r="N16" s="64"/>
      <c r="O16" s="64"/>
      <c r="P16" s="64"/>
    </row>
    <row r="17" spans="2:19" ht="15" thickBot="1">
      <c r="B17" s="19">
        <v>-1</v>
      </c>
      <c r="C17" s="16">
        <v>1</v>
      </c>
      <c r="D17" s="16">
        <v>1.0000000000000013</v>
      </c>
      <c r="E17" s="16">
        <f t="shared" si="0"/>
        <v>-1</v>
      </c>
      <c r="F17" s="16">
        <f t="shared" si="1"/>
        <v>-1.0000000000000013</v>
      </c>
      <c r="G17" s="16">
        <f t="shared" si="2"/>
        <v>1.0000000000000013</v>
      </c>
      <c r="H17" s="16">
        <f t="shared" si="3"/>
        <v>-1.0000000000000013</v>
      </c>
      <c r="I17" s="8">
        <v>129.2389</v>
      </c>
    </row>
    <row r="18" spans="2:19">
      <c r="B18" s="19">
        <v>1</v>
      </c>
      <c r="C18" s="16">
        <v>1</v>
      </c>
      <c r="D18" s="16">
        <v>1.0000000000000013</v>
      </c>
      <c r="E18" s="16">
        <f t="shared" si="0"/>
        <v>1</v>
      </c>
      <c r="F18" s="16">
        <f t="shared" si="1"/>
        <v>1.0000000000000013</v>
      </c>
      <c r="G18" s="16">
        <f t="shared" si="2"/>
        <v>1.0000000000000013</v>
      </c>
      <c r="H18" s="16">
        <f t="shared" si="3"/>
        <v>1.0000000000000013</v>
      </c>
      <c r="I18" s="8">
        <v>206.4453</v>
      </c>
      <c r="K18" s="65"/>
      <c r="L18" s="65" t="s">
        <v>71</v>
      </c>
      <c r="M18" s="65" t="s">
        <v>59</v>
      </c>
      <c r="N18" s="65" t="s">
        <v>72</v>
      </c>
      <c r="O18" s="65" t="s">
        <v>73</v>
      </c>
      <c r="P18" s="65" t="s">
        <v>74</v>
      </c>
      <c r="Q18" s="65" t="s">
        <v>75</v>
      </c>
      <c r="R18" s="65" t="s">
        <v>76</v>
      </c>
      <c r="S18" s="65" t="s">
        <v>77</v>
      </c>
    </row>
    <row r="19" spans="2:19" ht="15" thickBot="1">
      <c r="B19" s="21">
        <v>1</v>
      </c>
      <c r="C19" s="22">
        <v>1</v>
      </c>
      <c r="D19" s="22">
        <v>1.0000000000000013</v>
      </c>
      <c r="E19" s="22">
        <f t="shared" si="0"/>
        <v>1</v>
      </c>
      <c r="F19" s="22">
        <f t="shared" si="1"/>
        <v>1.0000000000000013</v>
      </c>
      <c r="G19" s="22">
        <f t="shared" si="2"/>
        <v>1.0000000000000013</v>
      </c>
      <c r="H19" s="22">
        <f t="shared" si="3"/>
        <v>1.0000000000000013</v>
      </c>
      <c r="I19" s="11">
        <v>206.1936</v>
      </c>
      <c r="K19" t="s">
        <v>65</v>
      </c>
      <c r="L19">
        <v>134.03456249999996</v>
      </c>
      <c r="M19">
        <v>2.0999973776769369</v>
      </c>
      <c r="N19">
        <v>63.826061844073315</v>
      </c>
      <c r="O19">
        <v>4.0379998134975813E-12</v>
      </c>
      <c r="P19">
        <v>129.19195986315904</v>
      </c>
      <c r="Q19">
        <v>138.87716513684089</v>
      </c>
      <c r="R19">
        <v>129.19195986315904</v>
      </c>
      <c r="S19">
        <v>138.87716513684089</v>
      </c>
    </row>
    <row r="20" spans="2:19">
      <c r="K20" t="s">
        <v>8</v>
      </c>
      <c r="L20">
        <v>41.698637499999997</v>
      </c>
      <c r="M20">
        <v>2.0999973776769369</v>
      </c>
      <c r="N20">
        <v>19.856518842955861</v>
      </c>
      <c r="O20">
        <v>4.3110460757314491E-8</v>
      </c>
      <c r="P20">
        <v>36.856034863159074</v>
      </c>
      <c r="Q20">
        <v>46.541240136840919</v>
      </c>
      <c r="R20">
        <v>36.856034863159074</v>
      </c>
      <c r="S20">
        <v>46.541240136840919</v>
      </c>
    </row>
    <row r="21" spans="2:19">
      <c r="K21" t="s">
        <v>10</v>
      </c>
      <c r="L21">
        <v>8.869225000000009</v>
      </c>
      <c r="M21">
        <v>2.0999973776769369</v>
      </c>
      <c r="N21">
        <v>4.2234457501139069</v>
      </c>
      <c r="O21">
        <v>2.9021593001057407E-3</v>
      </c>
      <c r="P21">
        <v>4.0266223631590856</v>
      </c>
      <c r="Q21">
        <v>13.711827636840933</v>
      </c>
      <c r="R21">
        <v>4.0266223631590856</v>
      </c>
      <c r="S21">
        <v>13.711827636840933</v>
      </c>
    </row>
    <row r="22" spans="2:19">
      <c r="K22" t="s">
        <v>9</v>
      </c>
      <c r="L22">
        <v>26.339137500000003</v>
      </c>
      <c r="M22">
        <v>2.0999973776769369</v>
      </c>
      <c r="N22">
        <v>12.542462090660766</v>
      </c>
      <c r="O22">
        <v>1.5295756478432514E-6</v>
      </c>
      <c r="P22">
        <v>21.496534863159081</v>
      </c>
      <c r="Q22">
        <v>31.181740136840926</v>
      </c>
      <c r="R22">
        <v>21.496534863159081</v>
      </c>
      <c r="S22">
        <v>31.181740136840926</v>
      </c>
    </row>
    <row r="23" spans="2:19">
      <c r="K23" t="s">
        <v>39</v>
      </c>
      <c r="L23">
        <v>-6.2930249999999921</v>
      </c>
      <c r="M23">
        <v>2.0999973776769369</v>
      </c>
      <c r="N23">
        <v>-2.9966823134614931</v>
      </c>
      <c r="O23">
        <v>1.7158231408321359E-2</v>
      </c>
      <c r="P23">
        <v>-11.135627636840915</v>
      </c>
      <c r="Q23">
        <v>-1.4504223631590687</v>
      </c>
      <c r="R23">
        <v>-11.135627636840915</v>
      </c>
      <c r="S23">
        <v>-1.4504223631590687</v>
      </c>
    </row>
    <row r="24" spans="2:19" ht="15">
      <c r="K24" s="28" t="s">
        <v>40</v>
      </c>
      <c r="L24" s="28">
        <v>1.648087499999997</v>
      </c>
      <c r="M24" s="28">
        <v>2.0999973776769369</v>
      </c>
      <c r="N24" s="28">
        <v>0.78480455143384398</v>
      </c>
      <c r="O24" s="28">
        <v>0.45517797677957061</v>
      </c>
      <c r="P24" s="28">
        <v>-3.1945151368409261</v>
      </c>
      <c r="Q24" s="28">
        <v>6.4906901368409207</v>
      </c>
      <c r="R24" s="28">
        <v>-3.1945151368409261</v>
      </c>
      <c r="S24" s="28">
        <v>6.4906901368409207</v>
      </c>
    </row>
    <row r="25" spans="2:19" ht="15">
      <c r="K25" s="28" t="s">
        <v>41</v>
      </c>
      <c r="L25" s="28">
        <v>0.61942499999999323</v>
      </c>
      <c r="M25" s="28">
        <v>2.0999973776769369</v>
      </c>
      <c r="N25" s="28">
        <v>0.29496465404409922</v>
      </c>
      <c r="O25" s="28">
        <v>0.77553070813316471</v>
      </c>
      <c r="P25" s="28">
        <v>-4.2231776368409299</v>
      </c>
      <c r="Q25" s="28">
        <v>5.4620276368409169</v>
      </c>
      <c r="R25" s="28">
        <v>-4.2231776368409299</v>
      </c>
      <c r="S25" s="28">
        <v>5.4620276368409169</v>
      </c>
    </row>
    <row r="26" spans="2:19" ht="15.75" thickBot="1">
      <c r="K26" s="67" t="s">
        <v>42</v>
      </c>
      <c r="L26" s="67">
        <v>-0.59659999999999569</v>
      </c>
      <c r="M26" s="67">
        <v>2.0999973776769369</v>
      </c>
      <c r="N26" s="67">
        <v>-0.2840955928525814</v>
      </c>
      <c r="O26" s="67">
        <v>0.78355157336522008</v>
      </c>
      <c r="P26" s="67">
        <v>-5.4392026368409194</v>
      </c>
      <c r="Q26" s="67">
        <v>4.2460026368409274</v>
      </c>
      <c r="R26" s="67">
        <v>-5.4392026368409194</v>
      </c>
      <c r="S26" s="67">
        <v>4.2460026368409274</v>
      </c>
    </row>
    <row r="29" spans="2:19" ht="15">
      <c r="B29" s="28" t="s">
        <v>78</v>
      </c>
    </row>
    <row r="30" spans="2:19" ht="15">
      <c r="B30" s="28" t="s">
        <v>79</v>
      </c>
    </row>
    <row r="31" spans="2:19" ht="15">
      <c r="B31" s="28" t="s">
        <v>80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60"/>
  <sheetViews>
    <sheetView zoomScaleNormal="100" workbookViewId="0">
      <selection activeCell="K33" sqref="K33"/>
    </sheetView>
  </sheetViews>
  <sheetFormatPr defaultRowHeight="14.25"/>
  <cols>
    <col min="2" max="2" width="15.375" customWidth="1"/>
    <col min="6" max="6" width="16.125" customWidth="1"/>
    <col min="8" max="8" width="12.625" customWidth="1"/>
    <col min="10" max="10" width="16.625" customWidth="1"/>
  </cols>
  <sheetData>
    <row r="1" spans="1:13" ht="15">
      <c r="A1" s="28" t="s">
        <v>81</v>
      </c>
    </row>
    <row r="2" spans="1:13" ht="15" thickBot="1"/>
    <row r="3" spans="1:13" ht="15">
      <c r="B3" s="62" t="s">
        <v>8</v>
      </c>
      <c r="C3" s="63" t="s">
        <v>10</v>
      </c>
      <c r="D3" s="63" t="s">
        <v>9</v>
      </c>
      <c r="E3" s="63" t="s">
        <v>39</v>
      </c>
      <c r="F3" s="26" t="s">
        <v>11</v>
      </c>
      <c r="G3" s="27"/>
      <c r="H3" t="s">
        <v>54</v>
      </c>
    </row>
    <row r="4" spans="1:13" ht="15" thickBot="1">
      <c r="B4" s="19">
        <v>-1</v>
      </c>
      <c r="C4" s="16">
        <v>-1</v>
      </c>
      <c r="D4" s="16">
        <v>-0.99999999999999856</v>
      </c>
      <c r="E4" s="16">
        <f>B4*C4</f>
        <v>1</v>
      </c>
      <c r="F4" s="8">
        <v>57.587899999999998</v>
      </c>
    </row>
    <row r="5" spans="1:13">
      <c r="B5" s="19">
        <v>-1</v>
      </c>
      <c r="C5" s="16">
        <v>-1</v>
      </c>
      <c r="D5" s="16">
        <v>-0.99999999999999856</v>
      </c>
      <c r="E5" s="16">
        <f t="shared" ref="E5:E19" si="0">B5*C5</f>
        <v>1</v>
      </c>
      <c r="F5" s="8">
        <v>49.809399999999997</v>
      </c>
      <c r="H5" s="66" t="s">
        <v>55</v>
      </c>
      <c r="I5" s="66"/>
    </row>
    <row r="6" spans="1:13">
      <c r="B6" s="19">
        <v>1</v>
      </c>
      <c r="C6" s="16">
        <v>-1</v>
      </c>
      <c r="D6" s="16">
        <v>-0.99999999999999856</v>
      </c>
      <c r="E6" s="16">
        <f t="shared" si="0"/>
        <v>-1</v>
      </c>
      <c r="F6" s="8">
        <v>134.75299999999999</v>
      </c>
      <c r="H6" t="s">
        <v>56</v>
      </c>
      <c r="I6">
        <v>0.99249251574264696</v>
      </c>
    </row>
    <row r="7" spans="1:13">
      <c r="B7" s="19">
        <v>1</v>
      </c>
      <c r="C7" s="16">
        <v>-1</v>
      </c>
      <c r="D7" s="16">
        <v>-0.99999999999999856</v>
      </c>
      <c r="E7" s="16">
        <f t="shared" si="0"/>
        <v>-1</v>
      </c>
      <c r="F7" s="8">
        <v>155.63220000000001</v>
      </c>
      <c r="H7" t="s">
        <v>57</v>
      </c>
      <c r="I7">
        <v>0.98504139380516842</v>
      </c>
    </row>
    <row r="8" spans="1:13">
      <c r="B8" s="19">
        <v>-1</v>
      </c>
      <c r="C8" s="16">
        <v>1</v>
      </c>
      <c r="D8" s="16">
        <v>-0.99999999999999856</v>
      </c>
      <c r="E8" s="16">
        <f t="shared" si="0"/>
        <v>-1</v>
      </c>
      <c r="F8" s="8">
        <v>80.768600000000006</v>
      </c>
      <c r="H8" t="s">
        <v>58</v>
      </c>
      <c r="I8">
        <v>0.97960190064341146</v>
      </c>
    </row>
    <row r="9" spans="1:13">
      <c r="B9" s="19">
        <v>-1</v>
      </c>
      <c r="C9" s="16">
        <v>1</v>
      </c>
      <c r="D9" s="16">
        <v>-0.99999999999999856</v>
      </c>
      <c r="E9" s="16">
        <f t="shared" si="0"/>
        <v>-1</v>
      </c>
      <c r="F9" s="8">
        <v>82.413600000000002</v>
      </c>
      <c r="H9" t="s">
        <v>59</v>
      </c>
      <c r="I9">
        <v>7.5061887860648424</v>
      </c>
    </row>
    <row r="10" spans="1:13" ht="15" thickBot="1">
      <c r="B10" s="19">
        <v>1</v>
      </c>
      <c r="C10" s="16">
        <v>1</v>
      </c>
      <c r="D10" s="16">
        <v>-0.99999999999999856</v>
      </c>
      <c r="E10" s="16">
        <f t="shared" si="0"/>
        <v>1</v>
      </c>
      <c r="F10" s="8">
        <v>155.62880000000001</v>
      </c>
      <c r="H10" s="64" t="s">
        <v>60</v>
      </c>
      <c r="I10" s="64">
        <v>16</v>
      </c>
    </row>
    <row r="11" spans="1:13">
      <c r="B11" s="19">
        <v>1</v>
      </c>
      <c r="C11" s="16">
        <v>1</v>
      </c>
      <c r="D11" s="16">
        <v>-0.99999999999999856</v>
      </c>
      <c r="E11" s="16">
        <f t="shared" si="0"/>
        <v>1</v>
      </c>
      <c r="F11" s="8">
        <v>144.9699</v>
      </c>
    </row>
    <row r="12" spans="1:13" ht="15" thickBot="1">
      <c r="B12" s="19">
        <v>-1</v>
      </c>
      <c r="C12" s="16">
        <v>-1</v>
      </c>
      <c r="D12" s="16">
        <v>1.0000000000000013</v>
      </c>
      <c r="E12" s="16">
        <f t="shared" si="0"/>
        <v>1</v>
      </c>
      <c r="F12" s="8">
        <v>98.2774</v>
      </c>
      <c r="H12" t="s">
        <v>61</v>
      </c>
    </row>
    <row r="13" spans="1:13">
      <c r="B13" s="19">
        <v>-1</v>
      </c>
      <c r="C13" s="16">
        <v>-1</v>
      </c>
      <c r="D13" s="16">
        <v>1.0000000000000013</v>
      </c>
      <c r="E13" s="16">
        <f t="shared" si="0"/>
        <v>1</v>
      </c>
      <c r="F13" s="8">
        <v>103.02</v>
      </c>
      <c r="H13" s="65"/>
      <c r="I13" s="65" t="s">
        <v>66</v>
      </c>
      <c r="J13" s="65" t="s">
        <v>67</v>
      </c>
      <c r="K13" s="65" t="s">
        <v>68</v>
      </c>
      <c r="L13" s="65" t="s">
        <v>69</v>
      </c>
      <c r="M13" s="65" t="s">
        <v>70</v>
      </c>
    </row>
    <row r="14" spans="1:13">
      <c r="B14" s="19">
        <v>1</v>
      </c>
      <c r="C14" s="16">
        <v>-1</v>
      </c>
      <c r="D14" s="16">
        <v>1.0000000000000013</v>
      </c>
      <c r="E14" s="16">
        <f t="shared" si="0"/>
        <v>-1</v>
      </c>
      <c r="F14" s="8">
        <v>211.4195</v>
      </c>
      <c r="H14" t="s">
        <v>62</v>
      </c>
      <c r="I14">
        <v>4</v>
      </c>
      <c r="J14">
        <v>40812.669589624995</v>
      </c>
      <c r="K14">
        <v>10203.167397406249</v>
      </c>
      <c r="L14">
        <v>181.09065762425047</v>
      </c>
      <c r="M14">
        <v>5.878716179378426E-10</v>
      </c>
    </row>
    <row r="15" spans="1:13">
      <c r="B15" s="19">
        <v>1</v>
      </c>
      <c r="C15" s="16">
        <v>-1</v>
      </c>
      <c r="D15" s="16">
        <v>1.0000000000000013</v>
      </c>
      <c r="E15" s="16">
        <f t="shared" si="0"/>
        <v>-1</v>
      </c>
      <c r="F15" s="8">
        <v>190.82329999999999</v>
      </c>
      <c r="H15" t="s">
        <v>63</v>
      </c>
      <c r="I15">
        <v>11</v>
      </c>
      <c r="J15">
        <v>619.77157101250145</v>
      </c>
      <c r="K15">
        <v>56.342870092045587</v>
      </c>
    </row>
    <row r="16" spans="1:13" ht="15" thickBot="1">
      <c r="B16" s="19">
        <v>-1</v>
      </c>
      <c r="C16" s="16">
        <v>1</v>
      </c>
      <c r="D16" s="16">
        <v>1.0000000000000013</v>
      </c>
      <c r="E16" s="16">
        <f t="shared" si="0"/>
        <v>-1</v>
      </c>
      <c r="F16" s="8">
        <v>137.57159999999999</v>
      </c>
      <c r="H16" s="64" t="s">
        <v>64</v>
      </c>
      <c r="I16" s="64">
        <v>15</v>
      </c>
      <c r="J16" s="64">
        <v>41432.4411606375</v>
      </c>
      <c r="K16" s="64"/>
      <c r="L16" s="64"/>
      <c r="M16" s="64"/>
    </row>
    <row r="17" spans="1:16" ht="15" thickBot="1">
      <c r="B17" s="19">
        <v>-1</v>
      </c>
      <c r="C17" s="16">
        <v>1</v>
      </c>
      <c r="D17" s="16">
        <v>1.0000000000000013</v>
      </c>
      <c r="E17" s="16">
        <f t="shared" si="0"/>
        <v>-1</v>
      </c>
      <c r="F17" s="8">
        <v>129.2389</v>
      </c>
    </row>
    <row r="18" spans="1:16">
      <c r="B18" s="19">
        <v>1</v>
      </c>
      <c r="C18" s="16">
        <v>1</v>
      </c>
      <c r="D18" s="16">
        <v>1.0000000000000013</v>
      </c>
      <c r="E18" s="16">
        <f t="shared" si="0"/>
        <v>1</v>
      </c>
      <c r="F18" s="8">
        <v>206.4453</v>
      </c>
      <c r="H18" s="65"/>
      <c r="I18" s="65" t="s">
        <v>71</v>
      </c>
      <c r="J18" s="65" t="s">
        <v>59</v>
      </c>
      <c r="K18" s="65" t="s">
        <v>72</v>
      </c>
      <c r="L18" s="65" t="s">
        <v>73</v>
      </c>
      <c r="M18" s="65" t="s">
        <v>74</v>
      </c>
      <c r="N18" s="65" t="s">
        <v>75</v>
      </c>
      <c r="O18" s="65" t="s">
        <v>76</v>
      </c>
      <c r="P18" s="65" t="s">
        <v>77</v>
      </c>
    </row>
    <row r="19" spans="1:16" ht="15" thickBot="1">
      <c r="B19" s="21">
        <v>1</v>
      </c>
      <c r="C19" s="22">
        <v>1</v>
      </c>
      <c r="D19" s="22">
        <v>1.0000000000000013</v>
      </c>
      <c r="E19" s="22">
        <f t="shared" si="0"/>
        <v>1</v>
      </c>
      <c r="F19" s="11">
        <v>206.1936</v>
      </c>
      <c r="H19" t="s">
        <v>65</v>
      </c>
      <c r="I19">
        <v>134.03456249999996</v>
      </c>
      <c r="J19">
        <v>1.8765471965162106</v>
      </c>
      <c r="K19">
        <v>71.426161169212079</v>
      </c>
      <c r="L19">
        <v>5.0334671959967023E-16</v>
      </c>
      <c r="M19">
        <v>129.90430996825623</v>
      </c>
      <c r="N19">
        <v>138.1648150317437</v>
      </c>
      <c r="O19">
        <v>129.90430996825623</v>
      </c>
      <c r="P19">
        <v>138.1648150317437</v>
      </c>
    </row>
    <row r="20" spans="1:16">
      <c r="H20" t="s">
        <v>8</v>
      </c>
      <c r="I20">
        <v>41.698637500000018</v>
      </c>
      <c r="J20">
        <v>1.8765471965162106</v>
      </c>
      <c r="K20">
        <v>22.220937249760137</v>
      </c>
      <c r="L20">
        <v>1.7221650648627129E-10</v>
      </c>
      <c r="M20">
        <v>37.568384968256268</v>
      </c>
      <c r="N20">
        <v>45.828890031743768</v>
      </c>
      <c r="O20">
        <v>37.568384968256268</v>
      </c>
      <c r="P20">
        <v>45.828890031743768</v>
      </c>
    </row>
    <row r="21" spans="1:16">
      <c r="H21" t="s">
        <v>10</v>
      </c>
      <c r="I21">
        <v>8.8692250000000001</v>
      </c>
      <c r="J21">
        <v>1.8765471965162106</v>
      </c>
      <c r="K21">
        <v>4.7263532814232541</v>
      </c>
      <c r="L21">
        <v>6.2301661323789189E-4</v>
      </c>
      <c r="M21">
        <v>4.7389724682562528</v>
      </c>
      <c r="N21">
        <v>12.999477531743747</v>
      </c>
      <c r="O21">
        <v>4.7389724682562528</v>
      </c>
      <c r="P21">
        <v>12.999477531743747</v>
      </c>
    </row>
    <row r="22" spans="1:16">
      <c r="H22" t="s">
        <v>9</v>
      </c>
      <c r="I22">
        <v>26.339137500000014</v>
      </c>
      <c r="J22">
        <v>1.8765471965162106</v>
      </c>
      <c r="K22">
        <v>14.03595792788923</v>
      </c>
      <c r="L22">
        <v>2.2885185374491089E-8</v>
      </c>
      <c r="M22">
        <v>22.208884968256267</v>
      </c>
      <c r="N22">
        <v>30.46939003174376</v>
      </c>
      <c r="O22">
        <v>22.208884968256267</v>
      </c>
      <c r="P22">
        <v>30.46939003174376</v>
      </c>
    </row>
    <row r="23" spans="1:16" ht="15" thickBot="1">
      <c r="H23" s="64" t="s">
        <v>39</v>
      </c>
      <c r="I23" s="64">
        <v>-6.2930249999999974</v>
      </c>
      <c r="J23" s="64">
        <v>1.8765471965162106</v>
      </c>
      <c r="K23" s="64">
        <v>-3.3535127769143935</v>
      </c>
      <c r="L23" s="64">
        <v>6.4374146923409275E-3</v>
      </c>
      <c r="M23" s="64">
        <v>-10.423277531743745</v>
      </c>
      <c r="N23" s="64">
        <v>-2.1627724682562501</v>
      </c>
      <c r="O23" s="64">
        <v>-10.423277531743745</v>
      </c>
      <c r="P23" s="64">
        <v>-2.1627724682562501</v>
      </c>
    </row>
    <row r="25" spans="1:16">
      <c r="B25" s="77" t="s">
        <v>82</v>
      </c>
      <c r="C25" s="78">
        <f>I19</f>
        <v>134.03456249999996</v>
      </c>
      <c r="D25" s="79" t="s">
        <v>83</v>
      </c>
      <c r="E25" s="78">
        <f>I20</f>
        <v>41.698637500000018</v>
      </c>
      <c r="F25" s="79" t="s">
        <v>84</v>
      </c>
      <c r="G25" s="78">
        <f>I21</f>
        <v>8.8692250000000001</v>
      </c>
      <c r="H25" s="79" t="s">
        <v>85</v>
      </c>
      <c r="I25" s="78">
        <f>I22</f>
        <v>26.339137500000014</v>
      </c>
      <c r="J25" s="79" t="s">
        <v>86</v>
      </c>
      <c r="K25" s="78">
        <f>I23</f>
        <v>-6.2930249999999974</v>
      </c>
      <c r="L25" s="78" t="s">
        <v>87</v>
      </c>
    </row>
    <row r="26" spans="1:16" ht="15">
      <c r="B26" s="74"/>
      <c r="C26" s="27"/>
      <c r="D26" s="75"/>
      <c r="E26" s="27"/>
      <c r="F26" s="75"/>
      <c r="G26" s="27"/>
      <c r="H26" s="75"/>
      <c r="I26" s="27"/>
      <c r="J26" s="75"/>
      <c r="K26" s="27"/>
      <c r="L26" s="27"/>
    </row>
    <row r="27" spans="1:16" ht="15">
      <c r="B27" s="108" t="s">
        <v>105</v>
      </c>
    </row>
    <row r="28" spans="1:16" ht="15">
      <c r="B28" s="76"/>
    </row>
    <row r="29" spans="1:16" ht="15">
      <c r="A29" s="28" t="s">
        <v>88</v>
      </c>
    </row>
    <row r="31" spans="1:16">
      <c r="B31" s="69" t="s">
        <v>89</v>
      </c>
      <c r="C31">
        <f>C25</f>
        <v>134.03456249999996</v>
      </c>
      <c r="D31" t="s">
        <v>83</v>
      </c>
      <c r="E31">
        <f>E25</f>
        <v>41.698637500000018</v>
      </c>
      <c r="F31" t="s">
        <v>90</v>
      </c>
      <c r="G31">
        <f>G25</f>
        <v>8.8692250000000001</v>
      </c>
      <c r="H31" t="s">
        <v>93</v>
      </c>
      <c r="I31">
        <f>I25</f>
        <v>26.339137500000014</v>
      </c>
      <c r="J31" t="s">
        <v>91</v>
      </c>
      <c r="K31">
        <f>K25</f>
        <v>-6.2930249999999974</v>
      </c>
      <c r="L31" t="s">
        <v>92</v>
      </c>
    </row>
    <row r="32" spans="1:16">
      <c r="B32" s="30"/>
    </row>
    <row r="33" spans="1:12">
      <c r="B33" s="69" t="s">
        <v>89</v>
      </c>
      <c r="C33">
        <f>C31+E31*(-13.75/2.25)+G31*(-45/15)+I31*(-4.485/0.315)+K31*(-13.75/2.25)*(-45/15)</f>
        <v>-637.78939265873055</v>
      </c>
      <c r="D33" t="s">
        <v>83</v>
      </c>
      <c r="E33">
        <f>(E31/2.25)+(K31/2.25)*(-45/15)</f>
        <v>26.923427777777782</v>
      </c>
      <c r="F33" t="s">
        <v>94</v>
      </c>
      <c r="G33">
        <f>(G31/15)+(K31/15)*(-13.75/2.25)</f>
        <v>3.1551066666666654</v>
      </c>
      <c r="H33" t="s">
        <v>95</v>
      </c>
      <c r="I33">
        <f>(I31/0.315)</f>
        <v>83.616309523809562</v>
      </c>
      <c r="J33" t="s">
        <v>96</v>
      </c>
      <c r="K33">
        <f>(K31/(2.25*15))</f>
        <v>-0.18645999999999993</v>
      </c>
      <c r="L33" t="s">
        <v>97</v>
      </c>
    </row>
    <row r="35" spans="1:12" ht="15">
      <c r="B35" s="28" t="s">
        <v>98</v>
      </c>
      <c r="F35" s="68"/>
      <c r="L35" s="68"/>
    </row>
    <row r="36" spans="1:12" ht="15">
      <c r="B36" s="70"/>
      <c r="C36" s="70"/>
    </row>
    <row r="37" spans="1:12" ht="15">
      <c r="A37" s="28"/>
      <c r="B37" s="14"/>
      <c r="C37" s="14"/>
    </row>
    <row r="38" spans="1:12">
      <c r="B38" s="14"/>
      <c r="C38" s="14"/>
    </row>
    <row r="39" spans="1:12">
      <c r="B39" s="73"/>
      <c r="C39" s="73"/>
    </row>
    <row r="46" spans="1:12" ht="15">
      <c r="A46" s="27"/>
    </row>
    <row r="48" spans="1:12" ht="15">
      <c r="A48" s="28"/>
    </row>
    <row r="51" spans="1:7">
      <c r="B51" s="73"/>
      <c r="C51" s="73"/>
      <c r="F51" s="73"/>
      <c r="G51" s="73"/>
    </row>
    <row r="58" spans="1:7" ht="15">
      <c r="A58" s="27"/>
    </row>
    <row r="60" spans="1:7" ht="15">
      <c r="A60" s="28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0"/>
  <sheetViews>
    <sheetView zoomScale="115" zoomScaleNormal="115" workbookViewId="0">
      <selection activeCell="M14" sqref="M14"/>
    </sheetView>
  </sheetViews>
  <sheetFormatPr defaultRowHeight="14.25"/>
  <sheetData>
    <row r="1" spans="1:4" ht="15">
      <c r="A1" s="28" t="s">
        <v>99</v>
      </c>
      <c r="B1" s="14"/>
      <c r="C1" s="14"/>
    </row>
    <row r="2" spans="1:4" ht="15" thickBot="1">
      <c r="B2" s="14"/>
      <c r="C2" s="14"/>
    </row>
    <row r="3" spans="1:4">
      <c r="B3" s="66" t="s">
        <v>55</v>
      </c>
      <c r="C3" s="66"/>
    </row>
    <row r="4" spans="1:4">
      <c r="B4" t="s">
        <v>56</v>
      </c>
      <c r="C4">
        <v>0.99249251574264696</v>
      </c>
    </row>
    <row r="5" spans="1:4">
      <c r="B5" s="71" t="s">
        <v>57</v>
      </c>
      <c r="C5" s="71">
        <v>0.98504139380516842</v>
      </c>
      <c r="D5">
        <f>1-C5</f>
        <v>1.4958606194831581E-2</v>
      </c>
    </row>
    <row r="6" spans="1:4">
      <c r="B6" t="s">
        <v>58</v>
      </c>
      <c r="C6">
        <v>0.97960190064341146</v>
      </c>
    </row>
    <row r="7" spans="1:4">
      <c r="B7" t="s">
        <v>59</v>
      </c>
      <c r="C7">
        <v>7.5061887860648424</v>
      </c>
    </row>
    <row r="8" spans="1:4" ht="15" thickBot="1">
      <c r="B8" s="64" t="s">
        <v>60</v>
      </c>
      <c r="C8" s="64">
        <v>16</v>
      </c>
    </row>
    <row r="10" spans="1:4" ht="15">
      <c r="A10" s="27" t="s">
        <v>286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1"/>
  <sheetViews>
    <sheetView zoomScale="115" zoomScaleNormal="115" workbookViewId="0">
      <selection activeCell="I6" sqref="I6"/>
    </sheetView>
  </sheetViews>
  <sheetFormatPr defaultRowHeight="14.25"/>
  <cols>
    <col min="2" max="2" width="16.375" customWidth="1"/>
    <col min="6" max="6" width="15.625" customWidth="1"/>
  </cols>
  <sheetData>
    <row r="1" spans="1:7" ht="15">
      <c r="A1" s="28" t="s">
        <v>100</v>
      </c>
    </row>
    <row r="3" spans="1:7" ht="15" thickBot="1">
      <c r="B3" t="s">
        <v>101</v>
      </c>
      <c r="F3" t="s">
        <v>102</v>
      </c>
    </row>
    <row r="4" spans="1:7">
      <c r="B4" s="66" t="s">
        <v>55</v>
      </c>
      <c r="C4" s="66"/>
      <c r="F4" s="66" t="s">
        <v>55</v>
      </c>
      <c r="G4" s="66"/>
    </row>
    <row r="5" spans="1:7">
      <c r="B5" t="s">
        <v>56</v>
      </c>
      <c r="C5">
        <v>0.99316460232256598</v>
      </c>
      <c r="F5" t="s">
        <v>56</v>
      </c>
      <c r="G5">
        <v>0.99249251574264696</v>
      </c>
    </row>
    <row r="6" spans="1:7">
      <c r="B6" t="s">
        <v>57</v>
      </c>
      <c r="C6">
        <v>0.98637592730654067</v>
      </c>
      <c r="F6" t="s">
        <v>57</v>
      </c>
      <c r="G6">
        <v>0.98504139380516842</v>
      </c>
    </row>
    <row r="7" spans="1:7">
      <c r="B7" s="72" t="s">
        <v>58</v>
      </c>
      <c r="C7" s="72">
        <v>0.97445486369976386</v>
      </c>
      <c r="F7" s="71" t="s">
        <v>58</v>
      </c>
      <c r="G7" s="71">
        <v>0.97960190064341146</v>
      </c>
    </row>
    <row r="8" spans="1:7">
      <c r="B8" t="s">
        <v>59</v>
      </c>
      <c r="C8">
        <v>8.3999895107077478</v>
      </c>
      <c r="F8" t="s">
        <v>59</v>
      </c>
      <c r="G8">
        <v>7.5061887860648424</v>
      </c>
    </row>
    <row r="9" spans="1:7" ht="15" thickBot="1">
      <c r="B9" s="64" t="s">
        <v>60</v>
      </c>
      <c r="C9" s="64">
        <v>16</v>
      </c>
      <c r="F9" s="64" t="s">
        <v>60</v>
      </c>
      <c r="G9" s="64">
        <v>16</v>
      </c>
    </row>
    <row r="11" spans="1:7" ht="15">
      <c r="A11" s="27" t="s">
        <v>103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1"/>
  <sheetViews>
    <sheetView zoomScaleNormal="100" workbookViewId="0">
      <selection activeCell="I14" sqref="I14"/>
    </sheetView>
  </sheetViews>
  <sheetFormatPr defaultRowHeight="14.25"/>
  <sheetData>
    <row r="1" spans="1:2" ht="15">
      <c r="A1" s="28" t="s">
        <v>104</v>
      </c>
    </row>
    <row r="11" spans="1:2" ht="15">
      <c r="B11" s="28" t="s">
        <v>276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8"/>
  <sheetViews>
    <sheetView zoomScale="70" zoomScaleNormal="70" workbookViewId="0">
      <selection activeCell="D28" sqref="D28"/>
    </sheetView>
  </sheetViews>
  <sheetFormatPr defaultRowHeight="14.25"/>
  <cols>
    <col min="2" max="2" width="9.375" customWidth="1"/>
    <col min="3" max="3" width="11.875" bestFit="1" customWidth="1"/>
    <col min="8" max="8" width="16.125" customWidth="1"/>
    <col min="13" max="13" width="12.875" customWidth="1"/>
    <col min="14" max="14" width="12.75" customWidth="1"/>
    <col min="15" max="15" width="14" customWidth="1"/>
    <col min="16" max="16" width="14.25" customWidth="1"/>
  </cols>
  <sheetData>
    <row r="1" spans="1:13" ht="15">
      <c r="A1" s="28" t="s">
        <v>106</v>
      </c>
    </row>
    <row r="2" spans="1:13" ht="15" thickBot="1"/>
    <row r="3" spans="1:13" ht="15">
      <c r="B3" s="62" t="s">
        <v>8</v>
      </c>
      <c r="C3" s="63" t="s">
        <v>10</v>
      </c>
      <c r="D3" s="63" t="s">
        <v>9</v>
      </c>
      <c r="E3" s="63" t="s">
        <v>39</v>
      </c>
      <c r="F3" s="26" t="s">
        <v>11</v>
      </c>
      <c r="H3" t="s">
        <v>54</v>
      </c>
    </row>
    <row r="4" spans="1:13" ht="15" thickBot="1">
      <c r="B4" s="19">
        <v>-1</v>
      </c>
      <c r="C4" s="16">
        <v>-1</v>
      </c>
      <c r="D4" s="16">
        <v>-0.99999999999999856</v>
      </c>
      <c r="E4" s="16">
        <f>B4*C4</f>
        <v>1</v>
      </c>
      <c r="F4" s="8">
        <v>57.587899999999998</v>
      </c>
    </row>
    <row r="5" spans="1:13">
      <c r="B5" s="19">
        <v>-1</v>
      </c>
      <c r="C5" s="16">
        <v>-1</v>
      </c>
      <c r="D5" s="16">
        <v>-0.99999999999999856</v>
      </c>
      <c r="E5" s="16">
        <f t="shared" ref="E5:E19" si="0">B5*C5</f>
        <v>1</v>
      </c>
      <c r="F5" s="8">
        <v>49.809399999999997</v>
      </c>
      <c r="H5" s="66" t="s">
        <v>55</v>
      </c>
      <c r="I5" s="66"/>
    </row>
    <row r="6" spans="1:13">
      <c r="B6" s="19">
        <v>1</v>
      </c>
      <c r="C6" s="16">
        <v>-1</v>
      </c>
      <c r="D6" s="16">
        <v>-0.99999999999999856</v>
      </c>
      <c r="E6" s="16">
        <f t="shared" si="0"/>
        <v>-1</v>
      </c>
      <c r="F6" s="8">
        <v>134.75299999999999</v>
      </c>
      <c r="H6" t="s">
        <v>56</v>
      </c>
      <c r="I6">
        <v>0.99249251574264696</v>
      </c>
    </row>
    <row r="7" spans="1:13">
      <c r="B7" s="19">
        <v>1</v>
      </c>
      <c r="C7" s="16">
        <v>-1</v>
      </c>
      <c r="D7" s="16">
        <v>-0.99999999999999856</v>
      </c>
      <c r="E7" s="16">
        <f t="shared" si="0"/>
        <v>-1</v>
      </c>
      <c r="F7" s="8">
        <v>155.63220000000001</v>
      </c>
      <c r="H7" t="s">
        <v>57</v>
      </c>
      <c r="I7">
        <v>0.98504139380516842</v>
      </c>
    </row>
    <row r="8" spans="1:13">
      <c r="B8" s="19">
        <v>-1</v>
      </c>
      <c r="C8" s="16">
        <v>1</v>
      </c>
      <c r="D8" s="16">
        <v>-0.99999999999999856</v>
      </c>
      <c r="E8" s="16">
        <f t="shared" si="0"/>
        <v>-1</v>
      </c>
      <c r="F8" s="8">
        <v>80.768600000000006</v>
      </c>
      <c r="H8" t="s">
        <v>58</v>
      </c>
      <c r="I8">
        <v>0.97960190064341146</v>
      </c>
    </row>
    <row r="9" spans="1:13">
      <c r="B9" s="19">
        <v>-1</v>
      </c>
      <c r="C9" s="16">
        <v>1</v>
      </c>
      <c r="D9" s="16">
        <v>-0.99999999999999856</v>
      </c>
      <c r="E9" s="16">
        <f t="shared" si="0"/>
        <v>-1</v>
      </c>
      <c r="F9" s="8">
        <v>82.413600000000002</v>
      </c>
      <c r="H9" t="s">
        <v>59</v>
      </c>
      <c r="I9">
        <v>7.5061887860648424</v>
      </c>
    </row>
    <row r="10" spans="1:13" ht="15" thickBot="1">
      <c r="B10" s="19">
        <v>1</v>
      </c>
      <c r="C10" s="16">
        <v>1</v>
      </c>
      <c r="D10" s="16">
        <v>-0.99999999999999856</v>
      </c>
      <c r="E10" s="16">
        <f t="shared" si="0"/>
        <v>1</v>
      </c>
      <c r="F10" s="8">
        <v>155.62880000000001</v>
      </c>
      <c r="H10" s="64" t="s">
        <v>60</v>
      </c>
      <c r="I10" s="64">
        <v>16</v>
      </c>
    </row>
    <row r="11" spans="1:13">
      <c r="B11" s="19">
        <v>1</v>
      </c>
      <c r="C11" s="16">
        <v>1</v>
      </c>
      <c r="D11" s="16">
        <v>-0.99999999999999856</v>
      </c>
      <c r="E11" s="16">
        <f t="shared" si="0"/>
        <v>1</v>
      </c>
      <c r="F11" s="8">
        <v>144.9699</v>
      </c>
    </row>
    <row r="12" spans="1:13" ht="15" thickBot="1">
      <c r="B12" s="19">
        <v>-1</v>
      </c>
      <c r="C12" s="16">
        <v>-1</v>
      </c>
      <c r="D12" s="16">
        <v>1.0000000000000013</v>
      </c>
      <c r="E12" s="16">
        <f t="shared" si="0"/>
        <v>1</v>
      </c>
      <c r="F12" s="8">
        <v>98.2774</v>
      </c>
      <c r="H12" t="s">
        <v>61</v>
      </c>
    </row>
    <row r="13" spans="1:13">
      <c r="B13" s="19">
        <v>-1</v>
      </c>
      <c r="C13" s="16">
        <v>-1</v>
      </c>
      <c r="D13" s="16">
        <v>1.0000000000000013</v>
      </c>
      <c r="E13" s="16">
        <f t="shared" si="0"/>
        <v>1</v>
      </c>
      <c r="F13" s="8">
        <v>103.02</v>
      </c>
      <c r="H13" s="65"/>
      <c r="I13" s="65" t="s">
        <v>66</v>
      </c>
      <c r="J13" s="65" t="s">
        <v>67</v>
      </c>
      <c r="K13" s="65" t="s">
        <v>68</v>
      </c>
      <c r="L13" s="65" t="s">
        <v>69</v>
      </c>
      <c r="M13" s="65" t="s">
        <v>70</v>
      </c>
    </row>
    <row r="14" spans="1:13">
      <c r="B14" s="19">
        <v>1</v>
      </c>
      <c r="C14" s="16">
        <v>-1</v>
      </c>
      <c r="D14" s="16">
        <v>1.0000000000000013</v>
      </c>
      <c r="E14" s="16">
        <f t="shared" si="0"/>
        <v>-1</v>
      </c>
      <c r="F14" s="8">
        <v>211.4195</v>
      </c>
      <c r="H14" t="s">
        <v>62</v>
      </c>
      <c r="I14">
        <v>4</v>
      </c>
      <c r="J14">
        <v>40812.669589624995</v>
      </c>
      <c r="K14">
        <v>10203.167397406249</v>
      </c>
      <c r="L14">
        <v>181.09065762425047</v>
      </c>
      <c r="M14">
        <v>5.878716179378426E-10</v>
      </c>
    </row>
    <row r="15" spans="1:13">
      <c r="B15" s="19">
        <v>1</v>
      </c>
      <c r="C15" s="16">
        <v>-1</v>
      </c>
      <c r="D15" s="16">
        <v>1.0000000000000013</v>
      </c>
      <c r="E15" s="16">
        <f t="shared" si="0"/>
        <v>-1</v>
      </c>
      <c r="F15" s="8">
        <v>190.82329999999999</v>
      </c>
      <c r="H15" t="s">
        <v>63</v>
      </c>
      <c r="I15">
        <v>11</v>
      </c>
      <c r="J15">
        <v>619.77157101250145</v>
      </c>
      <c r="K15">
        <v>56.342870092045587</v>
      </c>
    </row>
    <row r="16" spans="1:13" ht="15" thickBot="1">
      <c r="B16" s="19">
        <v>-1</v>
      </c>
      <c r="C16" s="16">
        <v>1</v>
      </c>
      <c r="D16" s="16">
        <v>1.0000000000000013</v>
      </c>
      <c r="E16" s="16">
        <f t="shared" si="0"/>
        <v>-1</v>
      </c>
      <c r="F16" s="8">
        <v>137.57159999999999</v>
      </c>
      <c r="H16" s="64" t="s">
        <v>64</v>
      </c>
      <c r="I16" s="64">
        <v>15</v>
      </c>
      <c r="J16" s="64">
        <v>41432.4411606375</v>
      </c>
      <c r="K16" s="64"/>
      <c r="L16" s="64"/>
      <c r="M16" s="64"/>
    </row>
    <row r="17" spans="2:16" ht="15" thickBot="1">
      <c r="B17" s="19">
        <v>-1</v>
      </c>
      <c r="C17" s="16">
        <v>1</v>
      </c>
      <c r="D17" s="16">
        <v>1.0000000000000013</v>
      </c>
      <c r="E17" s="16">
        <f t="shared" si="0"/>
        <v>-1</v>
      </c>
      <c r="F17" s="8">
        <v>129.2389</v>
      </c>
    </row>
    <row r="18" spans="2:16">
      <c r="B18" s="19">
        <v>1</v>
      </c>
      <c r="C18" s="16">
        <v>1</v>
      </c>
      <c r="D18" s="16">
        <v>1.0000000000000013</v>
      </c>
      <c r="E18" s="16">
        <f t="shared" si="0"/>
        <v>1</v>
      </c>
      <c r="F18" s="8">
        <v>206.4453</v>
      </c>
      <c r="H18" s="65"/>
      <c r="I18" s="65" t="s">
        <v>71</v>
      </c>
      <c r="J18" s="65" t="s">
        <v>59</v>
      </c>
      <c r="K18" s="65" t="s">
        <v>72</v>
      </c>
      <c r="L18" s="65" t="s">
        <v>73</v>
      </c>
      <c r="M18" s="65" t="s">
        <v>74</v>
      </c>
      <c r="N18" s="65" t="s">
        <v>75</v>
      </c>
      <c r="O18" s="65" t="s">
        <v>117</v>
      </c>
      <c r="P18" s="65" t="s">
        <v>118</v>
      </c>
    </row>
    <row r="19" spans="2:16" ht="15" thickBot="1">
      <c r="B19" s="21">
        <v>1</v>
      </c>
      <c r="C19" s="22">
        <v>1</v>
      </c>
      <c r="D19" s="22">
        <v>1.0000000000000013</v>
      </c>
      <c r="E19" s="22">
        <f t="shared" si="0"/>
        <v>1</v>
      </c>
      <c r="F19" s="11">
        <v>206.1936</v>
      </c>
      <c r="H19" t="s">
        <v>65</v>
      </c>
      <c r="I19">
        <v>134.03456249999996</v>
      </c>
      <c r="J19">
        <v>1.8765471965162106</v>
      </c>
      <c r="K19">
        <v>71.426161169212079</v>
      </c>
      <c r="L19">
        <v>5.0334671959967023E-16</v>
      </c>
      <c r="M19">
        <v>129.90430996825623</v>
      </c>
      <c r="N19">
        <v>138.1648150317437</v>
      </c>
      <c r="O19">
        <v>128.93395862770498</v>
      </c>
      <c r="P19">
        <v>139.13516637229495</v>
      </c>
    </row>
    <row r="20" spans="2:16">
      <c r="H20" t="s">
        <v>8</v>
      </c>
      <c r="I20">
        <v>41.698637500000018</v>
      </c>
      <c r="J20">
        <v>1.8765471965162106</v>
      </c>
      <c r="K20">
        <v>22.220937249760137</v>
      </c>
      <c r="L20">
        <v>1.7221650648627129E-10</v>
      </c>
      <c r="M20">
        <v>37.568384968256268</v>
      </c>
      <c r="N20">
        <v>45.828890031743768</v>
      </c>
      <c r="O20">
        <v>36.59803362770505</v>
      </c>
      <c r="P20">
        <v>46.799241372294986</v>
      </c>
    </row>
    <row r="21" spans="2:16">
      <c r="H21" t="s">
        <v>10</v>
      </c>
      <c r="I21">
        <v>8.8692250000000001</v>
      </c>
      <c r="J21">
        <v>1.8765471965162106</v>
      </c>
      <c r="K21">
        <v>4.7263532814232541</v>
      </c>
      <c r="L21">
        <v>6.2301661323789189E-4</v>
      </c>
      <c r="M21">
        <v>4.7389724682562528</v>
      </c>
      <c r="N21">
        <v>12.999477531743747</v>
      </c>
      <c r="O21">
        <v>3.7686211277050283</v>
      </c>
      <c r="P21">
        <v>13.969828872294972</v>
      </c>
    </row>
    <row r="22" spans="2:16" ht="15">
      <c r="B22" s="28" t="s">
        <v>108</v>
      </c>
      <c r="H22" t="s">
        <v>9</v>
      </c>
      <c r="I22">
        <v>26.339137500000014</v>
      </c>
      <c r="J22">
        <v>1.8765471965162106</v>
      </c>
      <c r="K22">
        <v>14.03595792788923</v>
      </c>
      <c r="L22">
        <v>2.2885185374491089E-8</v>
      </c>
      <c r="M22">
        <v>22.208884968256267</v>
      </c>
      <c r="N22">
        <v>30.46939003174376</v>
      </c>
      <c r="O22">
        <v>21.238533627705042</v>
      </c>
      <c r="P22">
        <v>31.439741372294986</v>
      </c>
    </row>
    <row r="23" spans="2:16" ht="15" thickBot="1">
      <c r="H23" s="64" t="s">
        <v>39</v>
      </c>
      <c r="I23" s="64">
        <v>-6.2930249999999974</v>
      </c>
      <c r="J23" s="64">
        <v>1.8765471965162106</v>
      </c>
      <c r="K23" s="64">
        <v>-3.3535127769143935</v>
      </c>
      <c r="L23" s="64">
        <v>6.4374146923409275E-3</v>
      </c>
      <c r="M23" s="64">
        <v>-10.423277531743745</v>
      </c>
      <c r="N23" s="64">
        <v>-2.1627724682562501</v>
      </c>
      <c r="O23" s="64">
        <v>-11.393628872294968</v>
      </c>
      <c r="P23" s="64">
        <v>-1.1924211277050256</v>
      </c>
    </row>
    <row r="24" spans="2:16" ht="15">
      <c r="B24" s="27" t="s">
        <v>109</v>
      </c>
    </row>
    <row r="25" spans="2:16">
      <c r="B25" s="78" t="s">
        <v>107</v>
      </c>
    </row>
    <row r="28" spans="2:16">
      <c r="B28" s="120" t="s">
        <v>111</v>
      </c>
      <c r="C28" s="120"/>
      <c r="D28">
        <f>_xlfn.F.INV(0.97,I14,I15)</f>
        <v>4.0230686252916588</v>
      </c>
    </row>
    <row r="29" spans="2:16" ht="15">
      <c r="F29" s="27" t="s">
        <v>112</v>
      </c>
    </row>
    <row r="30" spans="2:16">
      <c r="B30" s="30" t="s">
        <v>110</v>
      </c>
      <c r="C30">
        <f>(J14/I14)/(J15/I15)</f>
        <v>181.09065762425047</v>
      </c>
    </row>
    <row r="32" spans="2:16" ht="15">
      <c r="B32" s="27" t="s">
        <v>113</v>
      </c>
      <c r="E32" t="s">
        <v>114</v>
      </c>
      <c r="G32" s="28" t="s">
        <v>119</v>
      </c>
    </row>
    <row r="33" spans="2:7" ht="15">
      <c r="G33" s="28" t="s">
        <v>120</v>
      </c>
    </row>
    <row r="35" spans="2:7" ht="15">
      <c r="B35" s="27" t="s">
        <v>115</v>
      </c>
      <c r="C35">
        <f>1-_xlfn.F.DIST(C30,I14,I15,1)</f>
        <v>5.8787164025631E-10</v>
      </c>
      <c r="D35" s="1" t="s">
        <v>116</v>
      </c>
      <c r="E35" s="27" t="s">
        <v>108</v>
      </c>
      <c r="G35" s="28" t="s">
        <v>119</v>
      </c>
    </row>
    <row r="36" spans="2:7" ht="15">
      <c r="G36" s="28" t="s">
        <v>120</v>
      </c>
    </row>
    <row r="38" spans="2:7" ht="15">
      <c r="B38" s="28" t="s">
        <v>121</v>
      </c>
    </row>
  </sheetData>
  <mergeCells count="1">
    <mergeCell ref="B28:C28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43"/>
  <sheetViews>
    <sheetView zoomScale="70" zoomScaleNormal="70" workbookViewId="0">
      <selection activeCell="L51" sqref="L51"/>
    </sheetView>
  </sheetViews>
  <sheetFormatPr defaultRowHeight="14.25"/>
  <cols>
    <col min="2" max="2" width="9.625" customWidth="1"/>
    <col min="7" max="7" width="12.875" customWidth="1"/>
    <col min="16" max="16" width="9.625" customWidth="1"/>
    <col min="24" max="24" width="13.25" customWidth="1"/>
    <col min="25" max="25" width="14.25" customWidth="1"/>
  </cols>
  <sheetData>
    <row r="1" spans="1:25" ht="15">
      <c r="A1" s="28" t="s">
        <v>122</v>
      </c>
    </row>
    <row r="2" spans="1:25" ht="15" thickBot="1"/>
    <row r="3" spans="1:25" ht="14.45" customHeight="1">
      <c r="B3" s="4" t="s">
        <v>23</v>
      </c>
      <c r="C3" s="15" t="s">
        <v>15</v>
      </c>
      <c r="D3" s="15" t="s">
        <v>16</v>
      </c>
      <c r="E3" s="15" t="s">
        <v>17</v>
      </c>
      <c r="F3" s="5" t="s">
        <v>11</v>
      </c>
      <c r="G3" s="6" t="s">
        <v>20</v>
      </c>
      <c r="K3" s="62" t="s">
        <v>8</v>
      </c>
      <c r="L3" s="63" t="s">
        <v>10</v>
      </c>
      <c r="M3" s="63" t="s">
        <v>9</v>
      </c>
      <c r="N3" s="63" t="s">
        <v>39</v>
      </c>
      <c r="O3" s="25" t="s">
        <v>11</v>
      </c>
      <c r="P3" s="81" t="s">
        <v>123</v>
      </c>
      <c r="Q3" s="82" t="s">
        <v>124</v>
      </c>
      <c r="S3" t="s">
        <v>54</v>
      </c>
    </row>
    <row r="4" spans="1:25" ht="14.45" customHeight="1" thickBot="1">
      <c r="B4" s="7">
        <v>1</v>
      </c>
      <c r="C4" s="3">
        <v>11.5</v>
      </c>
      <c r="D4" s="3">
        <v>30</v>
      </c>
      <c r="E4" s="3">
        <v>4.17</v>
      </c>
      <c r="F4" s="3">
        <v>57.587899999999998</v>
      </c>
      <c r="G4" s="130">
        <f>AVERAGE(F4,F5)</f>
        <v>53.698650000000001</v>
      </c>
      <c r="K4" s="19">
        <v>-1</v>
      </c>
      <c r="L4" s="16">
        <v>-1</v>
      </c>
      <c r="M4" s="16">
        <v>-0.99999999999999856</v>
      </c>
      <c r="N4" s="16">
        <f>K4*L4</f>
        <v>1</v>
      </c>
      <c r="O4" s="3">
        <v>57.587899999999998</v>
      </c>
      <c r="P4" s="124">
        <f>DEVSQ(O4,O5)</f>
        <v>30.252531125000012</v>
      </c>
      <c r="Q4" s="122">
        <v>1</v>
      </c>
    </row>
    <row r="5" spans="1:25">
      <c r="B5" s="19">
        <v>2</v>
      </c>
      <c r="C5" s="3">
        <v>11.5</v>
      </c>
      <c r="D5" s="3">
        <v>30</v>
      </c>
      <c r="E5" s="3">
        <v>4.17</v>
      </c>
      <c r="F5" s="3">
        <v>49.809399999999997</v>
      </c>
      <c r="G5" s="131"/>
      <c r="K5" s="19">
        <v>-1</v>
      </c>
      <c r="L5" s="16">
        <v>-1</v>
      </c>
      <c r="M5" s="16">
        <v>-0.99999999999999856</v>
      </c>
      <c r="N5" s="16">
        <f t="shared" ref="N5:N19" si="0">K5*L5</f>
        <v>1</v>
      </c>
      <c r="O5" s="3">
        <v>49.809399999999997</v>
      </c>
      <c r="P5" s="124"/>
      <c r="Q5" s="122"/>
      <c r="S5" s="66" t="s">
        <v>55</v>
      </c>
      <c r="T5" s="66"/>
    </row>
    <row r="6" spans="1:25">
      <c r="B6" s="7">
        <v>3</v>
      </c>
      <c r="C6" s="3">
        <v>16</v>
      </c>
      <c r="D6" s="3">
        <v>30</v>
      </c>
      <c r="E6" s="3">
        <v>4.17</v>
      </c>
      <c r="F6" s="3">
        <v>134.75299999999999</v>
      </c>
      <c r="G6" s="130">
        <f>AVERAGE(F6,F7)</f>
        <v>145.1926</v>
      </c>
      <c r="K6" s="19">
        <v>1</v>
      </c>
      <c r="L6" s="16">
        <v>-1</v>
      </c>
      <c r="M6" s="16">
        <v>-0.99999999999999856</v>
      </c>
      <c r="N6" s="16">
        <f t="shared" si="0"/>
        <v>-1</v>
      </c>
      <c r="O6" s="3">
        <v>134.75299999999999</v>
      </c>
      <c r="P6" s="124">
        <f>DEVSQ(O6,O7)</f>
        <v>217.97049632000054</v>
      </c>
      <c r="Q6" s="122">
        <v>1</v>
      </c>
      <c r="S6" t="s">
        <v>56</v>
      </c>
      <c r="T6">
        <v>0.98636985738455074</v>
      </c>
    </row>
    <row r="7" spans="1:25">
      <c r="B7" s="19">
        <v>4</v>
      </c>
      <c r="C7" s="3">
        <v>16</v>
      </c>
      <c r="D7" s="3">
        <v>30</v>
      </c>
      <c r="E7" s="3">
        <v>4.17</v>
      </c>
      <c r="F7" s="3">
        <v>155.63220000000001</v>
      </c>
      <c r="G7" s="131"/>
      <c r="K7" s="19">
        <v>1</v>
      </c>
      <c r="L7" s="16">
        <v>-1</v>
      </c>
      <c r="M7" s="16">
        <v>-0.99999999999999856</v>
      </c>
      <c r="N7" s="16">
        <f t="shared" si="0"/>
        <v>-1</v>
      </c>
      <c r="O7" s="3">
        <v>155.63220000000001</v>
      </c>
      <c r="P7" s="124"/>
      <c r="Q7" s="122"/>
      <c r="S7" t="s">
        <v>57</v>
      </c>
      <c r="T7">
        <v>0.97292549555681895</v>
      </c>
    </row>
    <row r="8" spans="1:25">
      <c r="B8" s="7">
        <v>5</v>
      </c>
      <c r="C8" s="3">
        <v>11.5</v>
      </c>
      <c r="D8" s="3">
        <v>60</v>
      </c>
      <c r="E8" s="3">
        <v>4.17</v>
      </c>
      <c r="F8" s="3">
        <v>80.768600000000006</v>
      </c>
      <c r="G8" s="130">
        <f>AVERAGE(F8,F9)</f>
        <v>81.591100000000012</v>
      </c>
      <c r="K8" s="19">
        <v>-1</v>
      </c>
      <c r="L8" s="16">
        <v>1</v>
      </c>
      <c r="M8" s="16">
        <v>-0.99999999999999856</v>
      </c>
      <c r="N8" s="16">
        <f t="shared" si="0"/>
        <v>-1</v>
      </c>
      <c r="O8" s="3">
        <v>80.768600000000006</v>
      </c>
      <c r="P8" s="124">
        <f>DEVSQ(O8,O9)</f>
        <v>1.3530124999999935</v>
      </c>
      <c r="Q8" s="122">
        <v>1</v>
      </c>
      <c r="S8" t="s">
        <v>58</v>
      </c>
      <c r="T8">
        <v>0.96570562770530399</v>
      </c>
    </row>
    <row r="9" spans="1:25">
      <c r="B9" s="19">
        <v>6</v>
      </c>
      <c r="C9" s="3">
        <v>11.5</v>
      </c>
      <c r="D9" s="3">
        <v>60</v>
      </c>
      <c r="E9" s="3">
        <v>4.17</v>
      </c>
      <c r="F9" s="3">
        <v>82.413600000000002</v>
      </c>
      <c r="G9" s="131"/>
      <c r="K9" s="19">
        <v>-1</v>
      </c>
      <c r="L9" s="16">
        <v>1</v>
      </c>
      <c r="M9" s="16">
        <v>-0.99999999999999856</v>
      </c>
      <c r="N9" s="16">
        <f t="shared" si="0"/>
        <v>-1</v>
      </c>
      <c r="O9" s="3">
        <v>82.413600000000002</v>
      </c>
      <c r="P9" s="124"/>
      <c r="Q9" s="122"/>
      <c r="S9" t="s">
        <v>59</v>
      </c>
      <c r="T9">
        <v>8.7014642077334852</v>
      </c>
    </row>
    <row r="10" spans="1:25" ht="15" thickBot="1">
      <c r="B10" s="7">
        <v>7</v>
      </c>
      <c r="C10" s="3">
        <v>16</v>
      </c>
      <c r="D10" s="3">
        <v>60</v>
      </c>
      <c r="E10" s="3">
        <v>4.17</v>
      </c>
      <c r="F10" s="3">
        <v>155.62880000000001</v>
      </c>
      <c r="G10" s="130">
        <f>AVERAGE(F10,F11)</f>
        <v>150.29935</v>
      </c>
      <c r="K10" s="19">
        <v>1</v>
      </c>
      <c r="L10" s="16">
        <v>1</v>
      </c>
      <c r="M10" s="16">
        <v>-0.99999999999999856</v>
      </c>
      <c r="N10" s="16">
        <f t="shared" si="0"/>
        <v>1</v>
      </c>
      <c r="O10" s="3">
        <v>155.62880000000001</v>
      </c>
      <c r="P10" s="124">
        <f>DEVSQ(O10,O11)</f>
        <v>56.806074605000177</v>
      </c>
      <c r="Q10" s="122">
        <v>1</v>
      </c>
      <c r="S10" s="64" t="s">
        <v>60</v>
      </c>
      <c r="T10" s="64">
        <v>20</v>
      </c>
    </row>
    <row r="11" spans="1:25">
      <c r="B11" s="19">
        <v>8</v>
      </c>
      <c r="C11" s="3">
        <v>16</v>
      </c>
      <c r="D11" s="3">
        <v>60</v>
      </c>
      <c r="E11" s="3">
        <v>4.17</v>
      </c>
      <c r="F11" s="3">
        <v>144.9699</v>
      </c>
      <c r="G11" s="131"/>
      <c r="K11" s="19">
        <v>1</v>
      </c>
      <c r="L11" s="16">
        <v>1</v>
      </c>
      <c r="M11" s="16">
        <v>-0.99999999999999856</v>
      </c>
      <c r="N11" s="16">
        <f t="shared" si="0"/>
        <v>1</v>
      </c>
      <c r="O11" s="3">
        <v>144.9699</v>
      </c>
      <c r="P11" s="124"/>
      <c r="Q11" s="122"/>
    </row>
    <row r="12" spans="1:25" ht="15" thickBot="1">
      <c r="B12" s="7">
        <v>9</v>
      </c>
      <c r="C12" s="3">
        <v>11.5</v>
      </c>
      <c r="D12" s="3">
        <v>30</v>
      </c>
      <c r="E12" s="3">
        <v>4.8</v>
      </c>
      <c r="F12" s="3">
        <v>98.2774</v>
      </c>
      <c r="G12" s="130">
        <f>AVERAGE(F12,F13)</f>
        <v>100.64869999999999</v>
      </c>
      <c r="K12" s="19">
        <v>-1</v>
      </c>
      <c r="L12" s="16">
        <v>-1</v>
      </c>
      <c r="M12" s="16">
        <v>1.0000000000000013</v>
      </c>
      <c r="N12" s="16">
        <f t="shared" si="0"/>
        <v>1</v>
      </c>
      <c r="O12" s="3">
        <v>98.2774</v>
      </c>
      <c r="P12" s="124">
        <f>DEVSQ(O12,O13)</f>
        <v>11.246127379999981</v>
      </c>
      <c r="Q12" s="122">
        <v>1</v>
      </c>
      <c r="S12" t="s">
        <v>61</v>
      </c>
    </row>
    <row r="13" spans="1:25">
      <c r="B13" s="19">
        <v>10</v>
      </c>
      <c r="C13" s="3">
        <v>11.5</v>
      </c>
      <c r="D13" s="3">
        <v>30</v>
      </c>
      <c r="E13" s="3">
        <v>4.8</v>
      </c>
      <c r="F13" s="3">
        <v>103.02</v>
      </c>
      <c r="G13" s="131"/>
      <c r="K13" s="19">
        <v>-1</v>
      </c>
      <c r="L13" s="16">
        <v>-1</v>
      </c>
      <c r="M13" s="16">
        <v>1.0000000000000013</v>
      </c>
      <c r="N13" s="16">
        <f t="shared" si="0"/>
        <v>1</v>
      </c>
      <c r="O13" s="3">
        <v>103.02</v>
      </c>
      <c r="P13" s="124"/>
      <c r="Q13" s="122"/>
      <c r="S13" s="65"/>
      <c r="T13" s="65" t="s">
        <v>66</v>
      </c>
      <c r="U13" s="65" t="s">
        <v>67</v>
      </c>
      <c r="V13" s="65" t="s">
        <v>68</v>
      </c>
      <c r="W13" s="65" t="s">
        <v>69</v>
      </c>
      <c r="X13" s="65" t="s">
        <v>128</v>
      </c>
      <c r="Y13" s="65" t="s">
        <v>70</v>
      </c>
    </row>
    <row r="14" spans="1:25">
      <c r="B14" s="7">
        <v>11</v>
      </c>
      <c r="C14" s="3">
        <v>16</v>
      </c>
      <c r="D14" s="3">
        <v>30</v>
      </c>
      <c r="E14" s="3">
        <v>4.8</v>
      </c>
      <c r="F14" s="3">
        <v>211.4195</v>
      </c>
      <c r="G14" s="130">
        <f>AVERAGE(F14,F15)</f>
        <v>201.12139999999999</v>
      </c>
      <c r="K14" s="19">
        <v>1</v>
      </c>
      <c r="L14" s="16">
        <v>-1</v>
      </c>
      <c r="M14" s="16">
        <v>1.0000000000000013</v>
      </c>
      <c r="N14" s="16">
        <f t="shared" si="0"/>
        <v>-1</v>
      </c>
      <c r="O14" s="3">
        <v>211.4195</v>
      </c>
      <c r="P14" s="124">
        <f>DEVSQ(O14,O15)</f>
        <v>212.10172722000021</v>
      </c>
      <c r="Q14" s="122">
        <v>1</v>
      </c>
      <c r="S14" t="s">
        <v>62</v>
      </c>
      <c r="T14">
        <v>4</v>
      </c>
      <c r="U14">
        <v>40812.669589624995</v>
      </c>
      <c r="V14">
        <v>10203.167397406249</v>
      </c>
      <c r="W14">
        <v>134.75669022843309</v>
      </c>
      <c r="X14">
        <f>_xlfn.F.INV(0.98,T14,T15)</f>
        <v>4.0584468488562733</v>
      </c>
      <c r="Y14">
        <v>1.4558676142708351E-11</v>
      </c>
    </row>
    <row r="15" spans="1:25">
      <c r="B15" s="19">
        <v>12</v>
      </c>
      <c r="C15" s="3">
        <v>16</v>
      </c>
      <c r="D15" s="3">
        <v>30</v>
      </c>
      <c r="E15" s="3">
        <v>4.8</v>
      </c>
      <c r="F15" s="3">
        <v>190.82329999999999</v>
      </c>
      <c r="G15" s="131"/>
      <c r="K15" s="19">
        <v>1</v>
      </c>
      <c r="L15" s="16">
        <v>-1</v>
      </c>
      <c r="M15" s="16">
        <v>1.0000000000000013</v>
      </c>
      <c r="N15" s="16">
        <f t="shared" si="0"/>
        <v>-1</v>
      </c>
      <c r="O15" s="3">
        <v>190.82329999999999</v>
      </c>
      <c r="P15" s="124"/>
      <c r="Q15" s="122"/>
      <c r="S15" t="s">
        <v>63</v>
      </c>
      <c r="T15">
        <v>15</v>
      </c>
      <c r="U15">
        <v>1135.7321903770041</v>
      </c>
      <c r="V15">
        <v>75.715479358466936</v>
      </c>
    </row>
    <row r="16" spans="1:25" ht="15">
      <c r="B16" s="7">
        <v>13</v>
      </c>
      <c r="C16" s="3">
        <v>11.5</v>
      </c>
      <c r="D16" s="3">
        <v>60</v>
      </c>
      <c r="E16" s="3">
        <v>4.8</v>
      </c>
      <c r="F16" s="3">
        <v>137.57159999999999</v>
      </c>
      <c r="G16" s="130">
        <f>AVERAGE(F16,F17)</f>
        <v>133.40525</v>
      </c>
      <c r="K16" s="19">
        <v>-1</v>
      </c>
      <c r="L16" s="16">
        <v>1</v>
      </c>
      <c r="M16" s="16">
        <v>1.0000000000000013</v>
      </c>
      <c r="N16" s="16">
        <f t="shared" si="0"/>
        <v>-1</v>
      </c>
      <c r="O16" s="3">
        <v>137.57159999999999</v>
      </c>
      <c r="P16" s="124">
        <f>DEVSQ(O16,O17)</f>
        <v>34.716944644999906</v>
      </c>
      <c r="Q16" s="122">
        <v>1</v>
      </c>
      <c r="S16" s="28" t="s">
        <v>127</v>
      </c>
      <c r="T16" s="28">
        <f>T15-T17</f>
        <v>4</v>
      </c>
      <c r="U16" s="28">
        <f>U15-U17</f>
        <v>135.48629741700302</v>
      </c>
      <c r="V16" s="28">
        <f>U16/T16</f>
        <v>33.871574354250754</v>
      </c>
      <c r="W16" s="28">
        <f>V16/V17</f>
        <v>0.37249572382064028</v>
      </c>
      <c r="X16" s="28">
        <f>_xlfn.F.INV(0.98,T16,T17)</f>
        <v>4.5943411304028423</v>
      </c>
      <c r="Y16" s="28">
        <f>1-_xlfn.F.DIST(W16,T16,T17,1)</f>
        <v>0.82349501734576624</v>
      </c>
    </row>
    <row r="17" spans="2:27" ht="15">
      <c r="B17" s="19">
        <v>14</v>
      </c>
      <c r="C17" s="3">
        <v>11.5</v>
      </c>
      <c r="D17" s="3">
        <v>60</v>
      </c>
      <c r="E17" s="3">
        <v>4.8</v>
      </c>
      <c r="F17" s="3">
        <v>129.2389</v>
      </c>
      <c r="G17" s="131"/>
      <c r="K17" s="19">
        <v>-1</v>
      </c>
      <c r="L17" s="16">
        <v>1</v>
      </c>
      <c r="M17" s="16">
        <v>1.0000000000000013</v>
      </c>
      <c r="N17" s="16">
        <f t="shared" si="0"/>
        <v>-1</v>
      </c>
      <c r="O17" s="3">
        <v>129.2389</v>
      </c>
      <c r="P17" s="124"/>
      <c r="Q17" s="122"/>
      <c r="S17" s="28" t="s">
        <v>123</v>
      </c>
      <c r="T17" s="28">
        <f>SUM(Q4:Q23)</f>
        <v>11</v>
      </c>
      <c r="U17" s="28">
        <f>P24</f>
        <v>1000.2458929600011</v>
      </c>
      <c r="V17" s="28">
        <f>U17/T17</f>
        <v>90.931444814545557</v>
      </c>
      <c r="W17" s="28"/>
      <c r="X17" s="28"/>
      <c r="Y17" s="28"/>
    </row>
    <row r="18" spans="2:27" ht="15" thickBot="1">
      <c r="B18" s="7">
        <v>15</v>
      </c>
      <c r="C18" s="3">
        <v>16</v>
      </c>
      <c r="D18" s="3">
        <v>60</v>
      </c>
      <c r="E18" s="3">
        <v>4.8</v>
      </c>
      <c r="F18" s="3">
        <v>206.4453</v>
      </c>
      <c r="G18" s="130">
        <f>AVERAGE(F18,F19)</f>
        <v>206.31945000000002</v>
      </c>
      <c r="K18" s="19">
        <v>1</v>
      </c>
      <c r="L18" s="16">
        <v>1</v>
      </c>
      <c r="M18" s="16">
        <v>1.0000000000000013</v>
      </c>
      <c r="N18" s="16">
        <f t="shared" si="0"/>
        <v>1</v>
      </c>
      <c r="O18" s="3">
        <v>206.4453</v>
      </c>
      <c r="P18" s="124">
        <f>DEVSQ(O18,O19)</f>
        <v>3.16764449999999E-2</v>
      </c>
      <c r="Q18" s="122">
        <v>1</v>
      </c>
      <c r="S18" s="64" t="s">
        <v>64</v>
      </c>
      <c r="T18" s="64">
        <v>19</v>
      </c>
      <c r="U18" s="64">
        <v>41948.401780002001</v>
      </c>
      <c r="V18" s="64"/>
      <c r="W18" s="64"/>
      <c r="X18" s="64"/>
      <c r="Y18" s="64"/>
    </row>
    <row r="19" spans="2:27" ht="15" thickBot="1">
      <c r="B19" s="80">
        <v>16</v>
      </c>
      <c r="C19" s="40">
        <v>16</v>
      </c>
      <c r="D19" s="40">
        <v>60</v>
      </c>
      <c r="E19" s="40">
        <v>4.8</v>
      </c>
      <c r="F19" s="40">
        <v>206.1936</v>
      </c>
      <c r="G19" s="135"/>
      <c r="K19" s="41">
        <v>1</v>
      </c>
      <c r="L19" s="39">
        <v>1</v>
      </c>
      <c r="M19" s="39">
        <v>1.0000000000000013</v>
      </c>
      <c r="N19" s="39">
        <f t="shared" si="0"/>
        <v>1</v>
      </c>
      <c r="O19" s="40">
        <v>206.1936</v>
      </c>
      <c r="P19" s="128"/>
      <c r="Q19" s="129"/>
    </row>
    <row r="20" spans="2:27">
      <c r="B20" s="17">
        <v>17</v>
      </c>
      <c r="C20" s="42">
        <v>13.75</v>
      </c>
      <c r="D20" s="42">
        <v>45</v>
      </c>
      <c r="E20" s="42">
        <v>4.4850000000000003</v>
      </c>
      <c r="F20" s="42">
        <v>155.78700000000001</v>
      </c>
      <c r="G20" s="132">
        <f>AVERAGE(F20,F21,F22,F23)</f>
        <v>139.04060000000001</v>
      </c>
      <c r="K20" s="17">
        <f>(C20-13.75)/2.25</f>
        <v>0</v>
      </c>
      <c r="L20" s="18">
        <f>(D20-45)/15</f>
        <v>0</v>
      </c>
      <c r="M20" s="18">
        <f>(4.485-4.485)/0.315</f>
        <v>0</v>
      </c>
      <c r="N20" s="18">
        <f>K20*L20</f>
        <v>0</v>
      </c>
      <c r="O20" s="42">
        <v>155.78700000000001</v>
      </c>
      <c r="P20" s="123">
        <f>DEVSQ(O20,O21,O22,O23)</f>
        <v>435.76730272000037</v>
      </c>
      <c r="Q20" s="126">
        <v>3</v>
      </c>
      <c r="S20" s="65"/>
      <c r="T20" s="65" t="s">
        <v>71</v>
      </c>
      <c r="U20" s="65" t="s">
        <v>59</v>
      </c>
      <c r="V20" s="65" t="s">
        <v>72</v>
      </c>
      <c r="W20" s="65" t="s">
        <v>73</v>
      </c>
      <c r="X20" s="65" t="s">
        <v>74</v>
      </c>
      <c r="Y20" s="65" t="s">
        <v>75</v>
      </c>
      <c r="Z20" s="65" t="s">
        <v>117</v>
      </c>
      <c r="AA20" s="65" t="s">
        <v>118</v>
      </c>
    </row>
    <row r="21" spans="2:27">
      <c r="B21" s="7">
        <v>18</v>
      </c>
      <c r="C21" s="3">
        <v>13.75</v>
      </c>
      <c r="D21" s="3">
        <v>45</v>
      </c>
      <c r="E21" s="3">
        <v>4.4850000000000003</v>
      </c>
      <c r="F21" s="3">
        <v>138.35820000000001</v>
      </c>
      <c r="G21" s="133"/>
      <c r="K21" s="19">
        <f>(C21-13.75)/2.25</f>
        <v>0</v>
      </c>
      <c r="L21" s="16">
        <f>(D21-45)/15</f>
        <v>0</v>
      </c>
      <c r="M21" s="16">
        <f t="shared" ref="M21:M23" si="1">(4.485-4.485)/0.315</f>
        <v>0</v>
      </c>
      <c r="N21" s="16">
        <f t="shared" ref="N21:N23" si="2">K21*L21</f>
        <v>0</v>
      </c>
      <c r="O21" s="3">
        <v>138.35820000000001</v>
      </c>
      <c r="P21" s="124"/>
      <c r="Q21" s="122"/>
      <c r="S21" t="s">
        <v>65</v>
      </c>
      <c r="T21">
        <v>135.03576999999999</v>
      </c>
      <c r="U21">
        <v>1.9457065472273425</v>
      </c>
      <c r="V21">
        <v>69.401919931054223</v>
      </c>
      <c r="W21">
        <v>3.1422553914942216E-20</v>
      </c>
      <c r="X21">
        <v>130.88859466411958</v>
      </c>
      <c r="Y21">
        <v>139.18294533588039</v>
      </c>
      <c r="Z21">
        <v>129.97210705096671</v>
      </c>
      <c r="AA21">
        <v>140.09943294903326</v>
      </c>
    </row>
    <row r="22" spans="2:27">
      <c r="B22" s="19">
        <v>19</v>
      </c>
      <c r="C22" s="3">
        <v>13.75</v>
      </c>
      <c r="D22" s="3">
        <v>45</v>
      </c>
      <c r="E22" s="3">
        <v>4.4850000000000003</v>
      </c>
      <c r="F22" s="3">
        <v>127.41459999999999</v>
      </c>
      <c r="G22" s="133"/>
      <c r="K22" s="19">
        <f>(C22-13.75)/2.25</f>
        <v>0</v>
      </c>
      <c r="L22" s="16">
        <f>(D22-45)/15</f>
        <v>0</v>
      </c>
      <c r="M22" s="16">
        <f t="shared" si="1"/>
        <v>0</v>
      </c>
      <c r="N22" s="16">
        <f t="shared" si="2"/>
        <v>0</v>
      </c>
      <c r="O22" s="3">
        <v>127.41459999999999</v>
      </c>
      <c r="P22" s="124"/>
      <c r="Q22" s="122"/>
      <c r="S22" t="s">
        <v>8</v>
      </c>
      <c r="T22">
        <v>41.698637500000025</v>
      </c>
      <c r="U22">
        <v>2.1753660519333722</v>
      </c>
      <c r="V22">
        <v>19.168561292450097</v>
      </c>
      <c r="W22">
        <v>5.8321077085524419E-12</v>
      </c>
      <c r="X22">
        <v>37.061954517180482</v>
      </c>
      <c r="Y22">
        <v>46.335320482819569</v>
      </c>
      <c r="Z22">
        <v>36.037290215407282</v>
      </c>
      <c r="AA22">
        <v>47.359984784592768</v>
      </c>
    </row>
    <row r="23" spans="2:27" ht="15" thickBot="1">
      <c r="B23" s="9">
        <v>20</v>
      </c>
      <c r="C23" s="10">
        <v>13.75</v>
      </c>
      <c r="D23" s="10">
        <v>45</v>
      </c>
      <c r="E23" s="10">
        <v>4.4850000000000003</v>
      </c>
      <c r="F23" s="10">
        <v>134.6026</v>
      </c>
      <c r="G23" s="134"/>
      <c r="K23" s="21">
        <f>(C23-13.75)/2.25</f>
        <v>0</v>
      </c>
      <c r="L23" s="22">
        <f>(D23-45)/15</f>
        <v>0</v>
      </c>
      <c r="M23" s="22">
        <f t="shared" si="1"/>
        <v>0</v>
      </c>
      <c r="N23" s="22">
        <f t="shared" si="2"/>
        <v>0</v>
      </c>
      <c r="O23" s="10">
        <v>134.6026</v>
      </c>
      <c r="P23" s="125"/>
      <c r="Q23" s="127"/>
      <c r="S23" t="s">
        <v>10</v>
      </c>
      <c r="T23">
        <v>8.8692249999999984</v>
      </c>
      <c r="U23">
        <v>2.1753660519333708</v>
      </c>
      <c r="V23">
        <v>4.0771184197332753</v>
      </c>
      <c r="W23">
        <v>9.9120599386784587E-4</v>
      </c>
      <c r="X23">
        <v>4.2325420171804549</v>
      </c>
      <c r="Y23">
        <v>13.505907982819542</v>
      </c>
      <c r="Z23">
        <v>3.2078777154072595</v>
      </c>
      <c r="AA23">
        <v>14.530572284592736</v>
      </c>
    </row>
    <row r="24" spans="2:27">
      <c r="P24">
        <f>SUM(P20,P18,P16,P14,P12,P10,P8,P6,P4)</f>
        <v>1000.2458929600011</v>
      </c>
      <c r="S24" t="s">
        <v>9</v>
      </c>
      <c r="T24">
        <v>26.339137499999993</v>
      </c>
      <c r="U24">
        <v>2.1753660519333713</v>
      </c>
      <c r="V24">
        <v>12.107910517676281</v>
      </c>
      <c r="W24">
        <v>3.8245363284674561E-9</v>
      </c>
      <c r="X24">
        <v>21.702454517180449</v>
      </c>
      <c r="Y24">
        <v>30.975820482819536</v>
      </c>
      <c r="Z24">
        <v>20.677790215407253</v>
      </c>
      <c r="AA24">
        <v>32.000484784592729</v>
      </c>
    </row>
    <row r="25" spans="2:27" ht="15.75" thickBot="1">
      <c r="B25" s="28" t="s">
        <v>125</v>
      </c>
      <c r="S25" s="64" t="s">
        <v>39</v>
      </c>
      <c r="T25" s="64">
        <v>-6.2930249999999965</v>
      </c>
      <c r="U25" s="64">
        <v>2.1753660519333713</v>
      </c>
      <c r="V25" s="64">
        <v>-2.8928579603451237</v>
      </c>
      <c r="W25" s="64">
        <v>1.1155050567123485E-2</v>
      </c>
      <c r="X25" s="64">
        <v>-10.92970798281954</v>
      </c>
      <c r="Y25" s="64">
        <v>-1.6563420171804522</v>
      </c>
      <c r="Z25" s="64">
        <v>-11.954372284592736</v>
      </c>
      <c r="AA25" s="64">
        <v>-0.63167771540725681</v>
      </c>
    </row>
    <row r="27" spans="2:27" ht="15">
      <c r="B27" s="27" t="s">
        <v>109</v>
      </c>
      <c r="D27" t="s">
        <v>129</v>
      </c>
    </row>
    <row r="29" spans="2:27">
      <c r="B29" s="120" t="s">
        <v>130</v>
      </c>
      <c r="C29" s="120"/>
      <c r="D29">
        <f>_xlfn.F.INV(0.98,T16,T17)</f>
        <v>4.5943411304028423</v>
      </c>
    </row>
    <row r="31" spans="2:27">
      <c r="B31" s="30" t="s">
        <v>110</v>
      </c>
      <c r="C31" s="83">
        <f>W16</f>
        <v>0.37249572382064028</v>
      </c>
    </row>
    <row r="33" spans="2:6" ht="15">
      <c r="B33" s="121" t="s">
        <v>131</v>
      </c>
      <c r="C33" s="121"/>
    </row>
    <row r="35" spans="2:6" ht="15">
      <c r="B35" s="27" t="s">
        <v>132</v>
      </c>
    </row>
    <row r="37" spans="2:6" ht="15">
      <c r="C37" s="28" t="s">
        <v>133</v>
      </c>
      <c r="F37" s="28" t="s">
        <v>135</v>
      </c>
    </row>
    <row r="38" spans="2:6" ht="15">
      <c r="F38" s="28" t="s">
        <v>134</v>
      </c>
    </row>
    <row r="40" spans="2:6" ht="15">
      <c r="B40" s="84" t="s">
        <v>115</v>
      </c>
      <c r="C40">
        <f>1-_xlfn.F.DIST(C31,T16,T17,1)</f>
        <v>0.82349501734576624</v>
      </c>
      <c r="D40" t="s">
        <v>136</v>
      </c>
      <c r="E40" s="28" t="s">
        <v>135</v>
      </c>
    </row>
    <row r="41" spans="2:6" ht="15">
      <c r="E41" s="28" t="s">
        <v>134</v>
      </c>
    </row>
    <row r="43" spans="2:6" ht="15">
      <c r="B43" s="28" t="s">
        <v>137</v>
      </c>
    </row>
  </sheetData>
  <mergeCells count="29">
    <mergeCell ref="G4:G5"/>
    <mergeCell ref="G6:G7"/>
    <mergeCell ref="G20:G23"/>
    <mergeCell ref="G18:G19"/>
    <mergeCell ref="G16:G17"/>
    <mergeCell ref="G14:G15"/>
    <mergeCell ref="G12:G13"/>
    <mergeCell ref="G10:G11"/>
    <mergeCell ref="G8:G9"/>
    <mergeCell ref="Q8:Q9"/>
    <mergeCell ref="Q6:Q7"/>
    <mergeCell ref="Q4:Q5"/>
    <mergeCell ref="P16:P17"/>
    <mergeCell ref="P18:P19"/>
    <mergeCell ref="Q18:Q19"/>
    <mergeCell ref="Q16:Q17"/>
    <mergeCell ref="P4:P5"/>
    <mergeCell ref="P6:P7"/>
    <mergeCell ref="P8:P9"/>
    <mergeCell ref="P10:P11"/>
    <mergeCell ref="P12:P13"/>
    <mergeCell ref="P14:P15"/>
    <mergeCell ref="B29:C29"/>
    <mergeCell ref="B33:C33"/>
    <mergeCell ref="Q14:Q15"/>
    <mergeCell ref="Q12:Q13"/>
    <mergeCell ref="Q10:Q11"/>
    <mergeCell ref="P20:P23"/>
    <mergeCell ref="Q20:Q23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69"/>
  <sheetViews>
    <sheetView zoomScale="70" zoomScaleNormal="70" workbookViewId="0">
      <selection activeCell="J29" sqref="J29"/>
    </sheetView>
  </sheetViews>
  <sheetFormatPr defaultRowHeight="14.25"/>
  <cols>
    <col min="2" max="2" width="9.875" customWidth="1"/>
    <col min="16" max="16" width="11.375" customWidth="1"/>
    <col min="17" max="17" width="12.625" customWidth="1"/>
  </cols>
  <sheetData>
    <row r="1" spans="1:24" ht="15">
      <c r="A1" s="28" t="s">
        <v>138</v>
      </c>
    </row>
    <row r="2" spans="1:24" ht="15" thickBot="1"/>
    <row r="3" spans="1:24" ht="15.75" thickBot="1">
      <c r="B3" s="62" t="s">
        <v>8</v>
      </c>
      <c r="C3" s="63" t="s">
        <v>10</v>
      </c>
      <c r="D3" s="63" t="s">
        <v>9</v>
      </c>
      <c r="E3" s="63" t="s">
        <v>39</v>
      </c>
      <c r="F3" s="25" t="s">
        <v>11</v>
      </c>
      <c r="G3" s="81" t="s">
        <v>123</v>
      </c>
      <c r="H3" s="82" t="s">
        <v>124</v>
      </c>
      <c r="J3" s="62" t="s">
        <v>8</v>
      </c>
      <c r="K3" s="63" t="s">
        <v>10</v>
      </c>
      <c r="L3" s="63" t="s">
        <v>9</v>
      </c>
      <c r="M3" s="63" t="s">
        <v>39</v>
      </c>
      <c r="N3" s="25" t="s">
        <v>11</v>
      </c>
      <c r="O3" s="81" t="s">
        <v>123</v>
      </c>
      <c r="P3" s="82" t="s">
        <v>124</v>
      </c>
      <c r="R3" s="62" t="s">
        <v>8</v>
      </c>
      <c r="S3" s="63" t="s">
        <v>10</v>
      </c>
      <c r="T3" s="63" t="s">
        <v>9</v>
      </c>
      <c r="U3" s="63" t="s">
        <v>39</v>
      </c>
      <c r="V3" s="25" t="s">
        <v>11</v>
      </c>
      <c r="W3" s="81" t="s">
        <v>123</v>
      </c>
      <c r="X3" s="82" t="s">
        <v>124</v>
      </c>
    </row>
    <row r="4" spans="1:24" ht="15" thickBot="1">
      <c r="B4" s="19">
        <v>-1</v>
      </c>
      <c r="C4" s="16">
        <v>-1</v>
      </c>
      <c r="D4" s="16">
        <v>-0.99999999999999856</v>
      </c>
      <c r="E4" s="16">
        <f>B4*C4</f>
        <v>1</v>
      </c>
      <c r="F4" s="3">
        <v>57.587899999999998</v>
      </c>
      <c r="G4" s="124">
        <f>DEVSQ(F4,F5)</f>
        <v>30.252531125000012</v>
      </c>
      <c r="H4" s="122">
        <v>1</v>
      </c>
      <c r="J4" s="17">
        <v>0</v>
      </c>
      <c r="K4" s="18">
        <v>0</v>
      </c>
      <c r="L4" s="18">
        <f>(4.485-4.485)/0.315</f>
        <v>0</v>
      </c>
      <c r="M4" s="18">
        <f>J4*K4</f>
        <v>0</v>
      </c>
      <c r="N4" s="42">
        <v>155.78700000000001</v>
      </c>
      <c r="O4" s="123">
        <f>DEVSQ(N4,N5,N6,N7)</f>
        <v>435.76730272000037</v>
      </c>
      <c r="P4" s="126">
        <v>3</v>
      </c>
      <c r="R4" s="19">
        <v>-1</v>
      </c>
      <c r="S4" s="16">
        <v>-1</v>
      </c>
      <c r="T4" s="16">
        <v>-0.99999999999999856</v>
      </c>
      <c r="U4" s="16">
        <f>R4*S4</f>
        <v>1</v>
      </c>
      <c r="V4" s="3">
        <v>57.587899999999998</v>
      </c>
      <c r="W4" s="124">
        <f>DEVSQ(V4,V5)</f>
        <v>30.252531125000012</v>
      </c>
      <c r="X4" s="122">
        <v>1</v>
      </c>
    </row>
    <row r="5" spans="1:24" ht="15" thickBot="1">
      <c r="B5" s="19">
        <v>-1</v>
      </c>
      <c r="C5" s="16">
        <v>-1</v>
      </c>
      <c r="D5" s="16">
        <v>-0.99999999999999856</v>
      </c>
      <c r="E5" s="16">
        <f t="shared" ref="E5:E19" si="0">B5*C5</f>
        <v>1</v>
      </c>
      <c r="F5" s="3">
        <v>49.809399999999997</v>
      </c>
      <c r="G5" s="124"/>
      <c r="H5" s="122"/>
      <c r="J5" s="17">
        <v>0</v>
      </c>
      <c r="K5" s="18">
        <v>0</v>
      </c>
      <c r="L5" s="16">
        <f t="shared" ref="L5:L7" si="1">(4.485-4.485)/0.315</f>
        <v>0</v>
      </c>
      <c r="M5" s="16">
        <f t="shared" ref="M5:M7" si="2">J5*K5</f>
        <v>0</v>
      </c>
      <c r="N5" s="3">
        <v>138.35820000000001</v>
      </c>
      <c r="O5" s="124"/>
      <c r="P5" s="122"/>
      <c r="R5" s="19">
        <v>-1</v>
      </c>
      <c r="S5" s="16">
        <v>-1</v>
      </c>
      <c r="T5" s="16">
        <v>-0.99999999999999856</v>
      </c>
      <c r="U5" s="16">
        <f t="shared" ref="U5:U19" si="3">R5*S5</f>
        <v>1</v>
      </c>
      <c r="V5" s="3">
        <v>49.809399999999997</v>
      </c>
      <c r="W5" s="124"/>
      <c r="X5" s="122"/>
    </row>
    <row r="6" spans="1:24" ht="15" thickBot="1">
      <c r="B6" s="19">
        <v>1</v>
      </c>
      <c r="C6" s="16">
        <v>-1</v>
      </c>
      <c r="D6" s="16">
        <v>-0.99999999999999856</v>
      </c>
      <c r="E6" s="16">
        <f t="shared" si="0"/>
        <v>-1</v>
      </c>
      <c r="F6" s="3">
        <v>134.75299999999999</v>
      </c>
      <c r="G6" s="124">
        <f>DEVSQ(F6,F7)</f>
        <v>217.97049632000054</v>
      </c>
      <c r="H6" s="122">
        <v>1</v>
      </c>
      <c r="J6" s="17">
        <v>0</v>
      </c>
      <c r="K6" s="18">
        <v>0</v>
      </c>
      <c r="L6" s="16">
        <f t="shared" si="1"/>
        <v>0</v>
      </c>
      <c r="M6" s="16">
        <f t="shared" si="2"/>
        <v>0</v>
      </c>
      <c r="N6" s="3">
        <v>127.41459999999999</v>
      </c>
      <c r="O6" s="124"/>
      <c r="P6" s="122"/>
      <c r="R6" s="19">
        <v>1</v>
      </c>
      <c r="S6" s="16">
        <v>-1</v>
      </c>
      <c r="T6" s="16">
        <v>-0.99999999999999856</v>
      </c>
      <c r="U6" s="16">
        <f t="shared" si="3"/>
        <v>-1</v>
      </c>
      <c r="V6" s="3">
        <v>134.75299999999999</v>
      </c>
      <c r="W6" s="124">
        <f>DEVSQ(V6,V7)</f>
        <v>217.97049632000054</v>
      </c>
      <c r="X6" s="122">
        <v>1</v>
      </c>
    </row>
    <row r="7" spans="1:24" ht="15" thickBot="1">
      <c r="B7" s="19">
        <v>1</v>
      </c>
      <c r="C7" s="16">
        <v>-1</v>
      </c>
      <c r="D7" s="16">
        <v>-0.99999999999999856</v>
      </c>
      <c r="E7" s="16">
        <f t="shared" si="0"/>
        <v>-1</v>
      </c>
      <c r="F7" s="3">
        <v>155.63220000000001</v>
      </c>
      <c r="G7" s="124"/>
      <c r="H7" s="122"/>
      <c r="J7" s="43">
        <v>0</v>
      </c>
      <c r="K7" s="44">
        <v>0</v>
      </c>
      <c r="L7" s="22">
        <f t="shared" si="1"/>
        <v>0</v>
      </c>
      <c r="M7" s="22">
        <f t="shared" si="2"/>
        <v>0</v>
      </c>
      <c r="N7" s="10">
        <v>134.6026</v>
      </c>
      <c r="O7" s="125"/>
      <c r="P7" s="127"/>
      <c r="R7" s="19">
        <v>1</v>
      </c>
      <c r="S7" s="16">
        <v>-1</v>
      </c>
      <c r="T7" s="16">
        <v>-0.99999999999999856</v>
      </c>
      <c r="U7" s="16">
        <f t="shared" si="3"/>
        <v>-1</v>
      </c>
      <c r="V7" s="3">
        <v>155.63220000000001</v>
      </c>
      <c r="W7" s="124"/>
      <c r="X7" s="122"/>
    </row>
    <row r="8" spans="1:24">
      <c r="B8" s="19">
        <v>-1</v>
      </c>
      <c r="C8" s="16">
        <v>1</v>
      </c>
      <c r="D8" s="16">
        <v>-0.99999999999999856</v>
      </c>
      <c r="E8" s="16">
        <f t="shared" si="0"/>
        <v>-1</v>
      </c>
      <c r="F8" s="3">
        <v>80.768600000000006</v>
      </c>
      <c r="G8" s="124">
        <f>DEVSQ(F8,F9)</f>
        <v>1.3530124999999935</v>
      </c>
      <c r="H8" s="122">
        <v>1</v>
      </c>
      <c r="J8">
        <f>COUNT(J4:J7)</f>
        <v>4</v>
      </c>
      <c r="N8">
        <f>AVERAGE(N4:N7)</f>
        <v>139.04060000000001</v>
      </c>
      <c r="O8">
        <f>O4</f>
        <v>435.76730272000037</v>
      </c>
      <c r="P8">
        <f>P4</f>
        <v>3</v>
      </c>
      <c r="R8" s="19">
        <v>-1</v>
      </c>
      <c r="S8" s="16">
        <v>1</v>
      </c>
      <c r="T8" s="16">
        <v>-0.99999999999999856</v>
      </c>
      <c r="U8" s="16">
        <f t="shared" si="3"/>
        <v>-1</v>
      </c>
      <c r="V8" s="3">
        <v>80.768600000000006</v>
      </c>
      <c r="W8" s="124">
        <f>DEVSQ(V8,V9)</f>
        <v>1.3530124999999935</v>
      </c>
      <c r="X8" s="122">
        <v>1</v>
      </c>
    </row>
    <row r="9" spans="1:24">
      <c r="B9" s="19">
        <v>-1</v>
      </c>
      <c r="C9" s="16">
        <v>1</v>
      </c>
      <c r="D9" s="16">
        <v>-0.99999999999999856</v>
      </c>
      <c r="E9" s="16">
        <f t="shared" si="0"/>
        <v>-1</v>
      </c>
      <c r="F9" s="3">
        <v>82.413600000000002</v>
      </c>
      <c r="G9" s="124"/>
      <c r="H9" s="122"/>
      <c r="R9" s="19">
        <v>-1</v>
      </c>
      <c r="S9" s="16">
        <v>1</v>
      </c>
      <c r="T9" s="16">
        <v>-0.99999999999999856</v>
      </c>
      <c r="U9" s="16">
        <f t="shared" si="3"/>
        <v>-1</v>
      </c>
      <c r="V9" s="3">
        <v>82.413600000000002</v>
      </c>
      <c r="W9" s="124"/>
      <c r="X9" s="122"/>
    </row>
    <row r="10" spans="1:24">
      <c r="B10" s="19">
        <v>1</v>
      </c>
      <c r="C10" s="16">
        <v>1</v>
      </c>
      <c r="D10" s="16">
        <v>-0.99999999999999856</v>
      </c>
      <c r="E10" s="16">
        <f t="shared" si="0"/>
        <v>1</v>
      </c>
      <c r="F10" s="3">
        <v>155.62880000000001</v>
      </c>
      <c r="G10" s="124">
        <f>DEVSQ(F10,F11)</f>
        <v>56.806074605000177</v>
      </c>
      <c r="H10" s="122">
        <v>1</v>
      </c>
      <c r="R10" s="19">
        <v>1</v>
      </c>
      <c r="S10" s="16">
        <v>1</v>
      </c>
      <c r="T10" s="16">
        <v>-0.99999999999999856</v>
      </c>
      <c r="U10" s="16">
        <f t="shared" si="3"/>
        <v>1</v>
      </c>
      <c r="V10" s="3">
        <v>155.62880000000001</v>
      </c>
      <c r="W10" s="124">
        <f>DEVSQ(V10,V11)</f>
        <v>56.806074605000177</v>
      </c>
      <c r="X10" s="122">
        <v>1</v>
      </c>
    </row>
    <row r="11" spans="1:24">
      <c r="B11" s="19">
        <v>1</v>
      </c>
      <c r="C11" s="16">
        <v>1</v>
      </c>
      <c r="D11" s="16">
        <v>-0.99999999999999856</v>
      </c>
      <c r="E11" s="16">
        <f t="shared" si="0"/>
        <v>1</v>
      </c>
      <c r="F11" s="3">
        <v>144.9699</v>
      </c>
      <c r="G11" s="124"/>
      <c r="H11" s="122"/>
      <c r="R11" s="19">
        <v>1</v>
      </c>
      <c r="S11" s="16">
        <v>1</v>
      </c>
      <c r="T11" s="16">
        <v>-0.99999999999999856</v>
      </c>
      <c r="U11" s="16">
        <f t="shared" si="3"/>
        <v>1</v>
      </c>
      <c r="V11" s="3">
        <v>144.9699</v>
      </c>
      <c r="W11" s="124"/>
      <c r="X11" s="122"/>
    </row>
    <row r="12" spans="1:24" ht="15" thickBot="1">
      <c r="B12" s="19">
        <v>-1</v>
      </c>
      <c r="C12" s="16">
        <v>-1</v>
      </c>
      <c r="D12" s="16">
        <v>1.0000000000000013</v>
      </c>
      <c r="E12" s="16">
        <f t="shared" si="0"/>
        <v>1</v>
      </c>
      <c r="F12" s="3">
        <v>98.2774</v>
      </c>
      <c r="G12" s="124">
        <f>DEVSQ(F12,F13)</f>
        <v>11.246127379999981</v>
      </c>
      <c r="H12" s="122">
        <v>1</v>
      </c>
      <c r="J12" t="s">
        <v>61</v>
      </c>
      <c r="R12" s="19">
        <v>-1</v>
      </c>
      <c r="S12" s="16">
        <v>-1</v>
      </c>
      <c r="T12" s="16">
        <v>1.0000000000000013</v>
      </c>
      <c r="U12" s="16">
        <f t="shared" si="3"/>
        <v>1</v>
      </c>
      <c r="V12" s="3">
        <v>98.2774</v>
      </c>
      <c r="W12" s="124">
        <f>DEVSQ(V12,V13)</f>
        <v>11.246127379999981</v>
      </c>
      <c r="X12" s="122">
        <v>1</v>
      </c>
    </row>
    <row r="13" spans="1:24">
      <c r="B13" s="19">
        <v>-1</v>
      </c>
      <c r="C13" s="16">
        <v>-1</v>
      </c>
      <c r="D13" s="16">
        <v>1.0000000000000013</v>
      </c>
      <c r="E13" s="16">
        <f t="shared" si="0"/>
        <v>1</v>
      </c>
      <c r="F13" s="3">
        <v>103.02</v>
      </c>
      <c r="G13" s="124"/>
      <c r="H13" s="122"/>
      <c r="J13" s="65"/>
      <c r="K13" s="65" t="s">
        <v>66</v>
      </c>
      <c r="L13" s="65" t="s">
        <v>67</v>
      </c>
      <c r="M13" s="65" t="s">
        <v>68</v>
      </c>
      <c r="N13" s="65" t="s">
        <v>69</v>
      </c>
      <c r="O13" s="65" t="s">
        <v>128</v>
      </c>
      <c r="P13" s="65" t="s">
        <v>70</v>
      </c>
      <c r="R13" s="19">
        <v>-1</v>
      </c>
      <c r="S13" s="16">
        <v>-1</v>
      </c>
      <c r="T13" s="16">
        <v>1.0000000000000013</v>
      </c>
      <c r="U13" s="16">
        <f t="shared" si="3"/>
        <v>1</v>
      </c>
      <c r="V13" s="3">
        <v>103.02</v>
      </c>
      <c r="W13" s="124"/>
      <c r="X13" s="122"/>
    </row>
    <row r="14" spans="1:24">
      <c r="B14" s="19">
        <v>1</v>
      </c>
      <c r="C14" s="16">
        <v>-1</v>
      </c>
      <c r="D14" s="16">
        <v>1.0000000000000013</v>
      </c>
      <c r="E14" s="16">
        <f t="shared" si="0"/>
        <v>-1</v>
      </c>
      <c r="F14" s="3">
        <v>211.4195</v>
      </c>
      <c r="G14" s="124">
        <f>DEVSQ(F14,F15)</f>
        <v>212.10172722000021</v>
      </c>
      <c r="H14" s="122">
        <v>1</v>
      </c>
      <c r="J14" t="s">
        <v>62</v>
      </c>
      <c r="K14">
        <v>4</v>
      </c>
      <c r="L14">
        <v>40812.669589624995</v>
      </c>
      <c r="M14">
        <v>10203.167397406249</v>
      </c>
      <c r="N14">
        <v>134.75669022843309</v>
      </c>
      <c r="O14">
        <v>4.0584468488562733</v>
      </c>
      <c r="P14">
        <v>1.4558676142708351E-11</v>
      </c>
      <c r="R14" s="19">
        <v>1</v>
      </c>
      <c r="S14" s="16">
        <v>-1</v>
      </c>
      <c r="T14" s="16">
        <v>1.0000000000000013</v>
      </c>
      <c r="U14" s="16">
        <f t="shared" si="3"/>
        <v>-1</v>
      </c>
      <c r="V14" s="3">
        <v>211.4195</v>
      </c>
      <c r="W14" s="124">
        <f>DEVSQ(V14,V15)</f>
        <v>212.10172722000021</v>
      </c>
      <c r="X14" s="122">
        <v>1</v>
      </c>
    </row>
    <row r="15" spans="1:24">
      <c r="B15" s="19">
        <v>1</v>
      </c>
      <c r="C15" s="16">
        <v>-1</v>
      </c>
      <c r="D15" s="16">
        <v>1.0000000000000013</v>
      </c>
      <c r="E15" s="16">
        <f t="shared" si="0"/>
        <v>-1</v>
      </c>
      <c r="F15" s="3">
        <v>190.82329999999999</v>
      </c>
      <c r="G15" s="124"/>
      <c r="H15" s="122"/>
      <c r="J15" t="s">
        <v>63</v>
      </c>
      <c r="K15">
        <v>15</v>
      </c>
      <c r="L15">
        <v>1135.7321903770041</v>
      </c>
      <c r="M15">
        <v>75.715479358466936</v>
      </c>
      <c r="R15" s="19">
        <v>1</v>
      </c>
      <c r="S15" s="16">
        <v>-1</v>
      </c>
      <c r="T15" s="16">
        <v>1.0000000000000013</v>
      </c>
      <c r="U15" s="16">
        <f t="shared" si="3"/>
        <v>-1</v>
      </c>
      <c r="V15" s="3">
        <v>190.82329999999999</v>
      </c>
      <c r="W15" s="124"/>
      <c r="X15" s="122"/>
    </row>
    <row r="16" spans="1:24" ht="15">
      <c r="B16" s="19">
        <v>-1</v>
      </c>
      <c r="C16" s="16">
        <v>1</v>
      </c>
      <c r="D16" s="16">
        <v>1.0000000000000013</v>
      </c>
      <c r="E16" s="16">
        <f t="shared" si="0"/>
        <v>-1</v>
      </c>
      <c r="F16" s="3">
        <v>137.57159999999999</v>
      </c>
      <c r="G16" s="124">
        <f>DEVSQ(F16,F17)</f>
        <v>34.716944644999906</v>
      </c>
      <c r="H16" s="122">
        <v>1</v>
      </c>
      <c r="J16" s="28" t="s">
        <v>126</v>
      </c>
      <c r="K16" s="28">
        <v>1</v>
      </c>
      <c r="L16" s="28">
        <f>C28</f>
        <v>80.193316644500612</v>
      </c>
      <c r="M16" s="28">
        <f>L16/1</f>
        <v>80.193316644500612</v>
      </c>
      <c r="N16" s="28">
        <f>M16/M15</f>
        <v>1.0591403148203531</v>
      </c>
      <c r="R16" s="19">
        <v>-1</v>
      </c>
      <c r="S16" s="16">
        <v>1</v>
      </c>
      <c r="T16" s="16">
        <v>1.0000000000000013</v>
      </c>
      <c r="U16" s="16">
        <f t="shared" si="3"/>
        <v>-1</v>
      </c>
      <c r="V16" s="3">
        <v>137.57159999999999</v>
      </c>
      <c r="W16" s="124">
        <f>DEVSQ(V16,V17)</f>
        <v>34.716944644999906</v>
      </c>
      <c r="X16" s="122">
        <v>1</v>
      </c>
    </row>
    <row r="17" spans="1:24" ht="15">
      <c r="B17" s="19">
        <v>-1</v>
      </c>
      <c r="C17" s="16">
        <v>1</v>
      </c>
      <c r="D17" s="16">
        <v>1.0000000000000013</v>
      </c>
      <c r="E17" s="16">
        <f t="shared" si="0"/>
        <v>-1</v>
      </c>
      <c r="F17" s="3">
        <v>129.2389</v>
      </c>
      <c r="G17" s="124"/>
      <c r="H17" s="122"/>
      <c r="J17" s="28" t="s">
        <v>127</v>
      </c>
      <c r="K17" s="28">
        <v>4</v>
      </c>
      <c r="L17" s="28">
        <v>135.48629741700302</v>
      </c>
      <c r="M17" s="28">
        <v>33.871574354250754</v>
      </c>
      <c r="N17" s="28">
        <v>0.37249572382064028</v>
      </c>
      <c r="O17" s="28">
        <v>4.5943411304028423</v>
      </c>
      <c r="P17" s="28">
        <v>0.82349501734576624</v>
      </c>
      <c r="R17" s="19">
        <v>-1</v>
      </c>
      <c r="S17" s="16">
        <v>1</v>
      </c>
      <c r="T17" s="16">
        <v>1.0000000000000013</v>
      </c>
      <c r="U17" s="16">
        <f t="shared" si="3"/>
        <v>-1</v>
      </c>
      <c r="V17" s="3">
        <v>129.2389</v>
      </c>
      <c r="W17" s="124"/>
      <c r="X17" s="122"/>
    </row>
    <row r="18" spans="1:24" ht="15">
      <c r="B18" s="19">
        <v>1</v>
      </c>
      <c r="C18" s="16">
        <v>1</v>
      </c>
      <c r="D18" s="16">
        <v>1.0000000000000013</v>
      </c>
      <c r="E18" s="16">
        <f t="shared" si="0"/>
        <v>1</v>
      </c>
      <c r="F18" s="3">
        <v>206.4453</v>
      </c>
      <c r="G18" s="124">
        <f>DEVSQ(F18,F19)</f>
        <v>3.16764449999999E-2</v>
      </c>
      <c r="H18" s="122">
        <v>1</v>
      </c>
      <c r="J18" s="28" t="s">
        <v>123</v>
      </c>
      <c r="K18" s="28">
        <v>11</v>
      </c>
      <c r="L18" s="28">
        <v>1000.2458929600011</v>
      </c>
      <c r="M18" s="28">
        <v>90.931444814545557</v>
      </c>
      <c r="N18" s="28"/>
      <c r="O18" s="28"/>
      <c r="P18" s="28"/>
      <c r="R18" s="19">
        <v>1</v>
      </c>
      <c r="S18" s="16">
        <v>1</v>
      </c>
      <c r="T18" s="16">
        <v>1.0000000000000013</v>
      </c>
      <c r="U18" s="16">
        <f t="shared" si="3"/>
        <v>1</v>
      </c>
      <c r="V18" s="3">
        <v>206.4453</v>
      </c>
      <c r="W18" s="124">
        <f>DEVSQ(V18,V19)</f>
        <v>3.16764449999999E-2</v>
      </c>
      <c r="X18" s="122">
        <v>1</v>
      </c>
    </row>
    <row r="19" spans="1:24" ht="15" thickBot="1">
      <c r="B19" s="21">
        <v>1</v>
      </c>
      <c r="C19" s="22">
        <v>1</v>
      </c>
      <c r="D19" s="22">
        <v>1.0000000000000013</v>
      </c>
      <c r="E19" s="22">
        <f t="shared" si="0"/>
        <v>1</v>
      </c>
      <c r="F19" s="10">
        <v>206.1936</v>
      </c>
      <c r="G19" s="125"/>
      <c r="H19" s="127"/>
      <c r="J19" s="64" t="s">
        <v>64</v>
      </c>
      <c r="K19" s="64">
        <v>19</v>
      </c>
      <c r="L19" s="64">
        <v>41948.401780002001</v>
      </c>
      <c r="M19" s="64"/>
      <c r="N19" s="64"/>
      <c r="O19" s="64"/>
      <c r="P19" s="64"/>
      <c r="R19" s="41">
        <v>1</v>
      </c>
      <c r="S19" s="39">
        <v>1</v>
      </c>
      <c r="T19" s="39">
        <v>1.0000000000000013</v>
      </c>
      <c r="U19" s="39">
        <f t="shared" si="3"/>
        <v>1</v>
      </c>
      <c r="V19" s="40">
        <v>206.1936</v>
      </c>
      <c r="W19" s="128"/>
      <c r="X19" s="129"/>
    </row>
    <row r="20" spans="1:24" ht="15" thickBot="1">
      <c r="B20">
        <f>COUNT(B4:B19)</f>
        <v>16</v>
      </c>
      <c r="F20">
        <f>AVERAGE(F4:F19)</f>
        <v>134.03456249999999</v>
      </c>
      <c r="G20">
        <f>SUM(G4:G19)</f>
        <v>564.47859024000081</v>
      </c>
      <c r="H20">
        <f>SUM(H4:H19)</f>
        <v>8</v>
      </c>
      <c r="R20" s="17">
        <v>0</v>
      </c>
      <c r="S20" s="17">
        <v>0</v>
      </c>
      <c r="T20" s="17">
        <v>0</v>
      </c>
      <c r="U20" s="17">
        <v>0</v>
      </c>
      <c r="V20" s="42">
        <v>155.78700000000001</v>
      </c>
      <c r="W20" s="123">
        <f>DEVSQ(V20,V21,V22,V23)</f>
        <v>435.76730272000037</v>
      </c>
      <c r="X20" s="126">
        <v>3</v>
      </c>
    </row>
    <row r="21" spans="1:24" ht="15" thickBot="1">
      <c r="R21" s="17">
        <v>0</v>
      </c>
      <c r="S21" s="17">
        <v>0</v>
      </c>
      <c r="T21" s="17">
        <v>0</v>
      </c>
      <c r="U21" s="17">
        <v>0</v>
      </c>
      <c r="V21" s="3">
        <v>138.35820000000001</v>
      </c>
      <c r="W21" s="124"/>
      <c r="X21" s="122"/>
    </row>
    <row r="22" spans="1:24" ht="15.75" thickBot="1">
      <c r="B22" s="27" t="s">
        <v>109</v>
      </c>
      <c r="G22" t="s">
        <v>140</v>
      </c>
      <c r="R22" s="17">
        <v>0</v>
      </c>
      <c r="S22" s="17">
        <v>0</v>
      </c>
      <c r="T22" s="17">
        <v>0</v>
      </c>
      <c r="U22" s="17">
        <v>0</v>
      </c>
      <c r="V22" s="3">
        <v>127.41459999999999</v>
      </c>
      <c r="W22" s="124"/>
      <c r="X22" s="122"/>
    </row>
    <row r="23" spans="1:24" ht="15.75" thickBot="1">
      <c r="A23" s="28" t="s">
        <v>125</v>
      </c>
      <c r="R23" s="17">
        <v>0</v>
      </c>
      <c r="S23" s="17">
        <v>0</v>
      </c>
      <c r="T23" s="17">
        <v>0</v>
      </c>
      <c r="U23" s="17">
        <v>0</v>
      </c>
      <c r="V23" s="10">
        <v>134.6026</v>
      </c>
      <c r="W23" s="125"/>
      <c r="X23" s="127"/>
    </row>
    <row r="24" spans="1:24">
      <c r="W24">
        <f>SUM(W4:W23)</f>
        <v>1000.2458929600011</v>
      </c>
      <c r="X24">
        <f>SUM(X4:X23)</f>
        <v>11</v>
      </c>
    </row>
    <row r="28" spans="1:24">
      <c r="B28" s="30" t="s">
        <v>139</v>
      </c>
      <c r="C28">
        <f>(B20*J8*(F20-N8)^2)/(B20+J8)</f>
        <v>80.193316644500612</v>
      </c>
    </row>
    <row r="30" spans="1:24">
      <c r="L30" s="73"/>
      <c r="M30" s="73"/>
    </row>
    <row r="31" spans="1:24" ht="15">
      <c r="B31" s="84" t="s">
        <v>110</v>
      </c>
      <c r="C31">
        <f>(C28/1)/(L15/K15)</f>
        <v>1.0591403148203531</v>
      </c>
    </row>
    <row r="33" spans="2:20" ht="15">
      <c r="B33" s="84" t="s">
        <v>141</v>
      </c>
      <c r="C33">
        <f>_xlfn.F.INV(0.98,1,11)</f>
        <v>7.3879544494822253</v>
      </c>
    </row>
    <row r="35" spans="2:20" ht="15">
      <c r="B35" s="27" t="s">
        <v>142</v>
      </c>
    </row>
    <row r="36" spans="2:20" ht="15">
      <c r="C36" s="28" t="s">
        <v>133</v>
      </c>
      <c r="E36" s="28" t="s">
        <v>135</v>
      </c>
    </row>
    <row r="37" spans="2:20" ht="15">
      <c r="E37" s="28" t="s">
        <v>134</v>
      </c>
    </row>
    <row r="38" spans="2:20">
      <c r="L38" s="85"/>
      <c r="M38" s="85"/>
      <c r="N38" s="85"/>
      <c r="O38" s="85"/>
      <c r="P38" s="85"/>
      <c r="Q38" s="85"/>
    </row>
    <row r="39" spans="2:20" ht="15">
      <c r="B39" s="27" t="s">
        <v>115</v>
      </c>
      <c r="C39">
        <f>1-_xlfn.F.DIST(C31,1,11,1)</f>
        <v>0.32550968127006918</v>
      </c>
      <c r="D39" t="s">
        <v>136</v>
      </c>
      <c r="E39" s="28" t="s">
        <v>135</v>
      </c>
    </row>
    <row r="40" spans="2:20" ht="15">
      <c r="E40" s="28" t="s">
        <v>134</v>
      </c>
    </row>
    <row r="43" spans="2:20" ht="15">
      <c r="B43" s="28" t="s">
        <v>143</v>
      </c>
      <c r="L43" s="85"/>
      <c r="M43" s="85"/>
      <c r="N43" s="85"/>
      <c r="O43" s="85"/>
      <c r="P43" s="85"/>
      <c r="Q43" s="85"/>
      <c r="R43" s="85"/>
      <c r="S43" s="85"/>
      <c r="T43" s="85"/>
    </row>
    <row r="49" spans="5:26">
      <c r="T49" s="85"/>
      <c r="U49" s="85"/>
      <c r="V49" s="85"/>
      <c r="W49" s="85"/>
      <c r="X49" s="85"/>
      <c r="Y49" s="85"/>
      <c r="Z49" s="85"/>
    </row>
    <row r="52" spans="5:26" ht="15">
      <c r="T52" s="28"/>
      <c r="U52" s="28"/>
      <c r="V52" s="28"/>
      <c r="W52" s="28"/>
      <c r="X52" s="28"/>
    </row>
    <row r="53" spans="5:26" ht="15">
      <c r="E53" s="73"/>
      <c r="F53" s="73"/>
      <c r="T53" s="28"/>
      <c r="U53" s="28"/>
      <c r="V53" s="28"/>
      <c r="W53" s="28"/>
      <c r="X53" s="28"/>
      <c r="Y53" s="28"/>
      <c r="Z53" s="28"/>
    </row>
    <row r="54" spans="5:26" ht="15">
      <c r="T54" s="28"/>
      <c r="U54" s="28"/>
      <c r="V54" s="28"/>
      <c r="W54" s="28"/>
      <c r="X54" s="28"/>
      <c r="Y54" s="28"/>
      <c r="Z54" s="28"/>
    </row>
    <row r="61" spans="5:26">
      <c r="E61" s="85"/>
      <c r="F61" s="85"/>
      <c r="G61" s="85"/>
      <c r="H61" s="85"/>
      <c r="I61" s="85"/>
      <c r="J61" s="85"/>
      <c r="K61" s="85"/>
    </row>
    <row r="64" spans="5:26" ht="15">
      <c r="E64" s="28"/>
      <c r="F64" s="28"/>
      <c r="G64" s="28"/>
      <c r="H64" s="28"/>
      <c r="I64" s="28"/>
    </row>
    <row r="65" spans="5:13" ht="15">
      <c r="E65" s="28"/>
      <c r="F65" s="28"/>
      <c r="G65" s="28"/>
      <c r="H65" s="28"/>
      <c r="I65" s="28"/>
      <c r="J65" s="28"/>
      <c r="K65" s="28"/>
    </row>
    <row r="66" spans="5:13" ht="15">
      <c r="E66" s="28"/>
      <c r="F66" s="28"/>
      <c r="G66" s="28"/>
      <c r="H66" s="28"/>
      <c r="I66" s="28"/>
      <c r="J66" s="28"/>
      <c r="K66" s="28"/>
    </row>
    <row r="69" spans="5:13">
      <c r="E69" s="85"/>
      <c r="F69" s="85"/>
      <c r="G69" s="85"/>
      <c r="H69" s="85"/>
      <c r="I69" s="85"/>
      <c r="J69" s="85"/>
      <c r="K69" s="85"/>
      <c r="L69" s="85"/>
      <c r="M69" s="85"/>
    </row>
  </sheetData>
  <mergeCells count="36">
    <mergeCell ref="W16:W17"/>
    <mergeCell ref="X16:X17"/>
    <mergeCell ref="W18:W19"/>
    <mergeCell ref="X18:X19"/>
    <mergeCell ref="W20:W23"/>
    <mergeCell ref="X20:X23"/>
    <mergeCell ref="W10:W11"/>
    <mergeCell ref="X10:X11"/>
    <mergeCell ref="W12:W13"/>
    <mergeCell ref="X12:X13"/>
    <mergeCell ref="W14:W15"/>
    <mergeCell ref="X14:X15"/>
    <mergeCell ref="W4:W5"/>
    <mergeCell ref="X4:X5"/>
    <mergeCell ref="W6:W7"/>
    <mergeCell ref="X6:X7"/>
    <mergeCell ref="W8:W9"/>
    <mergeCell ref="X8:X9"/>
    <mergeCell ref="P4:P7"/>
    <mergeCell ref="G10:G11"/>
    <mergeCell ref="H10:H11"/>
    <mergeCell ref="G12:G13"/>
    <mergeCell ref="H12:H13"/>
    <mergeCell ref="G4:G5"/>
    <mergeCell ref="H4:H5"/>
    <mergeCell ref="G6:G7"/>
    <mergeCell ref="H6:H7"/>
    <mergeCell ref="G8:G9"/>
    <mergeCell ref="H8:H9"/>
    <mergeCell ref="G16:G17"/>
    <mergeCell ref="H16:H17"/>
    <mergeCell ref="G18:G19"/>
    <mergeCell ref="H18:H19"/>
    <mergeCell ref="O4:O7"/>
    <mergeCell ref="G14:G15"/>
    <mergeCell ref="H14:H15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77"/>
  <sheetViews>
    <sheetView topLeftCell="A39" zoomScaleNormal="100" workbookViewId="0">
      <selection activeCell="K6" sqref="K6"/>
    </sheetView>
  </sheetViews>
  <sheetFormatPr defaultRowHeight="14.25"/>
  <cols>
    <col min="11" max="11" width="14.375" customWidth="1"/>
    <col min="12" max="12" width="12.375" customWidth="1"/>
    <col min="13" max="13" width="10.875" customWidth="1"/>
    <col min="14" max="14" width="14.125" customWidth="1"/>
  </cols>
  <sheetData>
    <row r="1" spans="1:18" ht="15">
      <c r="A1" s="28" t="s">
        <v>144</v>
      </c>
    </row>
    <row r="2" spans="1:18" ht="15" thickBot="1"/>
    <row r="3" spans="1:18" ht="15">
      <c r="B3" s="62" t="s">
        <v>8</v>
      </c>
      <c r="C3" s="63" t="s">
        <v>10</v>
      </c>
      <c r="D3" s="63" t="s">
        <v>9</v>
      </c>
      <c r="E3" s="63" t="s">
        <v>39</v>
      </c>
      <c r="F3" s="25" t="s">
        <v>11</v>
      </c>
      <c r="G3" s="75"/>
      <c r="H3" t="s">
        <v>147</v>
      </c>
      <c r="M3" t="s">
        <v>54</v>
      </c>
    </row>
    <row r="4" spans="1:18" ht="15" thickBot="1">
      <c r="B4" s="19">
        <v>-1</v>
      </c>
      <c r="C4" s="16">
        <v>-1</v>
      </c>
      <c r="D4" s="16">
        <v>-0.99999999999999856</v>
      </c>
      <c r="E4" s="16">
        <f>B4*C4</f>
        <v>1</v>
      </c>
      <c r="F4" s="3">
        <v>57.587899999999998</v>
      </c>
      <c r="G4" s="2"/>
    </row>
    <row r="5" spans="1:18">
      <c r="B5" s="19">
        <v>-1</v>
      </c>
      <c r="C5" s="16">
        <v>-1</v>
      </c>
      <c r="D5" s="16">
        <v>-0.99999999999999856</v>
      </c>
      <c r="E5" s="16">
        <f t="shared" ref="E5:E19" si="0">B5*C5</f>
        <v>1</v>
      </c>
      <c r="F5" s="3">
        <v>49.809399999999997</v>
      </c>
      <c r="G5" s="2"/>
      <c r="H5" s="65" t="s">
        <v>148</v>
      </c>
      <c r="I5" s="65" t="s">
        <v>149</v>
      </c>
      <c r="J5" s="65" t="s">
        <v>150</v>
      </c>
      <c r="K5" s="65" t="s">
        <v>151</v>
      </c>
      <c r="M5" s="66" t="s">
        <v>55</v>
      </c>
      <c r="N5" s="66"/>
    </row>
    <row r="6" spans="1:18">
      <c r="B6" s="19">
        <v>1</v>
      </c>
      <c r="C6" s="16">
        <v>-1</v>
      </c>
      <c r="D6" s="16">
        <v>-0.99999999999999856</v>
      </c>
      <c r="E6" s="16">
        <f t="shared" si="0"/>
        <v>-1</v>
      </c>
      <c r="F6" s="3">
        <v>134.75299999999999</v>
      </c>
      <c r="G6" s="2"/>
      <c r="H6">
        <v>1</v>
      </c>
      <c r="I6">
        <v>51.835745000000017</v>
      </c>
      <c r="J6">
        <v>5.7521549999999806</v>
      </c>
      <c r="K6">
        <v>0.74399396554942854</v>
      </c>
      <c r="M6" t="s">
        <v>56</v>
      </c>
      <c r="N6">
        <v>0.98636985738455074</v>
      </c>
    </row>
    <row r="7" spans="1:18">
      <c r="B7" s="19">
        <v>1</v>
      </c>
      <c r="C7" s="16">
        <v>-1</v>
      </c>
      <c r="D7" s="16">
        <v>-0.99999999999999856</v>
      </c>
      <c r="E7" s="16">
        <f t="shared" si="0"/>
        <v>-1</v>
      </c>
      <c r="F7" s="3">
        <v>155.63220000000001</v>
      </c>
      <c r="G7" s="2"/>
      <c r="H7">
        <v>2</v>
      </c>
      <c r="I7">
        <v>51.835745000000017</v>
      </c>
      <c r="J7">
        <v>-2.0263450000000205</v>
      </c>
      <c r="K7">
        <v>-0.2620910688465935</v>
      </c>
      <c r="M7" t="s">
        <v>57</v>
      </c>
      <c r="N7">
        <v>0.97292549555681895</v>
      </c>
    </row>
    <row r="8" spans="1:18">
      <c r="B8" s="19">
        <v>-1</v>
      </c>
      <c r="C8" s="16">
        <v>1</v>
      </c>
      <c r="D8" s="16">
        <v>-0.99999999999999856</v>
      </c>
      <c r="E8" s="16">
        <f t="shared" si="0"/>
        <v>-1</v>
      </c>
      <c r="F8" s="3">
        <v>80.768600000000006</v>
      </c>
      <c r="G8" s="2"/>
      <c r="H8">
        <v>3</v>
      </c>
      <c r="I8">
        <v>147.81907000000004</v>
      </c>
      <c r="J8">
        <v>-13.066070000000053</v>
      </c>
      <c r="K8">
        <v>-1.6899887491638341</v>
      </c>
      <c r="M8" t="s">
        <v>58</v>
      </c>
      <c r="N8">
        <v>0.96570562770530399</v>
      </c>
    </row>
    <row r="9" spans="1:18">
      <c r="B9" s="19">
        <v>-1</v>
      </c>
      <c r="C9" s="16">
        <v>1</v>
      </c>
      <c r="D9" s="16">
        <v>-0.99999999999999856</v>
      </c>
      <c r="E9" s="16">
        <f t="shared" si="0"/>
        <v>-1</v>
      </c>
      <c r="F9" s="3">
        <v>82.413600000000002</v>
      </c>
      <c r="G9" s="2"/>
      <c r="H9">
        <v>4</v>
      </c>
      <c r="I9">
        <v>147.81907000000004</v>
      </c>
      <c r="J9">
        <v>7.8131299999999726</v>
      </c>
      <c r="K9">
        <v>1.0105641402314796</v>
      </c>
      <c r="M9" t="s">
        <v>59</v>
      </c>
      <c r="N9">
        <v>8.7014642077334852</v>
      </c>
    </row>
    <row r="10" spans="1:18" ht="15" thickBot="1">
      <c r="B10" s="19">
        <v>1</v>
      </c>
      <c r="C10" s="16">
        <v>1</v>
      </c>
      <c r="D10" s="16">
        <v>-0.99999999999999856</v>
      </c>
      <c r="E10" s="16">
        <f t="shared" si="0"/>
        <v>1</v>
      </c>
      <c r="F10" s="3">
        <v>155.62880000000001</v>
      </c>
      <c r="G10" s="2"/>
      <c r="H10">
        <v>5</v>
      </c>
      <c r="I10">
        <v>82.160245000000018</v>
      </c>
      <c r="J10">
        <v>-1.3916450000000111</v>
      </c>
      <c r="K10">
        <v>-0.17999784118944051</v>
      </c>
      <c r="M10" s="64" t="s">
        <v>60</v>
      </c>
      <c r="N10" s="64">
        <v>20</v>
      </c>
    </row>
    <row r="11" spans="1:18">
      <c r="B11" s="19">
        <v>1</v>
      </c>
      <c r="C11" s="16">
        <v>1</v>
      </c>
      <c r="D11" s="16">
        <v>-0.99999999999999856</v>
      </c>
      <c r="E11" s="16">
        <f t="shared" si="0"/>
        <v>1</v>
      </c>
      <c r="F11" s="3">
        <v>144.9699</v>
      </c>
      <c r="G11" s="2"/>
      <c r="H11">
        <v>6</v>
      </c>
      <c r="I11">
        <v>82.160245000000018</v>
      </c>
      <c r="J11">
        <v>0.2533549999999849</v>
      </c>
      <c r="K11">
        <v>3.2769386628448791E-2</v>
      </c>
    </row>
    <row r="12" spans="1:18" ht="15" thickBot="1">
      <c r="B12" s="19">
        <v>-1</v>
      </c>
      <c r="C12" s="16">
        <v>-1</v>
      </c>
      <c r="D12" s="16">
        <v>1.0000000000000013</v>
      </c>
      <c r="E12" s="16">
        <f t="shared" si="0"/>
        <v>1</v>
      </c>
      <c r="F12" s="3">
        <v>98.2774</v>
      </c>
      <c r="G12" s="2"/>
      <c r="H12">
        <v>7</v>
      </c>
      <c r="I12">
        <v>152.97147000000004</v>
      </c>
      <c r="J12">
        <v>2.6573299999999733</v>
      </c>
      <c r="K12">
        <v>0.34370379179167632</v>
      </c>
      <c r="M12" t="s">
        <v>61</v>
      </c>
    </row>
    <row r="13" spans="1:18">
      <c r="B13" s="19">
        <v>-1</v>
      </c>
      <c r="C13" s="16">
        <v>-1</v>
      </c>
      <c r="D13" s="16">
        <v>1.0000000000000013</v>
      </c>
      <c r="E13" s="16">
        <f t="shared" si="0"/>
        <v>1</v>
      </c>
      <c r="F13" s="3">
        <v>103.02</v>
      </c>
      <c r="G13" s="2"/>
      <c r="H13">
        <v>8</v>
      </c>
      <c r="I13">
        <v>152.97147000000004</v>
      </c>
      <c r="J13">
        <v>-8.0015700000000436</v>
      </c>
      <c r="K13">
        <v>-1.034937305222372</v>
      </c>
      <c r="M13" s="65"/>
      <c r="N13" s="65" t="s">
        <v>66</v>
      </c>
      <c r="O13" s="65" t="s">
        <v>67</v>
      </c>
      <c r="P13" s="65" t="s">
        <v>68</v>
      </c>
      <c r="Q13" s="65" t="s">
        <v>69</v>
      </c>
      <c r="R13" s="65" t="s">
        <v>70</v>
      </c>
    </row>
    <row r="14" spans="1:18">
      <c r="B14" s="19">
        <v>1</v>
      </c>
      <c r="C14" s="16">
        <v>-1</v>
      </c>
      <c r="D14" s="16">
        <v>1.0000000000000013</v>
      </c>
      <c r="E14" s="16">
        <f t="shared" si="0"/>
        <v>-1</v>
      </c>
      <c r="F14" s="3">
        <v>211.4195</v>
      </c>
      <c r="G14" s="2"/>
      <c r="H14">
        <v>9</v>
      </c>
      <c r="I14">
        <v>104.51401999999999</v>
      </c>
      <c r="J14">
        <v>-6.2366199999999878</v>
      </c>
      <c r="K14">
        <v>-0.80665553091404585</v>
      </c>
      <c r="M14" t="s">
        <v>62</v>
      </c>
      <c r="N14">
        <v>4</v>
      </c>
      <c r="O14">
        <v>40812.669589624995</v>
      </c>
      <c r="P14">
        <v>10203.167397406249</v>
      </c>
      <c r="Q14">
        <v>134.75669022843309</v>
      </c>
      <c r="R14">
        <v>1.4558676142708351E-11</v>
      </c>
    </row>
    <row r="15" spans="1:18">
      <c r="B15" s="19">
        <v>1</v>
      </c>
      <c r="C15" s="16">
        <v>-1</v>
      </c>
      <c r="D15" s="16">
        <v>1.0000000000000013</v>
      </c>
      <c r="E15" s="16">
        <f t="shared" si="0"/>
        <v>-1</v>
      </c>
      <c r="F15" s="3">
        <v>190.82329999999999</v>
      </c>
      <c r="G15" s="2"/>
      <c r="H15">
        <v>10</v>
      </c>
      <c r="I15">
        <v>104.51401999999999</v>
      </c>
      <c r="J15">
        <v>-1.4940199999999919</v>
      </c>
      <c r="K15">
        <v>-0.19323920589938118</v>
      </c>
      <c r="M15" t="s">
        <v>63</v>
      </c>
      <c r="N15">
        <v>15</v>
      </c>
      <c r="O15">
        <v>1135.7321903770041</v>
      </c>
      <c r="P15">
        <v>75.715479358466936</v>
      </c>
    </row>
    <row r="16" spans="1:18" ht="15" thickBot="1">
      <c r="B16" s="19">
        <v>-1</v>
      </c>
      <c r="C16" s="16">
        <v>1</v>
      </c>
      <c r="D16" s="16">
        <v>1.0000000000000013</v>
      </c>
      <c r="E16" s="16">
        <f t="shared" si="0"/>
        <v>-1</v>
      </c>
      <c r="F16" s="3">
        <v>137.57159999999999</v>
      </c>
      <c r="G16" s="2"/>
      <c r="H16">
        <v>11</v>
      </c>
      <c r="I16">
        <v>200.49734500000002</v>
      </c>
      <c r="J16">
        <v>10.922154999999975</v>
      </c>
      <c r="K16">
        <v>1.4126909672627959</v>
      </c>
      <c r="M16" s="64" t="s">
        <v>64</v>
      </c>
      <c r="N16" s="64">
        <v>19</v>
      </c>
      <c r="O16" s="64">
        <v>41948.401780002001</v>
      </c>
      <c r="P16" s="64"/>
      <c r="Q16" s="64"/>
      <c r="R16" s="64"/>
    </row>
    <row r="17" spans="2:21" ht="15" thickBot="1">
      <c r="B17" s="19">
        <v>-1</v>
      </c>
      <c r="C17" s="16">
        <v>1</v>
      </c>
      <c r="D17" s="16">
        <v>1.0000000000000013</v>
      </c>
      <c r="E17" s="16">
        <f t="shared" si="0"/>
        <v>-1</v>
      </c>
      <c r="F17" s="3">
        <v>129.2389</v>
      </c>
      <c r="G17" s="2"/>
      <c r="H17">
        <v>12</v>
      </c>
      <c r="I17">
        <v>200.49734500000002</v>
      </c>
      <c r="J17">
        <v>-9.6740450000000351</v>
      </c>
      <c r="K17">
        <v>-1.2512581984410489</v>
      </c>
    </row>
    <row r="18" spans="2:21">
      <c r="B18" s="19">
        <v>1</v>
      </c>
      <c r="C18" s="16">
        <v>1</v>
      </c>
      <c r="D18" s="16">
        <v>1.0000000000000013</v>
      </c>
      <c r="E18" s="16">
        <f t="shared" si="0"/>
        <v>1</v>
      </c>
      <c r="F18" s="3">
        <v>206.4453</v>
      </c>
      <c r="G18" s="2"/>
      <c r="H18">
        <v>13</v>
      </c>
      <c r="I18">
        <v>134.83851999999999</v>
      </c>
      <c r="J18">
        <v>2.7330800000000011</v>
      </c>
      <c r="K18">
        <v>0.35350143161368908</v>
      </c>
      <c r="M18" s="65"/>
      <c r="N18" s="65" t="s">
        <v>71</v>
      </c>
      <c r="O18" s="65" t="s">
        <v>59</v>
      </c>
      <c r="P18" s="65" t="s">
        <v>72</v>
      </c>
      <c r="Q18" s="65" t="s">
        <v>73</v>
      </c>
      <c r="R18" s="65" t="s">
        <v>74</v>
      </c>
      <c r="S18" s="65" t="s">
        <v>75</v>
      </c>
      <c r="T18" s="65" t="s">
        <v>145</v>
      </c>
      <c r="U18" s="65" t="s">
        <v>146</v>
      </c>
    </row>
    <row r="19" spans="2:21" ht="15" thickBot="1">
      <c r="B19" s="41">
        <v>1</v>
      </c>
      <c r="C19" s="39">
        <v>1</v>
      </c>
      <c r="D19" s="39">
        <v>1.0000000000000013</v>
      </c>
      <c r="E19" s="39">
        <f t="shared" si="0"/>
        <v>1</v>
      </c>
      <c r="F19" s="40">
        <v>206.1936</v>
      </c>
      <c r="G19" s="2"/>
      <c r="H19">
        <v>14</v>
      </c>
      <c r="I19">
        <v>134.83851999999999</v>
      </c>
      <c r="J19">
        <v>-5.5996199999999874</v>
      </c>
      <c r="K19">
        <v>-0.7242648171632885</v>
      </c>
      <c r="M19" t="s">
        <v>65</v>
      </c>
      <c r="N19">
        <v>135.03576999999999</v>
      </c>
      <c r="O19">
        <v>1.9457065472273425</v>
      </c>
      <c r="P19">
        <v>69.401919931054223</v>
      </c>
      <c r="Q19">
        <v>3.1422553914942216E-20</v>
      </c>
      <c r="R19">
        <v>130.88859466411958</v>
      </c>
      <c r="S19">
        <v>139.18294533588039</v>
      </c>
      <c r="T19">
        <v>129.30233144982304</v>
      </c>
      <c r="U19">
        <v>140.76920855017693</v>
      </c>
    </row>
    <row r="20" spans="2:21" ht="15" thickBot="1">
      <c r="B20" s="17">
        <v>0</v>
      </c>
      <c r="C20" s="17">
        <v>0</v>
      </c>
      <c r="D20" s="17">
        <v>0</v>
      </c>
      <c r="E20" s="17">
        <v>0</v>
      </c>
      <c r="F20" s="42">
        <v>155.78700000000001</v>
      </c>
      <c r="H20">
        <v>15</v>
      </c>
      <c r="I20">
        <v>205.64974500000002</v>
      </c>
      <c r="J20">
        <v>0.79555499999997892</v>
      </c>
      <c r="K20">
        <v>0.10289849965146314</v>
      </c>
      <c r="M20" t="s">
        <v>8</v>
      </c>
      <c r="N20">
        <v>41.698637500000025</v>
      </c>
      <c r="O20">
        <v>2.1753660519333722</v>
      </c>
      <c r="P20">
        <v>19.168561292450097</v>
      </c>
      <c r="Q20">
        <v>5.8321077085524419E-12</v>
      </c>
      <c r="R20">
        <v>37.061954517180482</v>
      </c>
      <c r="S20">
        <v>46.335320482819569</v>
      </c>
      <c r="T20">
        <v>35.288458328493292</v>
      </c>
      <c r="U20">
        <v>48.108816671506759</v>
      </c>
    </row>
    <row r="21" spans="2:21" ht="15" thickBot="1">
      <c r="B21" s="17">
        <v>0</v>
      </c>
      <c r="C21" s="17">
        <v>0</v>
      </c>
      <c r="D21" s="17">
        <v>0</v>
      </c>
      <c r="E21" s="17">
        <v>0</v>
      </c>
      <c r="F21" s="3">
        <v>138.35820000000001</v>
      </c>
      <c r="H21">
        <v>16</v>
      </c>
      <c r="I21">
        <v>205.64974500000002</v>
      </c>
      <c r="J21">
        <v>0.54385499999997933</v>
      </c>
      <c r="K21">
        <v>7.034317366862862E-2</v>
      </c>
      <c r="M21" t="s">
        <v>10</v>
      </c>
      <c r="N21">
        <v>8.8692249999999984</v>
      </c>
      <c r="O21">
        <v>2.1753660519333708</v>
      </c>
      <c r="P21">
        <v>4.0771184197332753</v>
      </c>
      <c r="Q21">
        <v>9.9120599386784587E-4</v>
      </c>
      <c r="R21">
        <v>4.2325420171804549</v>
      </c>
      <c r="S21">
        <v>13.505907982819542</v>
      </c>
      <c r="T21">
        <v>2.459045828493271</v>
      </c>
      <c r="U21">
        <v>15.279404171506727</v>
      </c>
    </row>
    <row r="22" spans="2:21" ht="15" thickBot="1">
      <c r="B22" s="17">
        <v>0</v>
      </c>
      <c r="C22" s="17">
        <v>0</v>
      </c>
      <c r="D22" s="17">
        <v>0</v>
      </c>
      <c r="E22" s="17">
        <v>0</v>
      </c>
      <c r="F22" s="3">
        <v>127.41459999999999</v>
      </c>
      <c r="H22">
        <v>17</v>
      </c>
      <c r="I22">
        <v>135.03576999999999</v>
      </c>
      <c r="J22">
        <v>20.751230000000021</v>
      </c>
      <c r="K22">
        <v>2.6840010218306594</v>
      </c>
      <c r="M22" t="s">
        <v>9</v>
      </c>
      <c r="N22">
        <v>26.339137499999993</v>
      </c>
      <c r="O22">
        <v>2.1753660519333713</v>
      </c>
      <c r="P22">
        <v>12.107910517676281</v>
      </c>
      <c r="Q22">
        <v>3.8245363284674561E-9</v>
      </c>
      <c r="R22">
        <v>21.702454517180449</v>
      </c>
      <c r="S22">
        <v>30.975820482819536</v>
      </c>
      <c r="T22">
        <v>19.928958328493263</v>
      </c>
      <c r="U22">
        <v>32.749316671506719</v>
      </c>
    </row>
    <row r="23" spans="2:21" ht="15" thickBot="1">
      <c r="B23" s="17">
        <v>0</v>
      </c>
      <c r="C23" s="17">
        <v>0</v>
      </c>
      <c r="D23" s="17">
        <v>0</v>
      </c>
      <c r="E23" s="17">
        <v>0</v>
      </c>
      <c r="F23" s="10">
        <v>134.6026</v>
      </c>
      <c r="H23">
        <v>18</v>
      </c>
      <c r="I23">
        <v>135.03576999999999</v>
      </c>
      <c r="J23">
        <v>3.3224300000000255</v>
      </c>
      <c r="K23">
        <v>0.42972900955562138</v>
      </c>
      <c r="M23" s="64" t="s">
        <v>39</v>
      </c>
      <c r="N23" s="64">
        <v>-6.2930249999999965</v>
      </c>
      <c r="O23" s="64">
        <v>2.1753660519333713</v>
      </c>
      <c r="P23" s="64">
        <v>-2.8928579603451237</v>
      </c>
      <c r="Q23" s="64">
        <v>1.1155050567123485E-2</v>
      </c>
      <c r="R23" s="64">
        <v>-10.92970798281954</v>
      </c>
      <c r="S23" s="64">
        <v>-1.6563420171804522</v>
      </c>
      <c r="T23" s="64">
        <v>-12.703204171506727</v>
      </c>
      <c r="U23" s="64">
        <v>0.11715417150673257</v>
      </c>
    </row>
    <row r="24" spans="2:21">
      <c r="H24">
        <v>19</v>
      </c>
      <c r="I24">
        <v>135.03576999999999</v>
      </c>
      <c r="J24">
        <v>-7.6211699999999922</v>
      </c>
      <c r="K24">
        <v>-0.98573569217560231</v>
      </c>
    </row>
    <row r="25" spans="2:21" ht="15" thickBot="1">
      <c r="H25" s="64">
        <v>20</v>
      </c>
      <c r="I25" s="64">
        <v>135.03576999999999</v>
      </c>
      <c r="J25" s="64">
        <v>-0.43316999999998984</v>
      </c>
      <c r="K25" s="64">
        <v>-5.6026978768311961E-2</v>
      </c>
    </row>
    <row r="29" spans="2:21">
      <c r="H29" s="85"/>
      <c r="I29" s="85"/>
    </row>
    <row r="50" spans="2:13">
      <c r="B50" t="s">
        <v>155</v>
      </c>
    </row>
    <row r="51" spans="2:13">
      <c r="B51" t="s">
        <v>152</v>
      </c>
    </row>
    <row r="52" spans="2:13">
      <c r="B52" t="s">
        <v>154</v>
      </c>
    </row>
    <row r="53" spans="2:13">
      <c r="B53" t="s">
        <v>153</v>
      </c>
    </row>
    <row r="55" spans="2:13" ht="15">
      <c r="B55" s="27" t="s">
        <v>156</v>
      </c>
    </row>
    <row r="58" spans="2:13" ht="15">
      <c r="B58" s="27" t="s">
        <v>157</v>
      </c>
      <c r="M58" s="28" t="s">
        <v>125</v>
      </c>
    </row>
    <row r="74" spans="2:11">
      <c r="B74" t="s">
        <v>158</v>
      </c>
      <c r="K74" t="s">
        <v>158</v>
      </c>
    </row>
    <row r="76" spans="2:11" ht="15">
      <c r="B76" s="28" t="s">
        <v>135</v>
      </c>
      <c r="K76" s="28" t="s">
        <v>135</v>
      </c>
    </row>
    <row r="77" spans="2:11" ht="15">
      <c r="B77" s="28" t="s">
        <v>134</v>
      </c>
      <c r="K77" s="28" t="s">
        <v>134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53"/>
  <sheetViews>
    <sheetView zoomScaleNormal="100" workbookViewId="0">
      <selection activeCell="C29" sqref="C29"/>
    </sheetView>
  </sheetViews>
  <sheetFormatPr defaultRowHeight="14.25"/>
  <cols>
    <col min="3" max="3" width="12.125" bestFit="1" customWidth="1"/>
  </cols>
  <sheetData>
    <row r="1" spans="1:13" ht="15">
      <c r="A1" s="28" t="s">
        <v>159</v>
      </c>
    </row>
    <row r="3" spans="1:13" ht="15">
      <c r="B3" s="27" t="s">
        <v>278</v>
      </c>
    </row>
    <row r="4" spans="1:13" ht="15" thickBot="1"/>
    <row r="5" spans="1:13" ht="15">
      <c r="B5" s="62" t="s">
        <v>8</v>
      </c>
      <c r="C5" s="63" t="s">
        <v>10</v>
      </c>
      <c r="D5" s="63" t="s">
        <v>9</v>
      </c>
      <c r="E5" s="63" t="s">
        <v>39</v>
      </c>
      <c r="F5" s="25" t="s">
        <v>11</v>
      </c>
      <c r="H5" t="s">
        <v>54</v>
      </c>
    </row>
    <row r="6" spans="1:13" ht="15" thickBot="1">
      <c r="B6" s="19">
        <v>-1</v>
      </c>
      <c r="C6" s="16">
        <v>-1</v>
      </c>
      <c r="D6" s="16">
        <v>-0.99999999999999856</v>
      </c>
      <c r="E6" s="16">
        <f>B6*C6</f>
        <v>1</v>
      </c>
      <c r="F6" s="3">
        <v>57.587899999999998</v>
      </c>
    </row>
    <row r="7" spans="1:13">
      <c r="B7" s="19">
        <v>-1</v>
      </c>
      <c r="C7" s="16">
        <v>-1</v>
      </c>
      <c r="D7" s="16">
        <v>-0.99999999999999856</v>
      </c>
      <c r="E7" s="16">
        <f t="shared" ref="E7:E21" si="0">B7*C7</f>
        <v>1</v>
      </c>
      <c r="F7" s="3">
        <v>49.809399999999997</v>
      </c>
      <c r="H7" s="66" t="s">
        <v>55</v>
      </c>
      <c r="I7" s="66"/>
    </row>
    <row r="8" spans="1:13">
      <c r="B8" s="19">
        <v>1</v>
      </c>
      <c r="C8" s="16">
        <v>-1</v>
      </c>
      <c r="D8" s="16">
        <v>-0.99999999999999856</v>
      </c>
      <c r="E8" s="16">
        <f t="shared" si="0"/>
        <v>-1</v>
      </c>
      <c r="F8" s="3">
        <v>134.75299999999999</v>
      </c>
      <c r="H8" t="s">
        <v>56</v>
      </c>
      <c r="I8">
        <v>0.98636985738455074</v>
      </c>
    </row>
    <row r="9" spans="1:13">
      <c r="B9" s="19">
        <v>1</v>
      </c>
      <c r="C9" s="16">
        <v>-1</v>
      </c>
      <c r="D9" s="16">
        <v>-0.99999999999999856</v>
      </c>
      <c r="E9" s="16">
        <f t="shared" si="0"/>
        <v>-1</v>
      </c>
      <c r="F9" s="3">
        <v>155.63220000000001</v>
      </c>
      <c r="H9" t="s">
        <v>57</v>
      </c>
      <c r="I9">
        <v>0.97292549555681895</v>
      </c>
    </row>
    <row r="10" spans="1:13">
      <c r="B10" s="19">
        <v>-1</v>
      </c>
      <c r="C10" s="16">
        <v>1</v>
      </c>
      <c r="D10" s="16">
        <v>-0.99999999999999856</v>
      </c>
      <c r="E10" s="16">
        <f t="shared" si="0"/>
        <v>-1</v>
      </c>
      <c r="F10" s="3">
        <v>80.768600000000006</v>
      </c>
      <c r="H10" t="s">
        <v>58</v>
      </c>
      <c r="I10">
        <v>0.96570562770530399</v>
      </c>
    </row>
    <row r="11" spans="1:13">
      <c r="B11" s="19">
        <v>-1</v>
      </c>
      <c r="C11" s="16">
        <v>1</v>
      </c>
      <c r="D11" s="16">
        <v>-0.99999999999999856</v>
      </c>
      <c r="E11" s="16">
        <f t="shared" si="0"/>
        <v>-1</v>
      </c>
      <c r="F11" s="3">
        <v>82.413600000000002</v>
      </c>
      <c r="H11" t="s">
        <v>59</v>
      </c>
      <c r="I11">
        <v>8.7014642077334852</v>
      </c>
    </row>
    <row r="12" spans="1:13" ht="15" thickBot="1">
      <c r="B12" s="19">
        <v>1</v>
      </c>
      <c r="C12" s="16">
        <v>1</v>
      </c>
      <c r="D12" s="16">
        <v>-0.99999999999999856</v>
      </c>
      <c r="E12" s="16">
        <f t="shared" si="0"/>
        <v>1</v>
      </c>
      <c r="F12" s="3">
        <v>155.62880000000001</v>
      </c>
      <c r="H12" s="64" t="s">
        <v>60</v>
      </c>
      <c r="I12" s="64">
        <v>20</v>
      </c>
    </row>
    <row r="13" spans="1:13">
      <c r="B13" s="19">
        <v>1</v>
      </c>
      <c r="C13" s="16">
        <v>1</v>
      </c>
      <c r="D13" s="16">
        <v>-0.99999999999999856</v>
      </c>
      <c r="E13" s="16">
        <f t="shared" si="0"/>
        <v>1</v>
      </c>
      <c r="F13" s="3">
        <v>144.9699</v>
      </c>
    </row>
    <row r="14" spans="1:13" ht="15" thickBot="1">
      <c r="B14" s="19">
        <v>-1</v>
      </c>
      <c r="C14" s="16">
        <v>-1</v>
      </c>
      <c r="D14" s="16">
        <v>1.0000000000000013</v>
      </c>
      <c r="E14" s="16">
        <f t="shared" si="0"/>
        <v>1</v>
      </c>
      <c r="F14" s="3">
        <v>98.2774</v>
      </c>
      <c r="H14" t="s">
        <v>61</v>
      </c>
    </row>
    <row r="15" spans="1:13">
      <c r="B15" s="19">
        <v>-1</v>
      </c>
      <c r="C15" s="16">
        <v>-1</v>
      </c>
      <c r="D15" s="16">
        <v>1.0000000000000013</v>
      </c>
      <c r="E15" s="16">
        <f t="shared" si="0"/>
        <v>1</v>
      </c>
      <c r="F15" s="3">
        <v>103.02</v>
      </c>
      <c r="H15" s="65"/>
      <c r="I15" s="65" t="s">
        <v>66</v>
      </c>
      <c r="J15" s="65" t="s">
        <v>67</v>
      </c>
      <c r="K15" s="65" t="s">
        <v>68</v>
      </c>
      <c r="L15" s="65" t="s">
        <v>69</v>
      </c>
      <c r="M15" s="65" t="s">
        <v>70</v>
      </c>
    </row>
    <row r="16" spans="1:13">
      <c r="B16" s="19">
        <v>1</v>
      </c>
      <c r="C16" s="16">
        <v>-1</v>
      </c>
      <c r="D16" s="16">
        <v>1.0000000000000013</v>
      </c>
      <c r="E16" s="16">
        <f t="shared" si="0"/>
        <v>-1</v>
      </c>
      <c r="F16" s="3">
        <v>211.4195</v>
      </c>
      <c r="H16" t="s">
        <v>62</v>
      </c>
      <c r="I16">
        <v>4</v>
      </c>
      <c r="J16">
        <v>40812.669589624995</v>
      </c>
      <c r="K16">
        <v>10203.167397406249</v>
      </c>
      <c r="L16">
        <v>134.75669022843309</v>
      </c>
      <c r="M16">
        <v>1.4558676142708351E-11</v>
      </c>
    </row>
    <row r="17" spans="2:16">
      <c r="B17" s="19">
        <v>1</v>
      </c>
      <c r="C17" s="16">
        <v>-1</v>
      </c>
      <c r="D17" s="16">
        <v>1.0000000000000013</v>
      </c>
      <c r="E17" s="16">
        <f t="shared" si="0"/>
        <v>-1</v>
      </c>
      <c r="F17" s="3">
        <v>190.82329999999999</v>
      </c>
      <c r="H17" t="s">
        <v>63</v>
      </c>
      <c r="I17">
        <v>15</v>
      </c>
      <c r="J17">
        <v>1135.7321903770041</v>
      </c>
      <c r="K17">
        <v>75.715479358466936</v>
      </c>
    </row>
    <row r="18" spans="2:16" ht="15" thickBot="1">
      <c r="B18" s="19">
        <v>-1</v>
      </c>
      <c r="C18" s="16">
        <v>1</v>
      </c>
      <c r="D18" s="16">
        <v>1.0000000000000013</v>
      </c>
      <c r="E18" s="16">
        <f t="shared" si="0"/>
        <v>-1</v>
      </c>
      <c r="F18" s="3">
        <v>137.57159999999999</v>
      </c>
      <c r="H18" s="64" t="s">
        <v>64</v>
      </c>
      <c r="I18" s="64">
        <v>19</v>
      </c>
      <c r="J18" s="64">
        <v>41948.401780002001</v>
      </c>
      <c r="K18" s="64"/>
      <c r="L18" s="64"/>
      <c r="M18" s="64"/>
    </row>
    <row r="19" spans="2:16" ht="15" thickBot="1">
      <c r="B19" s="19">
        <v>-1</v>
      </c>
      <c r="C19" s="16">
        <v>1</v>
      </c>
      <c r="D19" s="16">
        <v>1.0000000000000013</v>
      </c>
      <c r="E19" s="16">
        <f t="shared" si="0"/>
        <v>-1</v>
      </c>
      <c r="F19" s="3">
        <v>129.2389</v>
      </c>
    </row>
    <row r="20" spans="2:16">
      <c r="B20" s="19">
        <v>1</v>
      </c>
      <c r="C20" s="16">
        <v>1</v>
      </c>
      <c r="D20" s="16">
        <v>1.0000000000000013</v>
      </c>
      <c r="E20" s="16">
        <f t="shared" si="0"/>
        <v>1</v>
      </c>
      <c r="F20" s="3">
        <v>206.4453</v>
      </c>
      <c r="H20" s="65"/>
      <c r="I20" s="65" t="s">
        <v>71</v>
      </c>
      <c r="J20" s="65" t="s">
        <v>59</v>
      </c>
      <c r="K20" s="65" t="s">
        <v>72</v>
      </c>
      <c r="L20" s="65" t="s">
        <v>73</v>
      </c>
      <c r="M20" s="65" t="s">
        <v>74</v>
      </c>
      <c r="N20" s="65" t="s">
        <v>75</v>
      </c>
      <c r="O20" s="65" t="s">
        <v>117</v>
      </c>
      <c r="P20" s="65" t="s">
        <v>118</v>
      </c>
    </row>
    <row r="21" spans="2:16" ht="15" thickBot="1">
      <c r="B21" s="41">
        <v>1</v>
      </c>
      <c r="C21" s="39">
        <v>1</v>
      </c>
      <c r="D21" s="39">
        <v>1.0000000000000013</v>
      </c>
      <c r="E21" s="39">
        <f t="shared" si="0"/>
        <v>1</v>
      </c>
      <c r="F21" s="40">
        <v>206.1936</v>
      </c>
      <c r="H21" t="s">
        <v>65</v>
      </c>
      <c r="I21">
        <v>135.03576999999999</v>
      </c>
      <c r="J21">
        <v>1.9457065472273425</v>
      </c>
      <c r="K21">
        <v>69.401919931054223</v>
      </c>
      <c r="L21">
        <v>3.1422553914942216E-20</v>
      </c>
      <c r="M21">
        <v>130.88859466411958</v>
      </c>
      <c r="N21">
        <v>139.18294533588039</v>
      </c>
      <c r="O21">
        <v>129.97210705096671</v>
      </c>
      <c r="P21">
        <v>140.09943294903326</v>
      </c>
    </row>
    <row r="22" spans="2:16" ht="15" thickBot="1">
      <c r="B22" s="17">
        <v>0</v>
      </c>
      <c r="C22" s="17">
        <v>0</v>
      </c>
      <c r="D22" s="17">
        <v>0</v>
      </c>
      <c r="E22" s="17">
        <v>0</v>
      </c>
      <c r="F22" s="42">
        <v>155.78700000000001</v>
      </c>
      <c r="H22" t="s">
        <v>8</v>
      </c>
      <c r="I22">
        <v>41.698637500000025</v>
      </c>
      <c r="J22">
        <v>2.1753660519333722</v>
      </c>
      <c r="K22">
        <v>19.168561292450097</v>
      </c>
      <c r="L22">
        <v>5.8321077085524419E-12</v>
      </c>
      <c r="M22">
        <v>37.061954517180482</v>
      </c>
      <c r="N22">
        <v>46.335320482819569</v>
      </c>
      <c r="O22">
        <v>36.037290215407282</v>
      </c>
      <c r="P22">
        <v>47.359984784592768</v>
      </c>
    </row>
    <row r="23" spans="2:16" ht="15" thickBot="1">
      <c r="B23" s="17">
        <v>0</v>
      </c>
      <c r="C23" s="17">
        <v>0</v>
      </c>
      <c r="D23" s="17">
        <v>0</v>
      </c>
      <c r="E23" s="17">
        <v>0</v>
      </c>
      <c r="F23" s="3">
        <v>138.35820000000001</v>
      </c>
      <c r="H23" t="s">
        <v>10</v>
      </c>
      <c r="I23">
        <v>8.8692249999999984</v>
      </c>
      <c r="J23">
        <v>2.1753660519333708</v>
      </c>
      <c r="K23">
        <v>4.0771184197332753</v>
      </c>
      <c r="L23">
        <v>9.9120599386784587E-4</v>
      </c>
      <c r="M23">
        <v>4.2325420171804549</v>
      </c>
      <c r="N23">
        <v>13.505907982819542</v>
      </c>
      <c r="O23">
        <v>3.2078777154072595</v>
      </c>
      <c r="P23">
        <v>14.530572284592736</v>
      </c>
    </row>
    <row r="24" spans="2:16" ht="15" thickBot="1">
      <c r="B24" s="17">
        <v>0</v>
      </c>
      <c r="C24" s="17">
        <v>0</v>
      </c>
      <c r="D24" s="17">
        <v>0</v>
      </c>
      <c r="E24" s="17">
        <v>0</v>
      </c>
      <c r="F24" s="3">
        <v>127.41459999999999</v>
      </c>
      <c r="H24" t="s">
        <v>9</v>
      </c>
      <c r="I24">
        <v>26.339137499999993</v>
      </c>
      <c r="J24">
        <v>2.1753660519333713</v>
      </c>
      <c r="K24">
        <v>12.107910517676281</v>
      </c>
      <c r="L24">
        <v>3.8245363284674561E-9</v>
      </c>
      <c r="M24">
        <v>21.702454517180449</v>
      </c>
      <c r="N24">
        <v>30.975820482819536</v>
      </c>
      <c r="O24">
        <v>20.677790215407253</v>
      </c>
      <c r="P24">
        <v>32.000484784592729</v>
      </c>
    </row>
    <row r="25" spans="2:16" ht="15" thickBot="1">
      <c r="B25" s="17">
        <v>0</v>
      </c>
      <c r="C25" s="17">
        <v>0</v>
      </c>
      <c r="D25" s="17">
        <v>0</v>
      </c>
      <c r="E25" s="17">
        <v>0</v>
      </c>
      <c r="F25" s="10">
        <v>134.6026</v>
      </c>
      <c r="H25" s="64" t="s">
        <v>39</v>
      </c>
      <c r="I25" s="64">
        <v>-6.2930249999999965</v>
      </c>
      <c r="J25" s="64">
        <v>2.1753660519333713</v>
      </c>
      <c r="K25" s="64">
        <v>-2.8928579603451237</v>
      </c>
      <c r="L25" s="64">
        <v>1.1155050567123485E-2</v>
      </c>
      <c r="M25" s="64">
        <v>-10.92970798281954</v>
      </c>
      <c r="N25" s="64">
        <v>-1.6563420171804522</v>
      </c>
      <c r="O25" s="64">
        <v>-11.954372284592736</v>
      </c>
      <c r="P25" s="64">
        <v>-0.63167771540725681</v>
      </c>
    </row>
    <row r="27" spans="2:16" ht="15">
      <c r="B27" s="27" t="s">
        <v>162</v>
      </c>
      <c r="G27" s="28" t="s">
        <v>125</v>
      </c>
    </row>
    <row r="29" spans="2:16" ht="15">
      <c r="B29" s="84" t="s">
        <v>164</v>
      </c>
      <c r="C29" s="83">
        <f>_xlfn.T.INV(0.99,15)</f>
        <v>2.6024802950111217</v>
      </c>
    </row>
    <row r="30" spans="2:16" ht="15">
      <c r="B30" s="84" t="s">
        <v>165</v>
      </c>
      <c r="C30" s="83">
        <f>_xlfn.T.INV(0.01,15)</f>
        <v>-2.6024802950111221</v>
      </c>
    </row>
    <row r="31" spans="2:16" ht="15">
      <c r="B31" s="27"/>
      <c r="E31" t="s">
        <v>167</v>
      </c>
    </row>
    <row r="32" spans="2:16" ht="15">
      <c r="B32" s="84" t="s">
        <v>163</v>
      </c>
      <c r="C32" s="83">
        <f>I24/J24</f>
        <v>12.107910517676281</v>
      </c>
    </row>
    <row r="34" spans="2:6" ht="15">
      <c r="B34" s="84" t="s">
        <v>166</v>
      </c>
      <c r="C34" s="83">
        <f>C29*J24</f>
        <v>5.6613472845927388</v>
      </c>
    </row>
    <row r="36" spans="2:6" ht="15">
      <c r="B36" s="27" t="s">
        <v>168</v>
      </c>
    </row>
    <row r="38" spans="2:6" ht="15">
      <c r="B38" s="27" t="s">
        <v>280</v>
      </c>
      <c r="D38" s="28" t="s">
        <v>119</v>
      </c>
    </row>
    <row r="39" spans="2:6" ht="15">
      <c r="D39" s="28" t="s">
        <v>120</v>
      </c>
    </row>
    <row r="42" spans="2:6" ht="15">
      <c r="B42" s="84" t="s">
        <v>115</v>
      </c>
      <c r="C42">
        <f>2*MIN(_xlfn.T.DIST(C32,15,1),1-_xlfn.T.DIST(C32,15,1))</f>
        <v>3.8245362432576258E-9</v>
      </c>
    </row>
    <row r="44" spans="2:6" ht="15">
      <c r="B44" s="27" t="s">
        <v>158</v>
      </c>
      <c r="D44" s="28" t="s">
        <v>119</v>
      </c>
    </row>
    <row r="45" spans="2:6" ht="15">
      <c r="D45" s="28" t="s">
        <v>120</v>
      </c>
    </row>
    <row r="47" spans="2:6" ht="15">
      <c r="B47" s="86" t="s">
        <v>169</v>
      </c>
      <c r="C47">
        <f>I24-C34</f>
        <v>20.677790215407253</v>
      </c>
      <c r="D47">
        <f>I24+C34</f>
        <v>32.000484784592729</v>
      </c>
      <c r="F47" s="28" t="s">
        <v>119</v>
      </c>
    </row>
    <row r="48" spans="2:6" ht="15">
      <c r="F48" s="28" t="s">
        <v>120</v>
      </c>
    </row>
    <row r="49" spans="2:2">
      <c r="B49" t="s">
        <v>170</v>
      </c>
    </row>
    <row r="51" spans="2:2" ht="15">
      <c r="B51" s="27" t="s">
        <v>171</v>
      </c>
    </row>
    <row r="52" spans="2:2" ht="15">
      <c r="B52" s="27" t="s">
        <v>173</v>
      </c>
    </row>
    <row r="53" spans="2:2" ht="15">
      <c r="B53" s="27" t="s">
        <v>172</v>
      </c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62"/>
  <sheetViews>
    <sheetView topLeftCell="A3" zoomScale="70" zoomScaleNormal="70" workbookViewId="0">
      <selection activeCell="J42" sqref="J42"/>
    </sheetView>
  </sheetViews>
  <sheetFormatPr defaultRowHeight="14.25"/>
  <cols>
    <col min="3" max="3" width="12.375" bestFit="1" customWidth="1"/>
    <col min="7" max="7" width="11.75" customWidth="1"/>
    <col min="8" max="9" width="12.875" customWidth="1"/>
    <col min="10" max="10" width="13.875" customWidth="1"/>
  </cols>
  <sheetData>
    <row r="1" spans="1:24" ht="15">
      <c r="A1" s="28" t="s">
        <v>174</v>
      </c>
    </row>
    <row r="3" spans="1:24" ht="15">
      <c r="B3" s="27" t="s">
        <v>278</v>
      </c>
    </row>
    <row r="4" spans="1:24" ht="15" thickBot="1"/>
    <row r="5" spans="1:24" ht="15">
      <c r="B5" s="62" t="s">
        <v>8</v>
      </c>
      <c r="C5" s="63" t="s">
        <v>10</v>
      </c>
      <c r="D5" s="63" t="s">
        <v>9</v>
      </c>
      <c r="E5" s="63" t="s">
        <v>39</v>
      </c>
      <c r="F5" s="25" t="s">
        <v>11</v>
      </c>
      <c r="G5" s="63" t="s">
        <v>176</v>
      </c>
      <c r="H5" s="63" t="s">
        <v>177</v>
      </c>
      <c r="I5" s="63" t="s">
        <v>178</v>
      </c>
      <c r="J5" s="87" t="s">
        <v>179</v>
      </c>
      <c r="M5" t="s">
        <v>54</v>
      </c>
    </row>
    <row r="6" spans="1:24" ht="15" thickBot="1">
      <c r="B6" s="19">
        <v>-1</v>
      </c>
      <c r="C6" s="16">
        <v>-1</v>
      </c>
      <c r="D6" s="16">
        <v>-0.99999999999999856</v>
      </c>
      <c r="E6" s="16">
        <f>B6*C6</f>
        <v>1</v>
      </c>
      <c r="F6" s="3">
        <v>57.587899999999998</v>
      </c>
      <c r="G6" s="16">
        <f>$N$21+$N$22*B6+$N$23*C6+$N$24*D6+$N$25*E6</f>
        <v>51.835745000000017</v>
      </c>
      <c r="H6" s="16">
        <f>$N$21+$N$22*B6+$N$23*C6+$N$25*E6</f>
        <v>78.174882499999967</v>
      </c>
      <c r="I6" s="16">
        <f>(G6-$N$21)^2</f>
        <v>6922.2441600006196</v>
      </c>
      <c r="J6" s="20">
        <f>(H6-$N$21)^2</f>
        <v>3233.1605272876582</v>
      </c>
    </row>
    <row r="7" spans="1:24">
      <c r="B7" s="19">
        <v>-1</v>
      </c>
      <c r="C7" s="16">
        <v>-1</v>
      </c>
      <c r="D7" s="16">
        <v>-0.99999999999999856</v>
      </c>
      <c r="E7" s="16">
        <f t="shared" ref="E7:E21" si="0">B7*C7</f>
        <v>1</v>
      </c>
      <c r="F7" s="3">
        <v>49.809399999999997</v>
      </c>
      <c r="G7" s="16">
        <f>$N$21+$N$22*B7+$N$23*C7+$N$24*D7+$N$25*E7</f>
        <v>51.835745000000017</v>
      </c>
      <c r="H7" s="16">
        <f t="shared" ref="H7:H25" si="1">$N$21+$N$22*B7+$N$23*C7+$N$25*E7</f>
        <v>78.174882499999967</v>
      </c>
      <c r="I7" s="16">
        <f t="shared" ref="I7:I25" si="2">(G7-$N$21)^2</f>
        <v>6922.2441600006196</v>
      </c>
      <c r="J7" s="20">
        <f t="shared" ref="J7:J25" si="3">(H7-$N$21)^2</f>
        <v>3233.1605272876582</v>
      </c>
      <c r="M7" s="66" t="s">
        <v>55</v>
      </c>
      <c r="N7" s="66"/>
    </row>
    <row r="8" spans="1:24">
      <c r="B8" s="19">
        <v>1</v>
      </c>
      <c r="C8" s="16">
        <v>-1</v>
      </c>
      <c r="D8" s="16">
        <v>-0.99999999999999856</v>
      </c>
      <c r="E8" s="16">
        <f t="shared" si="0"/>
        <v>-1</v>
      </c>
      <c r="F8" s="3">
        <v>134.75299999999999</v>
      </c>
      <c r="G8" s="16">
        <f t="shared" ref="G8:G25" si="4">$N$21+$N$22*B8+$N$23*C8+$N$24*D8+$N$25*E8</f>
        <v>147.81907000000004</v>
      </c>
      <c r="H8" s="16">
        <f t="shared" si="1"/>
        <v>174.1582075</v>
      </c>
      <c r="I8" s="16">
        <f t="shared" si="2"/>
        <v>163.41275889000138</v>
      </c>
      <c r="J8" s="20">
        <f t="shared" si="3"/>
        <v>1530.5651159414076</v>
      </c>
      <c r="M8" t="s">
        <v>56</v>
      </c>
      <c r="N8">
        <v>0.98636985738455074</v>
      </c>
    </row>
    <row r="9" spans="1:24">
      <c r="B9" s="19">
        <v>1</v>
      </c>
      <c r="C9" s="16">
        <v>-1</v>
      </c>
      <c r="D9" s="16">
        <v>-0.99999999999999856</v>
      </c>
      <c r="E9" s="16">
        <f t="shared" si="0"/>
        <v>-1</v>
      </c>
      <c r="F9" s="3">
        <v>155.63220000000001</v>
      </c>
      <c r="G9" s="16">
        <f t="shared" si="4"/>
        <v>147.81907000000004</v>
      </c>
      <c r="H9" s="16">
        <f t="shared" si="1"/>
        <v>174.1582075</v>
      </c>
      <c r="I9" s="16">
        <f t="shared" si="2"/>
        <v>163.41275889000138</v>
      </c>
      <c r="J9" s="20">
        <f t="shared" si="3"/>
        <v>1530.5651159414076</v>
      </c>
      <c r="M9" t="s">
        <v>57</v>
      </c>
      <c r="N9">
        <v>0.97292549555681895</v>
      </c>
    </row>
    <row r="10" spans="1:24">
      <c r="B10" s="19">
        <v>-1</v>
      </c>
      <c r="C10" s="16">
        <v>1</v>
      </c>
      <c r="D10" s="16">
        <v>-0.99999999999999856</v>
      </c>
      <c r="E10" s="16">
        <f t="shared" si="0"/>
        <v>-1</v>
      </c>
      <c r="F10" s="3">
        <v>80.768600000000006</v>
      </c>
      <c r="G10" s="16">
        <f t="shared" si="4"/>
        <v>82.160245000000018</v>
      </c>
      <c r="H10" s="16">
        <f t="shared" si="1"/>
        <v>108.49938249999997</v>
      </c>
      <c r="I10" s="16">
        <f t="shared" si="2"/>
        <v>2795.8211440256214</v>
      </c>
      <c r="J10" s="20">
        <f t="shared" si="3"/>
        <v>704.17986155015717</v>
      </c>
      <c r="M10" t="s">
        <v>58</v>
      </c>
      <c r="N10">
        <v>0.96570562770530399</v>
      </c>
    </row>
    <row r="11" spans="1:24">
      <c r="B11" s="19">
        <v>-1</v>
      </c>
      <c r="C11" s="16">
        <v>1</v>
      </c>
      <c r="D11" s="16">
        <v>-0.99999999999999856</v>
      </c>
      <c r="E11" s="16">
        <f t="shared" si="0"/>
        <v>-1</v>
      </c>
      <c r="F11" s="3">
        <v>82.413600000000002</v>
      </c>
      <c r="G11" s="16">
        <f t="shared" si="4"/>
        <v>82.160245000000018</v>
      </c>
      <c r="H11" s="16">
        <f t="shared" si="1"/>
        <v>108.49938249999997</v>
      </c>
      <c r="I11" s="16">
        <f t="shared" si="2"/>
        <v>2795.8211440256214</v>
      </c>
      <c r="J11" s="20">
        <f t="shared" si="3"/>
        <v>704.17986155015717</v>
      </c>
      <c r="M11" t="s">
        <v>59</v>
      </c>
      <c r="N11">
        <v>8.7014642077334852</v>
      </c>
    </row>
    <row r="12" spans="1:24" ht="15" thickBot="1">
      <c r="B12" s="19">
        <v>1</v>
      </c>
      <c r="C12" s="16">
        <v>1</v>
      </c>
      <c r="D12" s="16">
        <v>-0.99999999999999856</v>
      </c>
      <c r="E12" s="16">
        <f t="shared" si="0"/>
        <v>1</v>
      </c>
      <c r="F12" s="3">
        <v>155.62880000000001</v>
      </c>
      <c r="G12" s="16">
        <f t="shared" si="4"/>
        <v>152.97147000000004</v>
      </c>
      <c r="H12" s="16">
        <f t="shared" si="1"/>
        <v>179.3106075</v>
      </c>
      <c r="I12" s="16">
        <f t="shared" si="2"/>
        <v>321.68933449000195</v>
      </c>
      <c r="J12" s="20">
        <f t="shared" si="3"/>
        <v>1960.2612356514078</v>
      </c>
      <c r="M12" s="64" t="s">
        <v>60</v>
      </c>
      <c r="N12" s="64">
        <v>20</v>
      </c>
      <c r="V12" s="85"/>
      <c r="W12" s="85"/>
      <c r="X12" s="85"/>
    </row>
    <row r="13" spans="1:24">
      <c r="B13" s="19">
        <v>1</v>
      </c>
      <c r="C13" s="16">
        <v>1</v>
      </c>
      <c r="D13" s="16">
        <v>-0.99999999999999856</v>
      </c>
      <c r="E13" s="16">
        <f t="shared" si="0"/>
        <v>1</v>
      </c>
      <c r="F13" s="3">
        <v>144.9699</v>
      </c>
      <c r="G13" s="16">
        <f t="shared" si="4"/>
        <v>152.97147000000004</v>
      </c>
      <c r="H13" s="16">
        <f t="shared" si="1"/>
        <v>179.3106075</v>
      </c>
      <c r="I13" s="16">
        <f t="shared" si="2"/>
        <v>321.68933449000195</v>
      </c>
      <c r="J13" s="20">
        <f t="shared" si="3"/>
        <v>1960.2612356514078</v>
      </c>
    </row>
    <row r="14" spans="1:24" ht="15" thickBot="1">
      <c r="B14" s="19">
        <v>-1</v>
      </c>
      <c r="C14" s="16">
        <v>-1</v>
      </c>
      <c r="D14" s="16">
        <v>1.0000000000000013</v>
      </c>
      <c r="E14" s="16">
        <f t="shared" si="0"/>
        <v>1</v>
      </c>
      <c r="F14" s="3">
        <v>98.2774</v>
      </c>
      <c r="G14" s="16">
        <f t="shared" si="4"/>
        <v>104.51401999999999</v>
      </c>
      <c r="H14" s="16">
        <f t="shared" si="1"/>
        <v>78.174882499999967</v>
      </c>
      <c r="I14" s="16">
        <f t="shared" si="2"/>
        <v>931.5772230624998</v>
      </c>
      <c r="J14" s="20">
        <f t="shared" si="3"/>
        <v>3233.1605272876582</v>
      </c>
      <c r="M14" t="s">
        <v>61</v>
      </c>
    </row>
    <row r="15" spans="1:24">
      <c r="B15" s="19">
        <v>-1</v>
      </c>
      <c r="C15" s="16">
        <v>-1</v>
      </c>
      <c r="D15" s="16">
        <v>1.0000000000000013</v>
      </c>
      <c r="E15" s="16">
        <f t="shared" si="0"/>
        <v>1</v>
      </c>
      <c r="F15" s="3">
        <v>103.02</v>
      </c>
      <c r="G15" s="16">
        <f t="shared" si="4"/>
        <v>104.51401999999999</v>
      </c>
      <c r="H15" s="16">
        <f t="shared" si="1"/>
        <v>78.174882499999967</v>
      </c>
      <c r="I15" s="16">
        <f t="shared" si="2"/>
        <v>931.5772230624998</v>
      </c>
      <c r="J15" s="20">
        <f t="shared" si="3"/>
        <v>3233.1605272876582</v>
      </c>
      <c r="M15" s="65"/>
      <c r="N15" s="65" t="s">
        <v>66</v>
      </c>
      <c r="O15" s="65" t="s">
        <v>67</v>
      </c>
      <c r="P15" s="65" t="s">
        <v>68</v>
      </c>
      <c r="Q15" s="65" t="s">
        <v>69</v>
      </c>
      <c r="R15" s="65" t="s">
        <v>70</v>
      </c>
    </row>
    <row r="16" spans="1:24">
      <c r="B16" s="19">
        <v>1</v>
      </c>
      <c r="C16" s="16">
        <v>-1</v>
      </c>
      <c r="D16" s="16">
        <v>1.0000000000000013</v>
      </c>
      <c r="E16" s="16">
        <f t="shared" si="0"/>
        <v>-1</v>
      </c>
      <c r="F16" s="3">
        <v>211.4195</v>
      </c>
      <c r="G16" s="16">
        <f t="shared" si="4"/>
        <v>200.49734500000002</v>
      </c>
      <c r="H16" s="16">
        <f t="shared" si="1"/>
        <v>174.1582075</v>
      </c>
      <c r="I16" s="16">
        <f t="shared" si="2"/>
        <v>4285.2178014806304</v>
      </c>
      <c r="J16" s="20">
        <f t="shared" si="3"/>
        <v>1530.5651159414076</v>
      </c>
      <c r="M16" t="s">
        <v>62</v>
      </c>
      <c r="N16">
        <v>4</v>
      </c>
      <c r="O16">
        <v>40812.669589624995</v>
      </c>
      <c r="P16">
        <v>10203.167397406249</v>
      </c>
      <c r="Q16">
        <v>134.75669022843309</v>
      </c>
      <c r="R16">
        <v>1.4558676142708351E-11</v>
      </c>
    </row>
    <row r="17" spans="2:21">
      <c r="B17" s="19">
        <v>1</v>
      </c>
      <c r="C17" s="16">
        <v>-1</v>
      </c>
      <c r="D17" s="16">
        <v>1.0000000000000013</v>
      </c>
      <c r="E17" s="16">
        <f t="shared" si="0"/>
        <v>-1</v>
      </c>
      <c r="F17" s="3">
        <v>190.82329999999999</v>
      </c>
      <c r="G17" s="16">
        <f t="shared" si="4"/>
        <v>200.49734500000002</v>
      </c>
      <c r="H17" s="16">
        <f t="shared" si="1"/>
        <v>174.1582075</v>
      </c>
      <c r="I17" s="16">
        <f t="shared" si="2"/>
        <v>4285.2178014806304</v>
      </c>
      <c r="J17" s="20">
        <f t="shared" si="3"/>
        <v>1530.5651159414076</v>
      </c>
      <c r="M17" t="s">
        <v>63</v>
      </c>
      <c r="N17">
        <v>15</v>
      </c>
      <c r="O17">
        <v>1135.7321903770041</v>
      </c>
      <c r="P17">
        <v>75.715479358466936</v>
      </c>
    </row>
    <row r="18" spans="2:21" ht="15" thickBot="1">
      <c r="B18" s="19">
        <v>-1</v>
      </c>
      <c r="C18" s="16">
        <v>1</v>
      </c>
      <c r="D18" s="16">
        <v>1.0000000000000013</v>
      </c>
      <c r="E18" s="16">
        <f t="shared" si="0"/>
        <v>-1</v>
      </c>
      <c r="F18" s="3">
        <v>137.57159999999999</v>
      </c>
      <c r="G18" s="16">
        <f t="shared" si="4"/>
        <v>134.83851999999999</v>
      </c>
      <c r="H18" s="16">
        <f t="shared" si="1"/>
        <v>108.49938249999997</v>
      </c>
      <c r="I18" s="16">
        <f t="shared" si="2"/>
        <v>3.8907562499998743E-2</v>
      </c>
      <c r="J18" s="20">
        <f t="shared" si="3"/>
        <v>704.17986155015717</v>
      </c>
      <c r="M18" s="64" t="s">
        <v>64</v>
      </c>
      <c r="N18" s="64">
        <v>19</v>
      </c>
      <c r="O18" s="64">
        <v>41948.401780002001</v>
      </c>
      <c r="P18" s="64"/>
      <c r="Q18" s="64"/>
      <c r="R18" s="64"/>
    </row>
    <row r="19" spans="2:21" ht="15" thickBot="1">
      <c r="B19" s="19">
        <v>-1</v>
      </c>
      <c r="C19" s="16">
        <v>1</v>
      </c>
      <c r="D19" s="16">
        <v>1.0000000000000013</v>
      </c>
      <c r="E19" s="16">
        <f t="shared" si="0"/>
        <v>-1</v>
      </c>
      <c r="F19" s="3">
        <v>129.2389</v>
      </c>
      <c r="G19" s="16">
        <f t="shared" si="4"/>
        <v>134.83851999999999</v>
      </c>
      <c r="H19" s="16">
        <f t="shared" si="1"/>
        <v>108.49938249999997</v>
      </c>
      <c r="I19" s="16">
        <f t="shared" si="2"/>
        <v>3.8907562499998743E-2</v>
      </c>
      <c r="J19" s="20">
        <f t="shared" si="3"/>
        <v>704.17986155015717</v>
      </c>
    </row>
    <row r="20" spans="2:21">
      <c r="B20" s="19">
        <v>1</v>
      </c>
      <c r="C20" s="16">
        <v>1</v>
      </c>
      <c r="D20" s="16">
        <v>1.0000000000000013</v>
      </c>
      <c r="E20" s="16">
        <f t="shared" si="0"/>
        <v>1</v>
      </c>
      <c r="F20" s="3">
        <v>206.4453</v>
      </c>
      <c r="G20" s="16">
        <f t="shared" si="4"/>
        <v>205.64974500000002</v>
      </c>
      <c r="H20" s="16">
        <f t="shared" si="1"/>
        <v>179.3106075</v>
      </c>
      <c r="I20" s="16">
        <f t="shared" si="2"/>
        <v>4986.3334653006305</v>
      </c>
      <c r="J20" s="20">
        <f t="shared" si="3"/>
        <v>1960.2612356514078</v>
      </c>
      <c r="M20" s="65"/>
      <c r="N20" s="65" t="s">
        <v>71</v>
      </c>
      <c r="O20" s="65" t="s">
        <v>59</v>
      </c>
      <c r="P20" s="65" t="s">
        <v>72</v>
      </c>
      <c r="Q20" s="65" t="s">
        <v>73</v>
      </c>
      <c r="R20" s="65" t="s">
        <v>74</v>
      </c>
      <c r="S20" s="65" t="s">
        <v>75</v>
      </c>
      <c r="T20" s="65" t="s">
        <v>160</v>
      </c>
      <c r="U20" s="65" t="s">
        <v>161</v>
      </c>
    </row>
    <row r="21" spans="2:21" ht="15" thickBot="1">
      <c r="B21" s="41">
        <v>1</v>
      </c>
      <c r="C21" s="39">
        <v>1</v>
      </c>
      <c r="D21" s="39">
        <v>1.0000000000000013</v>
      </c>
      <c r="E21" s="39">
        <f t="shared" si="0"/>
        <v>1</v>
      </c>
      <c r="F21" s="40">
        <v>206.1936</v>
      </c>
      <c r="G21" s="39">
        <f t="shared" si="4"/>
        <v>205.64974500000002</v>
      </c>
      <c r="H21" s="39">
        <f t="shared" si="1"/>
        <v>179.3106075</v>
      </c>
      <c r="I21" s="39">
        <f t="shared" si="2"/>
        <v>4986.3334653006305</v>
      </c>
      <c r="J21" s="88">
        <f t="shared" si="3"/>
        <v>1960.2612356514078</v>
      </c>
      <c r="M21" t="s">
        <v>65</v>
      </c>
      <c r="N21">
        <v>135.03576999999999</v>
      </c>
      <c r="O21">
        <v>1.9457065472273425</v>
      </c>
      <c r="P21">
        <v>69.401919931054223</v>
      </c>
      <c r="Q21">
        <v>3.1422553914942216E-20</v>
      </c>
      <c r="R21">
        <v>130.88859466411958</v>
      </c>
      <c r="S21">
        <v>139.18294533588039</v>
      </c>
      <c r="T21">
        <v>130.37190160413235</v>
      </c>
      <c r="U21">
        <v>139.69963839586762</v>
      </c>
    </row>
    <row r="22" spans="2:21">
      <c r="B22" s="17">
        <v>0</v>
      </c>
      <c r="C22" s="18">
        <v>0</v>
      </c>
      <c r="D22" s="18">
        <v>0</v>
      </c>
      <c r="E22" s="18">
        <v>0</v>
      </c>
      <c r="F22" s="42">
        <v>155.78700000000001</v>
      </c>
      <c r="G22" s="18">
        <f t="shared" si="4"/>
        <v>135.03576999999999</v>
      </c>
      <c r="H22" s="18">
        <f t="shared" si="1"/>
        <v>135.03576999999999</v>
      </c>
      <c r="I22" s="18">
        <f t="shared" si="2"/>
        <v>0</v>
      </c>
      <c r="J22" s="89">
        <f t="shared" si="3"/>
        <v>0</v>
      </c>
      <c r="M22" t="s">
        <v>8</v>
      </c>
      <c r="N22">
        <v>41.698637500000025</v>
      </c>
      <c r="O22">
        <v>2.1753660519333722</v>
      </c>
      <c r="P22">
        <v>19.168561292450097</v>
      </c>
      <c r="Q22">
        <v>5.8321077085524419E-12</v>
      </c>
      <c r="R22">
        <v>37.061954517180482</v>
      </c>
      <c r="S22">
        <v>46.335320482819569</v>
      </c>
      <c r="T22">
        <v>36.484274114363551</v>
      </c>
      <c r="U22">
        <v>46.9130008856365</v>
      </c>
    </row>
    <row r="23" spans="2:21">
      <c r="B23" s="19">
        <v>0</v>
      </c>
      <c r="C23" s="16">
        <v>0</v>
      </c>
      <c r="D23" s="16">
        <v>0</v>
      </c>
      <c r="E23" s="16">
        <v>0</v>
      </c>
      <c r="F23" s="3">
        <v>138.35820000000001</v>
      </c>
      <c r="G23" s="16">
        <f t="shared" si="4"/>
        <v>135.03576999999999</v>
      </c>
      <c r="H23" s="16">
        <f t="shared" si="1"/>
        <v>135.03576999999999</v>
      </c>
      <c r="I23" s="16">
        <f t="shared" si="2"/>
        <v>0</v>
      </c>
      <c r="J23" s="20">
        <f t="shared" si="3"/>
        <v>0</v>
      </c>
      <c r="M23" t="s">
        <v>10</v>
      </c>
      <c r="N23">
        <v>8.8692249999999984</v>
      </c>
      <c r="O23">
        <v>2.1753660519333708</v>
      </c>
      <c r="P23">
        <v>4.0771184197332753</v>
      </c>
      <c r="Q23">
        <v>9.9120599386784587E-4</v>
      </c>
      <c r="R23">
        <v>4.2325420171804549</v>
      </c>
      <c r="S23">
        <v>13.505907982819542</v>
      </c>
      <c r="T23">
        <v>3.6548616143635266</v>
      </c>
      <c r="U23">
        <v>14.083588385636471</v>
      </c>
    </row>
    <row r="24" spans="2:21">
      <c r="B24" s="19">
        <v>0</v>
      </c>
      <c r="C24" s="16">
        <v>0</v>
      </c>
      <c r="D24" s="16">
        <v>0</v>
      </c>
      <c r="E24" s="16">
        <v>0</v>
      </c>
      <c r="F24" s="3">
        <v>127.41459999999999</v>
      </c>
      <c r="G24" s="16">
        <f t="shared" si="4"/>
        <v>135.03576999999999</v>
      </c>
      <c r="H24" s="16">
        <f t="shared" si="1"/>
        <v>135.03576999999999</v>
      </c>
      <c r="I24" s="16">
        <f t="shared" si="2"/>
        <v>0</v>
      </c>
      <c r="J24" s="20">
        <f t="shared" si="3"/>
        <v>0</v>
      </c>
      <c r="M24" t="s">
        <v>9</v>
      </c>
      <c r="N24">
        <v>26.339137499999993</v>
      </c>
      <c r="O24">
        <v>2.1753660519333713</v>
      </c>
      <c r="P24">
        <v>12.107910517676281</v>
      </c>
      <c r="Q24">
        <v>3.8245363284674561E-9</v>
      </c>
      <c r="R24">
        <v>21.702454517180449</v>
      </c>
      <c r="S24">
        <v>30.975820482819536</v>
      </c>
      <c r="T24">
        <v>21.124774114363518</v>
      </c>
      <c r="U24">
        <v>31.553500885636467</v>
      </c>
    </row>
    <row r="25" spans="2:21" ht="15" thickBot="1">
      <c r="B25" s="21">
        <v>0</v>
      </c>
      <c r="C25" s="22">
        <v>0</v>
      </c>
      <c r="D25" s="22">
        <v>0</v>
      </c>
      <c r="E25" s="22">
        <v>0</v>
      </c>
      <c r="F25" s="10">
        <v>134.6026</v>
      </c>
      <c r="G25" s="22">
        <f t="shared" si="4"/>
        <v>135.03576999999999</v>
      </c>
      <c r="H25" s="22">
        <f t="shared" si="1"/>
        <v>135.03576999999999</v>
      </c>
      <c r="I25" s="22">
        <f t="shared" si="2"/>
        <v>0</v>
      </c>
      <c r="J25" s="23">
        <f t="shared" si="3"/>
        <v>0</v>
      </c>
      <c r="M25" s="64" t="s">
        <v>39</v>
      </c>
      <c r="N25" s="64">
        <v>-6.2930249999999965</v>
      </c>
      <c r="O25" s="64">
        <v>2.1753660519333713</v>
      </c>
      <c r="P25" s="64">
        <v>-2.8928579603451237</v>
      </c>
      <c r="Q25" s="64">
        <v>1.1155050567123485E-2</v>
      </c>
      <c r="R25" s="64">
        <v>-10.92970798281954</v>
      </c>
      <c r="S25" s="64">
        <v>-1.6563420171804522</v>
      </c>
      <c r="T25" s="64">
        <v>-11.507388385636469</v>
      </c>
      <c r="U25" s="64">
        <v>-1.0786616143635239</v>
      </c>
    </row>
    <row r="26" spans="2:21">
      <c r="H26" s="30" t="s">
        <v>180</v>
      </c>
      <c r="I26">
        <f>SUM(I6:I25)</f>
        <v>40812.669589625009</v>
      </c>
      <c r="J26">
        <f>SUM(J6:J25)</f>
        <v>29712.666961722523</v>
      </c>
    </row>
    <row r="28" spans="2:21">
      <c r="B28" s="30" t="s">
        <v>181</v>
      </c>
      <c r="C28">
        <f>I26-J26</f>
        <v>11100.002627902486</v>
      </c>
    </row>
    <row r="29" spans="2:21">
      <c r="B29" s="30" t="s">
        <v>182</v>
      </c>
      <c r="C29">
        <f>I26</f>
        <v>40812.669589625009</v>
      </c>
      <c r="H29" s="30"/>
      <c r="I29" s="83"/>
    </row>
    <row r="30" spans="2:21">
      <c r="B30" s="30" t="s">
        <v>183</v>
      </c>
      <c r="C30">
        <f>O18-C29</f>
        <v>1135.7321903769916</v>
      </c>
      <c r="H30" s="30"/>
      <c r="I30" s="83"/>
    </row>
    <row r="31" spans="2:21">
      <c r="B31" s="30" t="s">
        <v>184</v>
      </c>
      <c r="C31">
        <f>(C28/1)/(C30/15)</f>
        <v>146.60149710405739</v>
      </c>
      <c r="H31" s="30"/>
      <c r="I31" s="83"/>
    </row>
    <row r="32" spans="2:21">
      <c r="H32" s="30"/>
      <c r="I32" s="83"/>
    </row>
    <row r="33" spans="2:9">
      <c r="H33" s="30"/>
      <c r="I33" s="83"/>
    </row>
    <row r="34" spans="2:9" ht="15">
      <c r="B34" s="27" t="s">
        <v>175</v>
      </c>
    </row>
    <row r="36" spans="2:9" ht="15">
      <c r="B36" s="28" t="s">
        <v>108</v>
      </c>
    </row>
    <row r="38" spans="2:9">
      <c r="B38" s="30" t="s">
        <v>185</v>
      </c>
      <c r="C38">
        <f>_xlfn.F.INV(0.97,1,15)</f>
        <v>5.7456331514437151</v>
      </c>
    </row>
    <row r="40" spans="2:9" ht="15">
      <c r="B40" s="27" t="s">
        <v>186</v>
      </c>
    </row>
    <row r="42" spans="2:9" ht="15">
      <c r="B42" s="27" t="s">
        <v>187</v>
      </c>
      <c r="C42" s="27"/>
      <c r="D42" s="27"/>
      <c r="E42" s="75"/>
      <c r="F42" t="s">
        <v>114</v>
      </c>
      <c r="H42" s="28" t="s">
        <v>119</v>
      </c>
    </row>
    <row r="43" spans="2:9" ht="15">
      <c r="E43" s="2"/>
      <c r="H43" s="28" t="s">
        <v>120</v>
      </c>
    </row>
    <row r="44" spans="2:9">
      <c r="E44" s="2"/>
      <c r="G44" s="73"/>
      <c r="H44" s="73"/>
    </row>
    <row r="45" spans="2:9" ht="15">
      <c r="B45" s="84" t="s">
        <v>115</v>
      </c>
      <c r="C45">
        <f>1-_xlfn.F.DIST(C31,1,15,1)</f>
        <v>3.8245363542799282E-9</v>
      </c>
      <c r="D45" s="1" t="s">
        <v>116</v>
      </c>
      <c r="E45" s="27" t="s">
        <v>108</v>
      </c>
      <c r="H45" s="28" t="s">
        <v>119</v>
      </c>
    </row>
    <row r="46" spans="2:9" ht="15">
      <c r="H46" s="28" t="s">
        <v>120</v>
      </c>
    </row>
    <row r="47" spans="2:9">
      <c r="E47" s="2"/>
    </row>
    <row r="48" spans="2:9" ht="15">
      <c r="B48" s="27" t="s">
        <v>188</v>
      </c>
      <c r="E48" s="2"/>
    </row>
    <row r="49" spans="5:15">
      <c r="E49" s="2"/>
    </row>
    <row r="50" spans="5:15">
      <c r="E50" s="2"/>
    </row>
    <row r="51" spans="5:15">
      <c r="E51" s="2"/>
    </row>
    <row r="52" spans="5:15">
      <c r="E52" s="2"/>
      <c r="G52" s="85"/>
      <c r="H52" s="85"/>
      <c r="I52" s="85"/>
      <c r="J52" s="85"/>
      <c r="K52" s="85"/>
      <c r="L52" s="85"/>
    </row>
    <row r="53" spans="5:15">
      <c r="E53" s="2"/>
    </row>
    <row r="54" spans="5:15">
      <c r="E54" s="2"/>
    </row>
    <row r="55" spans="5:15">
      <c r="E55" s="2"/>
    </row>
    <row r="56" spans="5:15">
      <c r="E56" s="2"/>
    </row>
    <row r="57" spans="5:15">
      <c r="E57" s="2"/>
      <c r="G57" s="85"/>
      <c r="H57" s="85"/>
      <c r="I57" s="85"/>
      <c r="J57" s="85"/>
      <c r="K57" s="85"/>
      <c r="L57" s="85"/>
      <c r="M57" s="85"/>
      <c r="N57" s="85"/>
      <c r="O57" s="85"/>
    </row>
    <row r="58" spans="5:15">
      <c r="E58" s="2"/>
    </row>
    <row r="59" spans="5:15">
      <c r="E59" s="2"/>
    </row>
    <row r="60" spans="5:15">
      <c r="E60" s="2"/>
    </row>
    <row r="61" spans="5:15">
      <c r="E61" s="2"/>
    </row>
    <row r="62" spans="5:15">
      <c r="E62" s="2"/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53"/>
  <sheetViews>
    <sheetView topLeftCell="A9" zoomScaleNormal="100" workbookViewId="0">
      <selection activeCell="U40" sqref="U40"/>
    </sheetView>
  </sheetViews>
  <sheetFormatPr defaultRowHeight="14.25"/>
  <sheetData>
    <row r="1" spans="1:13" ht="15">
      <c r="A1" s="28" t="s">
        <v>189</v>
      </c>
    </row>
    <row r="3" spans="1:13" ht="15">
      <c r="B3" s="27" t="s">
        <v>192</v>
      </c>
    </row>
    <row r="4" spans="1:13" ht="15" thickBot="1"/>
    <row r="5" spans="1:13" ht="15">
      <c r="B5" s="62" t="s">
        <v>8</v>
      </c>
      <c r="C5" s="63" t="s">
        <v>10</v>
      </c>
      <c r="D5" s="63" t="s">
        <v>9</v>
      </c>
      <c r="E5" s="63" t="s">
        <v>39</v>
      </c>
      <c r="F5" s="26" t="s">
        <v>11</v>
      </c>
      <c r="H5" t="s">
        <v>54</v>
      </c>
    </row>
    <row r="6" spans="1:13" ht="15" thickBot="1">
      <c r="B6" s="19">
        <v>-1</v>
      </c>
      <c r="C6" s="16">
        <v>-1</v>
      </c>
      <c r="D6" s="16">
        <v>-0.99999999999999856</v>
      </c>
      <c r="E6" s="16">
        <f>B6*C6</f>
        <v>1</v>
      </c>
      <c r="F6" s="8">
        <v>57.587899999999998</v>
      </c>
    </row>
    <row r="7" spans="1:13">
      <c r="B7" s="19">
        <v>-1</v>
      </c>
      <c r="C7" s="16">
        <v>-1</v>
      </c>
      <c r="D7" s="16">
        <v>-0.99999999999999856</v>
      </c>
      <c r="E7" s="16">
        <f t="shared" ref="E7:E21" si="0">B7*C7</f>
        <v>1</v>
      </c>
      <c r="F7" s="8">
        <v>49.809399999999997</v>
      </c>
      <c r="H7" s="66" t="s">
        <v>55</v>
      </c>
      <c r="I7" s="66"/>
    </row>
    <row r="8" spans="1:13">
      <c r="B8" s="19">
        <v>1</v>
      </c>
      <c r="C8" s="16">
        <v>-1</v>
      </c>
      <c r="D8" s="16">
        <v>-0.99999999999999856</v>
      </c>
      <c r="E8" s="16">
        <f t="shared" si="0"/>
        <v>-1</v>
      </c>
      <c r="F8" s="8">
        <v>134.75299999999999</v>
      </c>
      <c r="H8" t="s">
        <v>56</v>
      </c>
      <c r="I8">
        <v>0.98636985738455074</v>
      </c>
    </row>
    <row r="9" spans="1:13">
      <c r="B9" s="19">
        <v>1</v>
      </c>
      <c r="C9" s="16">
        <v>-1</v>
      </c>
      <c r="D9" s="16">
        <v>-0.99999999999999856</v>
      </c>
      <c r="E9" s="16">
        <f t="shared" si="0"/>
        <v>-1</v>
      </c>
      <c r="F9" s="8">
        <v>155.63220000000001</v>
      </c>
      <c r="H9" t="s">
        <v>57</v>
      </c>
      <c r="I9">
        <v>0.97292549555681895</v>
      </c>
    </row>
    <row r="10" spans="1:13">
      <c r="B10" s="19">
        <v>-1</v>
      </c>
      <c r="C10" s="16">
        <v>1</v>
      </c>
      <c r="D10" s="16">
        <v>-0.99999999999999856</v>
      </c>
      <c r="E10" s="16">
        <f t="shared" si="0"/>
        <v>-1</v>
      </c>
      <c r="F10" s="8">
        <v>80.768600000000006</v>
      </c>
      <c r="H10" t="s">
        <v>58</v>
      </c>
      <c r="I10">
        <v>0.96570562770530399</v>
      </c>
    </row>
    <row r="11" spans="1:13">
      <c r="B11" s="19">
        <v>-1</v>
      </c>
      <c r="C11" s="16">
        <v>1</v>
      </c>
      <c r="D11" s="16">
        <v>-0.99999999999999856</v>
      </c>
      <c r="E11" s="16">
        <f t="shared" si="0"/>
        <v>-1</v>
      </c>
      <c r="F11" s="8">
        <v>82.413600000000002</v>
      </c>
      <c r="H11" t="s">
        <v>59</v>
      </c>
      <c r="I11">
        <v>8.7014642077334852</v>
      </c>
    </row>
    <row r="12" spans="1:13" ht="15" thickBot="1">
      <c r="B12" s="19">
        <v>1</v>
      </c>
      <c r="C12" s="16">
        <v>1</v>
      </c>
      <c r="D12" s="16">
        <v>-0.99999999999999856</v>
      </c>
      <c r="E12" s="16">
        <f t="shared" si="0"/>
        <v>1</v>
      </c>
      <c r="F12" s="8">
        <v>155.62880000000001</v>
      </c>
      <c r="H12" s="64" t="s">
        <v>60</v>
      </c>
      <c r="I12" s="64">
        <v>20</v>
      </c>
    </row>
    <row r="13" spans="1:13">
      <c r="B13" s="19">
        <v>1</v>
      </c>
      <c r="C13" s="16">
        <v>1</v>
      </c>
      <c r="D13" s="16">
        <v>-0.99999999999999856</v>
      </c>
      <c r="E13" s="16">
        <f t="shared" si="0"/>
        <v>1</v>
      </c>
      <c r="F13" s="8">
        <v>144.9699</v>
      </c>
    </row>
    <row r="14" spans="1:13" ht="15" thickBot="1">
      <c r="B14" s="19">
        <v>-1</v>
      </c>
      <c r="C14" s="16">
        <v>-1</v>
      </c>
      <c r="D14" s="16">
        <v>1.0000000000000013</v>
      </c>
      <c r="E14" s="16">
        <f t="shared" si="0"/>
        <v>1</v>
      </c>
      <c r="F14" s="8">
        <v>98.2774</v>
      </c>
      <c r="H14" t="s">
        <v>61</v>
      </c>
    </row>
    <row r="15" spans="1:13">
      <c r="B15" s="19">
        <v>-1</v>
      </c>
      <c r="C15" s="16">
        <v>-1</v>
      </c>
      <c r="D15" s="16">
        <v>1.0000000000000013</v>
      </c>
      <c r="E15" s="16">
        <f t="shared" si="0"/>
        <v>1</v>
      </c>
      <c r="F15" s="8">
        <v>103.02</v>
      </c>
      <c r="H15" s="65"/>
      <c r="I15" s="65" t="s">
        <v>66</v>
      </c>
      <c r="J15" s="65" t="s">
        <v>67</v>
      </c>
      <c r="K15" s="65" t="s">
        <v>68</v>
      </c>
      <c r="L15" s="65" t="s">
        <v>69</v>
      </c>
      <c r="M15" s="65" t="s">
        <v>70</v>
      </c>
    </row>
    <row r="16" spans="1:13">
      <c r="B16" s="19">
        <v>1</v>
      </c>
      <c r="C16" s="16">
        <v>-1</v>
      </c>
      <c r="D16" s="16">
        <v>1.0000000000000013</v>
      </c>
      <c r="E16" s="16">
        <f t="shared" si="0"/>
        <v>-1</v>
      </c>
      <c r="F16" s="8">
        <v>211.4195</v>
      </c>
      <c r="H16" t="s">
        <v>62</v>
      </c>
      <c r="I16">
        <v>4</v>
      </c>
      <c r="J16">
        <v>40812.669589624995</v>
      </c>
      <c r="K16">
        <v>10203.167397406249</v>
      </c>
      <c r="L16">
        <v>134.75669022843309</v>
      </c>
      <c r="M16">
        <v>1.4558676142708351E-11</v>
      </c>
    </row>
    <row r="17" spans="2:16">
      <c r="B17" s="19">
        <v>1</v>
      </c>
      <c r="C17" s="16">
        <v>-1</v>
      </c>
      <c r="D17" s="16">
        <v>1.0000000000000013</v>
      </c>
      <c r="E17" s="16">
        <f t="shared" si="0"/>
        <v>-1</v>
      </c>
      <c r="F17" s="8">
        <v>190.82329999999999</v>
      </c>
      <c r="H17" t="s">
        <v>63</v>
      </c>
      <c r="I17">
        <v>15</v>
      </c>
      <c r="J17">
        <v>1135.7321903770041</v>
      </c>
      <c r="K17">
        <v>75.715479358466936</v>
      </c>
    </row>
    <row r="18" spans="2:16" ht="15" thickBot="1">
      <c r="B18" s="19">
        <v>-1</v>
      </c>
      <c r="C18" s="16">
        <v>1</v>
      </c>
      <c r="D18" s="16">
        <v>1.0000000000000013</v>
      </c>
      <c r="E18" s="16">
        <f t="shared" si="0"/>
        <v>-1</v>
      </c>
      <c r="F18" s="8">
        <v>137.57159999999999</v>
      </c>
      <c r="H18" s="64" t="s">
        <v>64</v>
      </c>
      <c r="I18" s="64">
        <v>19</v>
      </c>
      <c r="J18" s="64">
        <v>41948.401780002001</v>
      </c>
      <c r="K18" s="64"/>
      <c r="L18" s="64"/>
      <c r="M18" s="64"/>
    </row>
    <row r="19" spans="2:16" ht="15" thickBot="1">
      <c r="B19" s="19">
        <v>-1</v>
      </c>
      <c r="C19" s="16">
        <v>1</v>
      </c>
      <c r="D19" s="16">
        <v>1.0000000000000013</v>
      </c>
      <c r="E19" s="16">
        <f t="shared" si="0"/>
        <v>-1</v>
      </c>
      <c r="F19" s="8">
        <v>129.2389</v>
      </c>
    </row>
    <row r="20" spans="2:16">
      <c r="B20" s="19">
        <v>1</v>
      </c>
      <c r="C20" s="16">
        <v>1</v>
      </c>
      <c r="D20" s="16">
        <v>1.0000000000000013</v>
      </c>
      <c r="E20" s="16">
        <f t="shared" si="0"/>
        <v>1</v>
      </c>
      <c r="F20" s="8">
        <v>206.4453</v>
      </c>
      <c r="H20" s="65"/>
      <c r="I20" s="65" t="s">
        <v>71</v>
      </c>
      <c r="J20" s="65" t="s">
        <v>59</v>
      </c>
      <c r="K20" s="65" t="s">
        <v>72</v>
      </c>
      <c r="L20" s="65" t="s">
        <v>73</v>
      </c>
      <c r="M20" s="65" t="s">
        <v>74</v>
      </c>
      <c r="N20" s="65" t="s">
        <v>75</v>
      </c>
      <c r="O20" s="65" t="s">
        <v>76</v>
      </c>
      <c r="P20" s="65" t="s">
        <v>77</v>
      </c>
    </row>
    <row r="21" spans="2:16" ht="15" thickBot="1">
      <c r="B21" s="41">
        <v>1</v>
      </c>
      <c r="C21" s="39">
        <v>1</v>
      </c>
      <c r="D21" s="39">
        <v>1.0000000000000013</v>
      </c>
      <c r="E21" s="39">
        <f t="shared" si="0"/>
        <v>1</v>
      </c>
      <c r="F21" s="90">
        <v>206.1936</v>
      </c>
      <c r="H21" t="s">
        <v>65</v>
      </c>
      <c r="I21">
        <v>135.03576999999999</v>
      </c>
      <c r="J21">
        <v>1.9457065472273425</v>
      </c>
      <c r="K21">
        <v>69.401919931054223</v>
      </c>
      <c r="L21">
        <v>3.1422553914942216E-20</v>
      </c>
      <c r="M21">
        <v>130.88859466411958</v>
      </c>
      <c r="N21">
        <v>139.18294533588039</v>
      </c>
      <c r="O21">
        <v>130.88859466411958</v>
      </c>
      <c r="P21">
        <v>139.18294533588039</v>
      </c>
    </row>
    <row r="22" spans="2:16">
      <c r="B22" s="17">
        <v>0</v>
      </c>
      <c r="C22" s="18">
        <v>0</v>
      </c>
      <c r="D22" s="18">
        <v>0</v>
      </c>
      <c r="E22" s="18">
        <v>0</v>
      </c>
      <c r="F22" s="91">
        <v>155.78700000000001</v>
      </c>
      <c r="H22" t="s">
        <v>8</v>
      </c>
      <c r="I22">
        <v>41.698637500000025</v>
      </c>
      <c r="J22">
        <v>2.1753660519333722</v>
      </c>
      <c r="K22">
        <v>19.168561292450097</v>
      </c>
      <c r="L22">
        <v>5.8321077085524419E-12</v>
      </c>
      <c r="M22">
        <v>37.061954517180482</v>
      </c>
      <c r="N22">
        <v>46.335320482819569</v>
      </c>
      <c r="O22">
        <v>37.061954517180482</v>
      </c>
      <c r="P22">
        <v>46.335320482819569</v>
      </c>
    </row>
    <row r="23" spans="2:16">
      <c r="B23" s="19">
        <v>0</v>
      </c>
      <c r="C23" s="16">
        <v>0</v>
      </c>
      <c r="D23" s="16">
        <v>0</v>
      </c>
      <c r="E23" s="16">
        <v>0</v>
      </c>
      <c r="F23" s="8">
        <v>138.35820000000001</v>
      </c>
      <c r="H23" t="s">
        <v>10</v>
      </c>
      <c r="I23">
        <v>8.8692249999999984</v>
      </c>
      <c r="J23">
        <v>2.1753660519333708</v>
      </c>
      <c r="K23">
        <v>4.0771184197332753</v>
      </c>
      <c r="L23">
        <v>9.9120599386784587E-4</v>
      </c>
      <c r="M23">
        <v>4.2325420171804549</v>
      </c>
      <c r="N23">
        <v>13.505907982819542</v>
      </c>
      <c r="O23">
        <v>4.2325420171804549</v>
      </c>
      <c r="P23">
        <v>13.505907982819542</v>
      </c>
    </row>
    <row r="24" spans="2:16">
      <c r="B24" s="19">
        <v>0</v>
      </c>
      <c r="C24" s="16">
        <v>0</v>
      </c>
      <c r="D24" s="16">
        <v>0</v>
      </c>
      <c r="E24" s="16">
        <v>0</v>
      </c>
      <c r="F24" s="8">
        <v>127.41459999999999</v>
      </c>
      <c r="H24" t="s">
        <v>9</v>
      </c>
      <c r="I24">
        <v>26.339137499999993</v>
      </c>
      <c r="J24">
        <v>2.1753660519333713</v>
      </c>
      <c r="K24">
        <v>12.107910517676281</v>
      </c>
      <c r="L24">
        <v>3.8245363284674561E-9</v>
      </c>
      <c r="M24">
        <v>21.702454517180449</v>
      </c>
      <c r="N24">
        <v>30.975820482819536</v>
      </c>
      <c r="O24">
        <v>21.702454517180449</v>
      </c>
      <c r="P24">
        <v>30.975820482819536</v>
      </c>
    </row>
    <row r="25" spans="2:16" ht="15" thickBot="1">
      <c r="B25" s="21">
        <v>0</v>
      </c>
      <c r="C25" s="22">
        <v>0</v>
      </c>
      <c r="D25" s="22">
        <v>0</v>
      </c>
      <c r="E25" s="22">
        <v>0</v>
      </c>
      <c r="F25" s="11">
        <v>134.6026</v>
      </c>
      <c r="H25" s="92" t="s">
        <v>39</v>
      </c>
      <c r="I25" s="92">
        <v>-6.2930249999999965</v>
      </c>
      <c r="J25" s="92">
        <v>2.1753660519333713</v>
      </c>
      <c r="K25" s="92">
        <v>-2.8928579603451237</v>
      </c>
      <c r="L25" s="92">
        <v>1.1155050567123485E-2</v>
      </c>
      <c r="M25" s="92">
        <v>-10.92970798281954</v>
      </c>
      <c r="N25" s="92">
        <v>-1.6563420171804522</v>
      </c>
      <c r="O25" s="92">
        <v>-10.92970798281954</v>
      </c>
      <c r="P25" s="92">
        <v>-1.6563420171804522</v>
      </c>
    </row>
    <row r="27" spans="2:16" ht="15">
      <c r="B27" s="27" t="s">
        <v>190</v>
      </c>
    </row>
    <row r="29" spans="2:16" ht="15">
      <c r="B29" s="28" t="s">
        <v>191</v>
      </c>
    </row>
    <row r="31" spans="2:16" ht="15">
      <c r="B31" s="84" t="s">
        <v>193</v>
      </c>
      <c r="C31">
        <f>_xlfn.T.INV(0.975,15)</f>
        <v>2.1314495455597742</v>
      </c>
    </row>
    <row r="32" spans="2:16" ht="15">
      <c r="B32" s="84" t="s">
        <v>194</v>
      </c>
      <c r="C32">
        <f>_xlfn.T.INV(0.025,15)</f>
        <v>-2.1314495455597742</v>
      </c>
    </row>
    <row r="34" spans="2:9">
      <c r="B34" t="s">
        <v>196</v>
      </c>
      <c r="C34">
        <f>I25/J25</f>
        <v>-2.8928579603451237</v>
      </c>
      <c r="D34" s="94" t="s">
        <v>197</v>
      </c>
      <c r="E34" s="93">
        <f>ABS(C34)</f>
        <v>2.8928579603451237</v>
      </c>
    </row>
    <row r="36" spans="2:9" ht="15">
      <c r="B36" s="27" t="s">
        <v>195</v>
      </c>
    </row>
    <row r="38" spans="2:9" ht="15">
      <c r="B38" s="27" t="s">
        <v>198</v>
      </c>
      <c r="D38" s="28" t="s">
        <v>119</v>
      </c>
    </row>
    <row r="39" spans="2:9" ht="15">
      <c r="D39" s="28" t="s">
        <v>120</v>
      </c>
    </row>
    <row r="41" spans="2:9" ht="15">
      <c r="B41" s="84" t="s">
        <v>115</v>
      </c>
      <c r="C41" s="27">
        <f>2*MIN(_xlfn.T.DIST(C34,15,1),1-_xlfn.T.DIST(C34,15,1))</f>
        <v>1.1155050567123485E-2</v>
      </c>
      <c r="D41" s="27" t="s">
        <v>199</v>
      </c>
    </row>
    <row r="43" spans="2:9" ht="15">
      <c r="D43" s="28" t="s">
        <v>119</v>
      </c>
    </row>
    <row r="44" spans="2:9" ht="15">
      <c r="D44" s="28" t="s">
        <v>120</v>
      </c>
    </row>
    <row r="46" spans="2:9" ht="15">
      <c r="B46" s="27" t="s">
        <v>200</v>
      </c>
      <c r="C46">
        <f>J25*C31</f>
        <v>4.6366829828195444</v>
      </c>
    </row>
    <row r="48" spans="2:9" ht="15">
      <c r="B48" s="84" t="s">
        <v>201</v>
      </c>
      <c r="C48">
        <f>I25-C46</f>
        <v>-10.92970798281954</v>
      </c>
      <c r="D48">
        <f>I25+C46</f>
        <v>-1.6563420171804522</v>
      </c>
      <c r="F48" t="s">
        <v>202</v>
      </c>
      <c r="I48" s="28" t="s">
        <v>119</v>
      </c>
    </row>
    <row r="49" spans="2:9" ht="15">
      <c r="I49" s="28" t="s">
        <v>120</v>
      </c>
    </row>
    <row r="51" spans="2:9" ht="15">
      <c r="B51" s="27" t="s">
        <v>203</v>
      </c>
    </row>
    <row r="52" spans="2:9" ht="15">
      <c r="B52" s="27" t="s">
        <v>204</v>
      </c>
    </row>
    <row r="53" spans="2:9" ht="15">
      <c r="B53" s="27" t="s">
        <v>279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45"/>
  <sheetViews>
    <sheetView topLeftCell="A7" zoomScale="85" zoomScaleNormal="85" workbookViewId="0">
      <selection activeCell="K14" sqref="K14"/>
    </sheetView>
  </sheetViews>
  <sheetFormatPr defaultRowHeight="14.25"/>
  <cols>
    <col min="10" max="10" width="11.75" bestFit="1" customWidth="1"/>
  </cols>
  <sheetData>
    <row r="1" spans="1:19" ht="15">
      <c r="A1" s="28" t="s">
        <v>205</v>
      </c>
    </row>
    <row r="2" spans="1:19" ht="15.75" thickBot="1">
      <c r="Q2" s="48"/>
      <c r="R2" s="48"/>
      <c r="S2" s="48"/>
    </row>
    <row r="3" spans="1:19" ht="15">
      <c r="B3" s="62" t="s">
        <v>206</v>
      </c>
      <c r="C3" s="63" t="s">
        <v>207</v>
      </c>
      <c r="D3" s="63" t="s">
        <v>208</v>
      </c>
      <c r="E3" s="26" t="s">
        <v>11</v>
      </c>
    </row>
    <row r="4" spans="1:19">
      <c r="B4" s="19">
        <v>-1</v>
      </c>
      <c r="C4" s="16">
        <v>-1</v>
      </c>
      <c r="D4" s="16">
        <v>-1</v>
      </c>
      <c r="E4" s="8">
        <v>57.587899999999998</v>
      </c>
    </row>
    <row r="5" spans="1:19">
      <c r="B5" s="19">
        <v>-1</v>
      </c>
      <c r="C5" s="16">
        <v>-1</v>
      </c>
      <c r="D5" s="16">
        <v>-1</v>
      </c>
      <c r="E5" s="8">
        <v>49.809399999999997</v>
      </c>
    </row>
    <row r="6" spans="1:19">
      <c r="B6" s="19">
        <v>1</v>
      </c>
      <c r="C6" s="16">
        <v>-1</v>
      </c>
      <c r="D6" s="16">
        <v>-1</v>
      </c>
      <c r="E6" s="8">
        <v>134.75299999999999</v>
      </c>
    </row>
    <row r="7" spans="1:19">
      <c r="B7" s="19">
        <v>1</v>
      </c>
      <c r="C7" s="16">
        <v>-1</v>
      </c>
      <c r="D7" s="16">
        <v>-1</v>
      </c>
      <c r="E7" s="8">
        <v>155.63220000000001</v>
      </c>
    </row>
    <row r="8" spans="1:19" ht="15">
      <c r="B8" s="19">
        <v>-1</v>
      </c>
      <c r="C8" s="16">
        <v>1</v>
      </c>
      <c r="D8" s="16">
        <v>-1</v>
      </c>
      <c r="E8" s="8">
        <v>80.768600000000006</v>
      </c>
      <c r="H8" s="27"/>
    </row>
    <row r="9" spans="1:19">
      <c r="B9" s="19">
        <v>-1</v>
      </c>
      <c r="C9" s="16">
        <v>1</v>
      </c>
      <c r="D9" s="16">
        <v>-1</v>
      </c>
      <c r="E9" s="8">
        <v>82.413600000000002</v>
      </c>
    </row>
    <row r="10" spans="1:19">
      <c r="B10" s="19">
        <v>1</v>
      </c>
      <c r="C10" s="16">
        <v>1</v>
      </c>
      <c r="D10" s="16">
        <v>-1</v>
      </c>
      <c r="E10" s="8">
        <v>155.62880000000001</v>
      </c>
    </row>
    <row r="11" spans="1:19">
      <c r="B11" s="19">
        <v>1</v>
      </c>
      <c r="C11" s="16">
        <v>1</v>
      </c>
      <c r="D11" s="16">
        <v>-1</v>
      </c>
      <c r="E11" s="8">
        <v>144.9699</v>
      </c>
    </row>
    <row r="12" spans="1:19">
      <c r="B12" s="19">
        <v>-1</v>
      </c>
      <c r="C12" s="16">
        <v>-1</v>
      </c>
      <c r="D12" s="16">
        <v>1.0000000000000013</v>
      </c>
      <c r="E12" s="8">
        <v>98.2774</v>
      </c>
    </row>
    <row r="13" spans="1:19" ht="15">
      <c r="B13" s="19">
        <v>-1</v>
      </c>
      <c r="C13" s="16">
        <v>-1</v>
      </c>
      <c r="D13" s="16">
        <v>1.0000000000000013</v>
      </c>
      <c r="E13" s="8">
        <v>103.02</v>
      </c>
      <c r="H13" s="27"/>
    </row>
    <row r="14" spans="1:19">
      <c r="B14" s="19">
        <v>1</v>
      </c>
      <c r="C14" s="16">
        <v>-1</v>
      </c>
      <c r="D14" s="16">
        <v>1.0000000000000013</v>
      </c>
      <c r="E14" s="8">
        <v>211.4195</v>
      </c>
    </row>
    <row r="15" spans="1:19">
      <c r="B15" s="19">
        <v>1</v>
      </c>
      <c r="C15" s="16">
        <v>-1</v>
      </c>
      <c r="D15" s="16">
        <v>1.0000000000000013</v>
      </c>
      <c r="E15" s="8">
        <v>190.82329999999999</v>
      </c>
    </row>
    <row r="16" spans="1:19">
      <c r="B16" s="19">
        <v>-1</v>
      </c>
      <c r="C16" s="16">
        <v>1</v>
      </c>
      <c r="D16" s="16">
        <v>1.0000000000000013</v>
      </c>
      <c r="E16" s="8">
        <v>137.57159999999999</v>
      </c>
    </row>
    <row r="17" spans="2:20">
      <c r="B17" s="19">
        <v>-1</v>
      </c>
      <c r="C17" s="16">
        <v>1</v>
      </c>
      <c r="D17" s="16">
        <v>1.0000000000000013</v>
      </c>
      <c r="E17" s="8">
        <v>129.2389</v>
      </c>
    </row>
    <row r="18" spans="2:20">
      <c r="B18" s="19">
        <v>1</v>
      </c>
      <c r="C18" s="16">
        <v>1</v>
      </c>
      <c r="D18" s="16">
        <v>1.0000000000000013</v>
      </c>
      <c r="E18" s="8">
        <v>206.4453</v>
      </c>
    </row>
    <row r="19" spans="2:20" ht="15" thickBot="1">
      <c r="B19" s="21">
        <v>1</v>
      </c>
      <c r="C19" s="22">
        <v>1</v>
      </c>
      <c r="D19" s="22">
        <v>1.0000000000000013</v>
      </c>
      <c r="E19" s="11">
        <v>206.1936</v>
      </c>
    </row>
    <row r="20" spans="2:20">
      <c r="E20" s="2"/>
    </row>
    <row r="21" spans="2:20">
      <c r="E21" s="2"/>
    </row>
    <row r="22" spans="2:20" ht="15">
      <c r="D22" s="84" t="s">
        <v>209</v>
      </c>
      <c r="E22" s="2"/>
      <c r="L22" s="84" t="s">
        <v>210</v>
      </c>
      <c r="R22" s="27" t="s">
        <v>214</v>
      </c>
    </row>
    <row r="23" spans="2:20" ht="15">
      <c r="B23" s="27"/>
      <c r="C23">
        <v>-1</v>
      </c>
      <c r="D23">
        <f>AVERAGE(E4:E5,E8:E9,E12:E13,E16:E17)</f>
        <v>92.335925000000003</v>
      </c>
      <c r="E23" s="2"/>
      <c r="J23" s="27"/>
      <c r="K23">
        <v>-1</v>
      </c>
      <c r="L23">
        <f>AVERAGE(E4:E5,E6:E7,E12:E13,E14:E15)</f>
        <v>125.16533750000001</v>
      </c>
      <c r="S23">
        <v>-1</v>
      </c>
      <c r="T23">
        <f>AVERAGE(E4:E5,E6:E7,E8:E9,E10:E11)</f>
        <v>107.695425</v>
      </c>
    </row>
    <row r="24" spans="2:20" ht="15">
      <c r="B24" s="27"/>
      <c r="C24">
        <v>1</v>
      </c>
      <c r="D24">
        <f>AVERAGE(E6:E7,E10:E11,E14:E15,E18:E19)</f>
        <v>175.73320000000001</v>
      </c>
      <c r="J24" s="27"/>
      <c r="K24">
        <v>1</v>
      </c>
      <c r="L24">
        <f>AVERAGE(E8:E9,E10:E11,E16:E17,E18:E19)</f>
        <v>142.90378749999999</v>
      </c>
      <c r="S24">
        <v>1</v>
      </c>
      <c r="T24">
        <f>AVERAGE(E12:E13,E14:E15,E16:E17,E18:E19)</f>
        <v>160.37370000000001</v>
      </c>
    </row>
    <row r="25" spans="2:20" ht="15">
      <c r="B25" s="27"/>
      <c r="C25" t="s">
        <v>211</v>
      </c>
      <c r="D25">
        <f>D24-D23</f>
        <v>83.397275000000008</v>
      </c>
      <c r="J25" s="27"/>
      <c r="K25" t="s">
        <v>212</v>
      </c>
      <c r="L25">
        <f>L24-L23</f>
        <v>17.738449999999986</v>
      </c>
      <c r="S25" t="s">
        <v>213</v>
      </c>
      <c r="T25">
        <f>T24-T23</f>
        <v>52.678275000000014</v>
      </c>
    </row>
    <row r="43" spans="2:2" ht="15">
      <c r="B43" s="95" t="s">
        <v>217</v>
      </c>
    </row>
    <row r="44" spans="2:2" ht="15">
      <c r="B44" s="95" t="s">
        <v>215</v>
      </c>
    </row>
    <row r="45" spans="2:2" ht="15">
      <c r="B45" s="95" t="s">
        <v>216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48"/>
  <sheetViews>
    <sheetView zoomScale="90" zoomScaleNormal="90" workbookViewId="0">
      <selection activeCell="F22" sqref="F22"/>
    </sheetView>
  </sheetViews>
  <sheetFormatPr defaultRowHeight="14.25"/>
  <cols>
    <col min="15" max="15" width="13.25" customWidth="1"/>
  </cols>
  <sheetData>
    <row r="1" spans="1:22" ht="15">
      <c r="A1" s="28" t="s">
        <v>218</v>
      </c>
    </row>
    <row r="2" spans="1:22" ht="15.75" thickBot="1">
      <c r="P2" s="48"/>
      <c r="Q2" s="48"/>
      <c r="R2" s="48"/>
      <c r="S2" s="48"/>
      <c r="T2" s="48"/>
      <c r="U2" s="48"/>
      <c r="V2" s="48"/>
    </row>
    <row r="3" spans="1:22" ht="15">
      <c r="B3" s="62" t="s">
        <v>206</v>
      </c>
      <c r="C3" s="63" t="s">
        <v>207</v>
      </c>
      <c r="D3" s="63" t="s">
        <v>208</v>
      </c>
      <c r="E3" s="26" t="s">
        <v>11</v>
      </c>
      <c r="G3" t="s">
        <v>219</v>
      </c>
      <c r="P3" s="2"/>
      <c r="Q3" s="2"/>
      <c r="R3" s="2"/>
      <c r="S3" s="2"/>
      <c r="T3" s="2"/>
      <c r="U3" s="2"/>
      <c r="V3" s="2"/>
    </row>
    <row r="4" spans="1:22">
      <c r="B4" s="19">
        <v>-1</v>
      </c>
      <c r="C4" s="16">
        <v>-1</v>
      </c>
      <c r="D4" s="16">
        <v>-1</v>
      </c>
      <c r="E4" s="8">
        <v>57.587899999999998</v>
      </c>
      <c r="P4" s="2"/>
      <c r="Q4" s="2"/>
      <c r="R4" s="2"/>
      <c r="S4" s="2"/>
      <c r="T4" s="2"/>
      <c r="U4" s="2"/>
      <c r="V4" s="2"/>
    </row>
    <row r="5" spans="1:22">
      <c r="B5" s="19">
        <v>-1</v>
      </c>
      <c r="C5" s="16">
        <v>-1</v>
      </c>
      <c r="D5" s="16">
        <v>-1</v>
      </c>
      <c r="E5" s="8">
        <v>49.809399999999997</v>
      </c>
      <c r="G5" s="14"/>
      <c r="H5" s="14"/>
      <c r="I5" s="14"/>
      <c r="J5" s="137" t="s">
        <v>220</v>
      </c>
      <c r="K5" s="138"/>
      <c r="P5" s="2"/>
      <c r="Q5" s="2"/>
      <c r="R5" s="2"/>
      <c r="S5" s="2"/>
      <c r="T5" s="2"/>
      <c r="U5" s="2"/>
      <c r="V5" s="2"/>
    </row>
    <row r="6" spans="1:22">
      <c r="B6" s="19">
        <v>1</v>
      </c>
      <c r="C6" s="16">
        <v>-1</v>
      </c>
      <c r="D6" s="16">
        <v>-1</v>
      </c>
      <c r="E6" s="8">
        <v>134.75299999999999</v>
      </c>
      <c r="G6" s="14"/>
      <c r="H6" s="14"/>
      <c r="I6" s="14"/>
      <c r="J6" s="12">
        <v>11.5</v>
      </c>
      <c r="K6" s="12">
        <v>16</v>
      </c>
      <c r="P6" s="2"/>
      <c r="Q6" s="2"/>
      <c r="R6" s="2"/>
      <c r="S6" s="2"/>
      <c r="T6" s="2"/>
      <c r="U6" s="2"/>
      <c r="V6" s="2"/>
    </row>
    <row r="7" spans="1:22">
      <c r="B7" s="19">
        <v>1</v>
      </c>
      <c r="C7" s="16">
        <v>-1</v>
      </c>
      <c r="D7" s="16">
        <v>-1</v>
      </c>
      <c r="E7" s="8">
        <v>155.63220000000001</v>
      </c>
      <c r="G7" s="14"/>
      <c r="H7" s="14"/>
      <c r="I7" s="14"/>
      <c r="J7" s="12">
        <v>-1</v>
      </c>
      <c r="K7" s="12">
        <v>1</v>
      </c>
      <c r="P7" s="2"/>
      <c r="Q7" s="2"/>
      <c r="R7" s="2"/>
      <c r="S7" s="2"/>
      <c r="T7" s="2"/>
      <c r="U7" s="2"/>
      <c r="V7" s="2"/>
    </row>
    <row r="8" spans="1:22">
      <c r="B8" s="19">
        <v>-1</v>
      </c>
      <c r="C8" s="16">
        <v>1</v>
      </c>
      <c r="D8" s="16">
        <v>-1</v>
      </c>
      <c r="E8" s="8">
        <v>80.768600000000006</v>
      </c>
      <c r="G8" s="128" t="s">
        <v>221</v>
      </c>
      <c r="H8" s="12">
        <v>4.17</v>
      </c>
      <c r="I8" s="12">
        <v>-1</v>
      </c>
      <c r="J8" s="12">
        <f>AVERAGE(E4,E5,E8,E9)</f>
        <v>67.644875000000013</v>
      </c>
      <c r="K8" s="12">
        <f>AVERAGE(E6,E7,E10,E11)</f>
        <v>147.74597499999999</v>
      </c>
      <c r="L8">
        <f>AVERAGE(J8,K9)</f>
        <v>135.68265</v>
      </c>
      <c r="P8" s="2"/>
      <c r="Q8" s="2"/>
      <c r="R8" s="2"/>
      <c r="S8" s="2"/>
      <c r="T8" s="2"/>
      <c r="U8" s="2"/>
      <c r="V8" s="2"/>
    </row>
    <row r="9" spans="1:22">
      <c r="B9" s="19">
        <v>-1</v>
      </c>
      <c r="C9" s="16">
        <v>1</v>
      </c>
      <c r="D9" s="16">
        <v>-1</v>
      </c>
      <c r="E9" s="8">
        <v>82.413600000000002</v>
      </c>
      <c r="G9" s="136"/>
      <c r="H9" s="12">
        <v>4.8</v>
      </c>
      <c r="I9" s="12">
        <v>1</v>
      </c>
      <c r="J9" s="12">
        <f>AVERAGE(E12,E13,E16,E17)</f>
        <v>117.02697499999999</v>
      </c>
      <c r="K9" s="12">
        <f>AVERAGE(E14,E15,E18,E19)</f>
        <v>203.72042499999998</v>
      </c>
      <c r="L9">
        <f>AVERAGE(K8,J9)</f>
        <v>132.38647499999999</v>
      </c>
      <c r="P9" s="2"/>
      <c r="Q9" s="2"/>
      <c r="R9" s="2"/>
      <c r="S9" s="2"/>
      <c r="T9" s="2"/>
      <c r="U9" s="2"/>
      <c r="V9" s="2"/>
    </row>
    <row r="10" spans="1:22">
      <c r="B10" s="19">
        <v>1</v>
      </c>
      <c r="C10" s="16">
        <v>1</v>
      </c>
      <c r="D10" s="16">
        <v>-1</v>
      </c>
      <c r="E10" s="8">
        <v>155.62880000000001</v>
      </c>
      <c r="K10" t="s">
        <v>225</v>
      </c>
      <c r="L10">
        <f>L8-L9</f>
        <v>3.2961750000000052</v>
      </c>
      <c r="P10" s="2"/>
      <c r="Q10" s="2"/>
      <c r="R10" s="2"/>
      <c r="S10" s="2"/>
      <c r="T10" s="2"/>
      <c r="U10" s="2"/>
      <c r="V10" s="2"/>
    </row>
    <row r="11" spans="1:22">
      <c r="B11" s="19">
        <v>1</v>
      </c>
      <c r="C11" s="16">
        <v>1</v>
      </c>
      <c r="D11" s="16">
        <v>-1</v>
      </c>
      <c r="E11" s="8">
        <v>144.9699</v>
      </c>
    </row>
    <row r="12" spans="1:22">
      <c r="B12" s="19">
        <v>-1</v>
      </c>
      <c r="C12" s="16">
        <v>-1</v>
      </c>
      <c r="D12" s="16">
        <v>1.0000000000000013</v>
      </c>
      <c r="E12" s="8">
        <v>98.2774</v>
      </c>
    </row>
    <row r="13" spans="1:22" ht="15">
      <c r="B13" s="19">
        <v>-1</v>
      </c>
      <c r="C13" s="16">
        <v>-1</v>
      </c>
      <c r="D13" s="16">
        <v>1.0000000000000013</v>
      </c>
      <c r="E13" s="8">
        <v>103.02</v>
      </c>
      <c r="G13" s="27" t="s">
        <v>285</v>
      </c>
    </row>
    <row r="14" spans="1:22">
      <c r="B14" s="19">
        <v>1</v>
      </c>
      <c r="C14" s="16">
        <v>-1</v>
      </c>
      <c r="D14" s="16">
        <v>1.0000000000000013</v>
      </c>
      <c r="E14" s="8">
        <v>211.4195</v>
      </c>
    </row>
    <row r="15" spans="1:22">
      <c r="B15" s="19">
        <v>1</v>
      </c>
      <c r="C15" s="16">
        <v>-1</v>
      </c>
      <c r="D15" s="16">
        <v>1.0000000000000013</v>
      </c>
      <c r="E15" s="8">
        <v>190.82329999999999</v>
      </c>
    </row>
    <row r="16" spans="1:22">
      <c r="B16" s="19">
        <v>-1</v>
      </c>
      <c r="C16" s="16">
        <v>1</v>
      </c>
      <c r="D16" s="16">
        <v>1.0000000000000013</v>
      </c>
      <c r="E16" s="8">
        <v>137.57159999999999</v>
      </c>
    </row>
    <row r="17" spans="2:12">
      <c r="B17" s="19">
        <v>-1</v>
      </c>
      <c r="C17" s="16">
        <v>1</v>
      </c>
      <c r="D17" s="16">
        <v>1.0000000000000013</v>
      </c>
      <c r="E17" s="8">
        <v>129.2389</v>
      </c>
    </row>
    <row r="18" spans="2:12">
      <c r="B18" s="19">
        <v>1</v>
      </c>
      <c r="C18" s="16">
        <v>1</v>
      </c>
      <c r="D18" s="16">
        <v>1.0000000000000013</v>
      </c>
      <c r="E18" s="8">
        <v>206.4453</v>
      </c>
    </row>
    <row r="19" spans="2:12" ht="15" thickBot="1">
      <c r="B19" s="21">
        <v>1</v>
      </c>
      <c r="C19" s="22">
        <v>1</v>
      </c>
      <c r="D19" s="22">
        <v>1.0000000000000013</v>
      </c>
      <c r="E19" s="11">
        <v>206.1936</v>
      </c>
    </row>
    <row r="22" spans="2:12">
      <c r="G22" t="s">
        <v>222</v>
      </c>
    </row>
    <row r="24" spans="2:12">
      <c r="G24" s="14"/>
      <c r="H24" s="14"/>
      <c r="I24" s="14"/>
      <c r="J24" s="124" t="s">
        <v>220</v>
      </c>
      <c r="K24" s="124"/>
    </row>
    <row r="25" spans="2:12">
      <c r="G25" s="14"/>
      <c r="H25" s="14"/>
      <c r="I25" s="14"/>
      <c r="J25" s="12">
        <v>11.5</v>
      </c>
      <c r="K25" s="12">
        <v>16</v>
      </c>
    </row>
    <row r="26" spans="2:12">
      <c r="G26" s="14"/>
      <c r="H26" s="14"/>
      <c r="I26" s="14"/>
      <c r="J26" s="12">
        <v>-1</v>
      </c>
      <c r="K26" s="12">
        <v>1</v>
      </c>
    </row>
    <row r="27" spans="2:12">
      <c r="G27" s="124" t="s">
        <v>223</v>
      </c>
      <c r="H27" s="12">
        <v>30</v>
      </c>
      <c r="I27" s="12">
        <v>-1</v>
      </c>
      <c r="J27" s="12">
        <f>AVERAGE(E4,E5,E12,E13)</f>
        <v>77.173675000000003</v>
      </c>
      <c r="K27" s="12">
        <f>AVERAGE(E6,E7,E14,E15)</f>
        <v>173.15700000000001</v>
      </c>
      <c r="L27">
        <f>AVERAGE(J27,K28)</f>
        <v>127.74153749999999</v>
      </c>
    </row>
    <row r="28" spans="2:12">
      <c r="G28" s="124"/>
      <c r="H28" s="12">
        <v>60</v>
      </c>
      <c r="I28" s="12">
        <v>1</v>
      </c>
      <c r="J28" s="12">
        <f>AVERAGE(E8,E9,E16,E17)</f>
        <v>107.498175</v>
      </c>
      <c r="K28" s="12">
        <f>AVERAGE(E10,E11,E18,E19)</f>
        <v>178.30939999999998</v>
      </c>
      <c r="L28">
        <f>AVERAGE(J28,K27)</f>
        <v>140.32758749999999</v>
      </c>
    </row>
    <row r="29" spans="2:12">
      <c r="K29" t="s">
        <v>227</v>
      </c>
      <c r="L29">
        <f>L27-L28</f>
        <v>-12.58605</v>
      </c>
    </row>
    <row r="31" spans="2:12">
      <c r="G31" s="78"/>
    </row>
    <row r="32" spans="2:12" ht="15">
      <c r="G32" s="27" t="s">
        <v>281</v>
      </c>
    </row>
    <row r="33" spans="7:12" ht="15">
      <c r="G33" s="27" t="s">
        <v>282</v>
      </c>
    </row>
    <row r="34" spans="7:12" ht="15">
      <c r="G34" s="27" t="s">
        <v>283</v>
      </c>
    </row>
    <row r="39" spans="7:12">
      <c r="G39" t="s">
        <v>224</v>
      </c>
    </row>
    <row r="41" spans="7:12">
      <c r="G41" s="14"/>
      <c r="H41" s="14"/>
      <c r="I41" s="14"/>
      <c r="J41" s="137" t="s">
        <v>223</v>
      </c>
      <c r="K41" s="138"/>
    </row>
    <row r="42" spans="7:12">
      <c r="G42" s="14"/>
      <c r="H42" s="14"/>
      <c r="I42" s="14"/>
      <c r="J42" s="12">
        <v>30</v>
      </c>
      <c r="K42" s="12">
        <v>60</v>
      </c>
    </row>
    <row r="43" spans="7:12">
      <c r="G43" s="14"/>
      <c r="H43" s="14"/>
      <c r="I43" s="14"/>
      <c r="J43" s="12">
        <v>-1</v>
      </c>
      <c r="K43" s="12">
        <v>1</v>
      </c>
    </row>
    <row r="44" spans="7:12">
      <c r="G44" s="128" t="s">
        <v>221</v>
      </c>
      <c r="H44" s="12">
        <v>4.17</v>
      </c>
      <c r="I44" s="12">
        <v>-1</v>
      </c>
      <c r="J44" s="12">
        <f>AVERAGE(E4,E5,E6,E7)</f>
        <v>99.445625000000007</v>
      </c>
      <c r="K44" s="12">
        <f>AVERAGE(E8,E9,E10,E11)</f>
        <v>115.94522500000001</v>
      </c>
      <c r="L44">
        <f>AVERAGE(J44,K45)</f>
        <v>134.6539875</v>
      </c>
    </row>
    <row r="45" spans="7:12">
      <c r="G45" s="136"/>
      <c r="H45" s="12">
        <v>4.8</v>
      </c>
      <c r="I45" s="12">
        <v>1</v>
      </c>
      <c r="J45" s="12">
        <f>AVERAGE(E12,E13,E14,E15)</f>
        <v>150.88505000000001</v>
      </c>
      <c r="K45" s="12">
        <f>AVERAGE(E16,E17,E18,E19)</f>
        <v>169.86234999999999</v>
      </c>
      <c r="L45">
        <f>AVERAGE(J45,K44)</f>
        <v>133.41513750000001</v>
      </c>
    </row>
    <row r="46" spans="7:12">
      <c r="K46" t="s">
        <v>226</v>
      </c>
      <c r="L46">
        <f>L44-L45</f>
        <v>1.2388499999999851</v>
      </c>
    </row>
    <row r="48" spans="7:12" ht="15">
      <c r="G48" s="27" t="s">
        <v>284</v>
      </c>
    </row>
  </sheetData>
  <autoFilter ref="B3:E19"/>
  <mergeCells count="6">
    <mergeCell ref="G44:G45"/>
    <mergeCell ref="J41:K41"/>
    <mergeCell ref="J5:K5"/>
    <mergeCell ref="G8:G9"/>
    <mergeCell ref="J24:K24"/>
    <mergeCell ref="G27:G28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34"/>
  <sheetViews>
    <sheetView zoomScaleNormal="100" workbookViewId="0">
      <selection activeCell="H28" sqref="H28"/>
    </sheetView>
  </sheetViews>
  <sheetFormatPr defaultRowHeight="14.25"/>
  <cols>
    <col min="17" max="17" width="11.625" customWidth="1"/>
    <col min="18" max="18" width="12.375" customWidth="1"/>
  </cols>
  <sheetData>
    <row r="1" spans="1:28" ht="15">
      <c r="A1" s="28" t="s">
        <v>228</v>
      </c>
    </row>
    <row r="2" spans="1:28" ht="15" thickBot="1"/>
    <row r="3" spans="1:28" ht="15">
      <c r="B3" s="62" t="s">
        <v>8</v>
      </c>
      <c r="C3" s="63" t="s">
        <v>10</v>
      </c>
      <c r="D3" s="63" t="s">
        <v>9</v>
      </c>
      <c r="E3" s="63" t="s">
        <v>39</v>
      </c>
      <c r="F3" s="26" t="s">
        <v>11</v>
      </c>
      <c r="H3" t="s">
        <v>54</v>
      </c>
      <c r="K3" s="142" t="s">
        <v>231</v>
      </c>
      <c r="L3" s="143"/>
      <c r="M3" s="144"/>
      <c r="R3" s="96" t="s">
        <v>229</v>
      </c>
    </row>
    <row r="4" spans="1:28" ht="15" thickBot="1">
      <c r="B4" s="19">
        <v>-1</v>
      </c>
      <c r="C4" s="16">
        <v>-1</v>
      </c>
      <c r="D4" s="16">
        <v>-0.99999999999999856</v>
      </c>
      <c r="E4" s="16">
        <f>B4*C4</f>
        <v>1</v>
      </c>
      <c r="F4" s="8">
        <v>57.587899999999998</v>
      </c>
      <c r="K4" s="145" t="s">
        <v>232</v>
      </c>
      <c r="L4" s="146"/>
      <c r="M4" s="97">
        <v>12</v>
      </c>
    </row>
    <row r="5" spans="1:28" ht="15">
      <c r="B5" s="19">
        <v>-1</v>
      </c>
      <c r="C5" s="16">
        <v>-1</v>
      </c>
      <c r="D5" s="16">
        <v>-0.99999999999999856</v>
      </c>
      <c r="E5" s="16">
        <f t="shared" ref="E5:E19" si="0">B5*C5</f>
        <v>1</v>
      </c>
      <c r="F5" s="8">
        <v>49.809399999999997</v>
      </c>
      <c r="H5" s="66" t="s">
        <v>55</v>
      </c>
      <c r="I5" s="66"/>
      <c r="K5" s="145" t="s">
        <v>233</v>
      </c>
      <c r="L5" s="146"/>
      <c r="M5" s="97">
        <v>35</v>
      </c>
      <c r="R5" s="74" t="s">
        <v>230</v>
      </c>
      <c r="S5" s="1">
        <f>$I$19+$I$20*(-13.75/2.25)+$I$21*(-45/15)+$I$22*(-4.485/0.315)+$I$23*(-13.75/2.25)*(-45/15)</f>
        <v>-636.78818515873013</v>
      </c>
      <c r="T5" s="1" t="s">
        <v>83</v>
      </c>
      <c r="U5" s="1">
        <f>($I$20/2.25)+($I$23/2.25)*(-45/15)</f>
        <v>26.923427777777786</v>
      </c>
      <c r="V5" s="1" t="s">
        <v>94</v>
      </c>
      <c r="W5" s="1">
        <f>($I$21/15)+($I$23/15)*(-13.75/2.25)</f>
        <v>3.1551066666666649</v>
      </c>
      <c r="X5" s="1" t="s">
        <v>95</v>
      </c>
      <c r="Y5" s="1">
        <f>($I$22/0.315)</f>
        <v>83.616309523809505</v>
      </c>
      <c r="Z5" s="1" t="s">
        <v>96</v>
      </c>
      <c r="AA5" s="1">
        <f>$I$23/(2.25*15)</f>
        <v>-0.1864599999999999</v>
      </c>
      <c r="AB5" s="83" t="s">
        <v>97</v>
      </c>
    </row>
    <row r="6" spans="1:28" ht="15" thickBot="1">
      <c r="B6" s="19">
        <v>1</v>
      </c>
      <c r="C6" s="16">
        <v>-1</v>
      </c>
      <c r="D6" s="16">
        <v>-0.99999999999999856</v>
      </c>
      <c r="E6" s="16">
        <f t="shared" si="0"/>
        <v>-1</v>
      </c>
      <c r="F6" s="8">
        <v>134.75299999999999</v>
      </c>
      <c r="H6" t="s">
        <v>56</v>
      </c>
      <c r="I6">
        <v>0.98636985738455074</v>
      </c>
      <c r="K6" s="147" t="s">
        <v>234</v>
      </c>
      <c r="L6" s="148"/>
      <c r="M6" s="98">
        <v>4.2</v>
      </c>
    </row>
    <row r="7" spans="1:28" ht="15">
      <c r="B7" s="19">
        <v>1</v>
      </c>
      <c r="C7" s="16">
        <v>-1</v>
      </c>
      <c r="D7" s="16">
        <v>-0.99999999999999856</v>
      </c>
      <c r="E7" s="16">
        <f t="shared" si="0"/>
        <v>-1</v>
      </c>
      <c r="F7" s="8">
        <v>155.63220000000001</v>
      </c>
      <c r="H7" t="s">
        <v>57</v>
      </c>
      <c r="I7">
        <v>0.97292549555681895</v>
      </c>
      <c r="R7" s="74" t="s">
        <v>235</v>
      </c>
      <c r="S7" s="28">
        <f>S5+U5*M4+W5*M5+Y5*M6+AA5*M4*M5</f>
        <v>69.596981507936505</v>
      </c>
    </row>
    <row r="8" spans="1:28">
      <c r="B8" s="19">
        <v>-1</v>
      </c>
      <c r="C8" s="16">
        <v>1</v>
      </c>
      <c r="D8" s="16">
        <v>-0.99999999999999856</v>
      </c>
      <c r="E8" s="16">
        <f t="shared" si="0"/>
        <v>-1</v>
      </c>
      <c r="F8" s="8">
        <v>80.768600000000006</v>
      </c>
      <c r="H8" t="s">
        <v>58</v>
      </c>
      <c r="I8">
        <v>0.96570562770530399</v>
      </c>
    </row>
    <row r="9" spans="1:28" ht="15" thickBot="1">
      <c r="B9" s="19">
        <v>-1</v>
      </c>
      <c r="C9" s="16">
        <v>1</v>
      </c>
      <c r="D9" s="16">
        <v>-0.99999999999999856</v>
      </c>
      <c r="E9" s="16">
        <f t="shared" si="0"/>
        <v>-1</v>
      </c>
      <c r="F9" s="8">
        <v>82.413600000000002</v>
      </c>
      <c r="H9" t="s">
        <v>59</v>
      </c>
      <c r="I9">
        <v>8.7014642077334852</v>
      </c>
    </row>
    <row r="10" spans="1:28" ht="15" thickBot="1">
      <c r="B10" s="19">
        <v>1</v>
      </c>
      <c r="C10" s="16">
        <v>1</v>
      </c>
      <c r="D10" s="16">
        <v>-0.99999999999999856</v>
      </c>
      <c r="E10" s="16">
        <f t="shared" si="0"/>
        <v>1</v>
      </c>
      <c r="F10" s="8">
        <v>155.62880000000001</v>
      </c>
      <c r="H10" s="64" t="s">
        <v>60</v>
      </c>
      <c r="I10" s="64">
        <v>20</v>
      </c>
      <c r="R10" s="17">
        <f>S5</f>
        <v>-636.78818515873013</v>
      </c>
      <c r="S10" s="18">
        <v>1</v>
      </c>
      <c r="T10" s="89" t="s">
        <v>65</v>
      </c>
    </row>
    <row r="11" spans="1:28">
      <c r="B11" s="19">
        <v>1</v>
      </c>
      <c r="C11" s="16">
        <v>1</v>
      </c>
      <c r="D11" s="16">
        <v>-0.99999999999999856</v>
      </c>
      <c r="E11" s="16">
        <f t="shared" si="0"/>
        <v>1</v>
      </c>
      <c r="F11" s="8">
        <v>144.9699</v>
      </c>
      <c r="R11" s="19">
        <f>U5</f>
        <v>26.923427777777786</v>
      </c>
      <c r="S11" s="16">
        <v>12</v>
      </c>
      <c r="T11" s="20" t="s">
        <v>236</v>
      </c>
    </row>
    <row r="12" spans="1:28" ht="15" thickBot="1">
      <c r="B12" s="19">
        <v>-1</v>
      </c>
      <c r="C12" s="16">
        <v>-1</v>
      </c>
      <c r="D12" s="16">
        <v>1.0000000000000013</v>
      </c>
      <c r="E12" s="16">
        <f t="shared" si="0"/>
        <v>1</v>
      </c>
      <c r="F12" s="8">
        <v>98.2774</v>
      </c>
      <c r="H12" t="s">
        <v>61</v>
      </c>
      <c r="R12" s="19">
        <f>W5</f>
        <v>3.1551066666666649</v>
      </c>
      <c r="S12" s="16">
        <v>35</v>
      </c>
      <c r="T12" s="20" t="s">
        <v>237</v>
      </c>
    </row>
    <row r="13" spans="1:28">
      <c r="B13" s="19">
        <v>-1</v>
      </c>
      <c r="C13" s="16">
        <v>-1</v>
      </c>
      <c r="D13" s="16">
        <v>1.0000000000000013</v>
      </c>
      <c r="E13" s="16">
        <f t="shared" si="0"/>
        <v>1</v>
      </c>
      <c r="F13" s="8">
        <v>103.02</v>
      </c>
      <c r="H13" s="65"/>
      <c r="I13" s="65" t="s">
        <v>66</v>
      </c>
      <c r="J13" s="65" t="s">
        <v>67</v>
      </c>
      <c r="K13" s="65" t="s">
        <v>68</v>
      </c>
      <c r="L13" s="65" t="s">
        <v>69</v>
      </c>
      <c r="M13" s="65" t="s">
        <v>70</v>
      </c>
      <c r="R13" s="19">
        <f>Y5</f>
        <v>83.616309523809505</v>
      </c>
      <c r="S13" s="16">
        <v>4.2</v>
      </c>
      <c r="T13" s="20" t="s">
        <v>238</v>
      </c>
    </row>
    <row r="14" spans="1:28" ht="15" thickBot="1">
      <c r="B14" s="19">
        <v>1</v>
      </c>
      <c r="C14" s="16">
        <v>-1</v>
      </c>
      <c r="D14" s="16">
        <v>1.0000000000000013</v>
      </c>
      <c r="E14" s="16">
        <f t="shared" si="0"/>
        <v>-1</v>
      </c>
      <c r="F14" s="8">
        <v>211.4195</v>
      </c>
      <c r="H14" t="s">
        <v>62</v>
      </c>
      <c r="I14">
        <v>4</v>
      </c>
      <c r="J14">
        <v>40812.669589624995</v>
      </c>
      <c r="K14">
        <v>10203.167397406249</v>
      </c>
      <c r="L14">
        <v>134.75669022843309</v>
      </c>
      <c r="M14">
        <v>1.4558676142708351E-11</v>
      </c>
      <c r="R14" s="41">
        <f>AA5</f>
        <v>-0.1864599999999999</v>
      </c>
      <c r="S14" s="39">
        <f>S11*S12</f>
        <v>420</v>
      </c>
      <c r="T14" s="88" t="s">
        <v>239</v>
      </c>
    </row>
    <row r="15" spans="1:28" ht="15.75" thickBot="1">
      <c r="B15" s="19">
        <v>1</v>
      </c>
      <c r="C15" s="16">
        <v>-1</v>
      </c>
      <c r="D15" s="16">
        <v>1.0000000000000013</v>
      </c>
      <c r="E15" s="16">
        <f t="shared" si="0"/>
        <v>-1</v>
      </c>
      <c r="F15" s="8">
        <v>190.82329999999999</v>
      </c>
      <c r="H15" t="s">
        <v>63</v>
      </c>
      <c r="I15">
        <v>15</v>
      </c>
      <c r="J15">
        <v>1135.7321903770041</v>
      </c>
      <c r="K15">
        <v>75.715479358466936</v>
      </c>
      <c r="R15" s="139">
        <f>SUMPRODUCT(R10:R14,S10:S14)</f>
        <v>69.596981507936505</v>
      </c>
      <c r="S15" s="140"/>
      <c r="T15" s="141"/>
    </row>
    <row r="16" spans="1:28" ht="15" thickBot="1">
      <c r="B16" s="19">
        <v>-1</v>
      </c>
      <c r="C16" s="16">
        <v>1</v>
      </c>
      <c r="D16" s="16">
        <v>1.0000000000000013</v>
      </c>
      <c r="E16" s="16">
        <f t="shared" si="0"/>
        <v>-1</v>
      </c>
      <c r="F16" s="8">
        <v>137.57159999999999</v>
      </c>
      <c r="H16" s="64" t="s">
        <v>64</v>
      </c>
      <c r="I16" s="64">
        <v>19</v>
      </c>
      <c r="J16" s="64">
        <v>41948.401780002001</v>
      </c>
      <c r="K16" s="64"/>
      <c r="L16" s="64"/>
      <c r="M16" s="64"/>
    </row>
    <row r="17" spans="2:28" ht="15" thickBot="1">
      <c r="B17" s="19">
        <v>-1</v>
      </c>
      <c r="C17" s="16">
        <v>1</v>
      </c>
      <c r="D17" s="16">
        <v>1.0000000000000013</v>
      </c>
      <c r="E17" s="16">
        <f t="shared" si="0"/>
        <v>-1</v>
      </c>
      <c r="F17" s="8">
        <v>129.2389</v>
      </c>
    </row>
    <row r="18" spans="2:28" ht="15">
      <c r="B18" s="19">
        <v>1</v>
      </c>
      <c r="C18" s="16">
        <v>1</v>
      </c>
      <c r="D18" s="16">
        <v>1.0000000000000013</v>
      </c>
      <c r="E18" s="16">
        <f t="shared" si="0"/>
        <v>1</v>
      </c>
      <c r="F18" s="8">
        <v>206.4453</v>
      </c>
      <c r="H18" s="65"/>
      <c r="I18" s="65" t="s">
        <v>71</v>
      </c>
      <c r="J18" s="65" t="s">
        <v>59</v>
      </c>
      <c r="K18" s="65" t="s">
        <v>72</v>
      </c>
      <c r="L18" s="65" t="s">
        <v>73</v>
      </c>
      <c r="M18" s="65" t="s">
        <v>74</v>
      </c>
      <c r="N18" s="65" t="s">
        <v>75</v>
      </c>
      <c r="O18" s="65" t="s">
        <v>76</v>
      </c>
      <c r="P18" s="65" t="s">
        <v>77</v>
      </c>
      <c r="R18" s="96" t="s">
        <v>240</v>
      </c>
    </row>
    <row r="19" spans="2:28" ht="15" thickBot="1">
      <c r="B19" s="41">
        <v>1</v>
      </c>
      <c r="C19" s="39">
        <v>1</v>
      </c>
      <c r="D19" s="39">
        <v>1.0000000000000013</v>
      </c>
      <c r="E19" s="39">
        <f t="shared" si="0"/>
        <v>1</v>
      </c>
      <c r="F19" s="90">
        <v>206.1936</v>
      </c>
      <c r="H19" t="s">
        <v>65</v>
      </c>
      <c r="I19">
        <v>135.03576999999999</v>
      </c>
      <c r="J19">
        <v>1.9457065472273425</v>
      </c>
      <c r="K19">
        <v>69.401919931054223</v>
      </c>
      <c r="L19">
        <v>3.1422553914942216E-20</v>
      </c>
      <c r="M19">
        <v>130.88859466411958</v>
      </c>
      <c r="N19">
        <v>139.18294533588039</v>
      </c>
      <c r="O19">
        <v>130.88859466411958</v>
      </c>
      <c r="P19">
        <v>139.18294533588039</v>
      </c>
    </row>
    <row r="20" spans="2:28" ht="15">
      <c r="B20" s="17">
        <v>0</v>
      </c>
      <c r="C20" s="18">
        <v>0</v>
      </c>
      <c r="D20" s="18">
        <v>0</v>
      </c>
      <c r="E20" s="18">
        <v>0</v>
      </c>
      <c r="F20" s="91">
        <v>155.78700000000001</v>
      </c>
      <c r="H20" t="s">
        <v>8</v>
      </c>
      <c r="I20">
        <v>41.698637500000025</v>
      </c>
      <c r="J20">
        <v>2.1753660519333722</v>
      </c>
      <c r="K20">
        <v>19.168561292450097</v>
      </c>
      <c r="L20">
        <v>5.8321077085524419E-12</v>
      </c>
      <c r="M20">
        <v>37.061954517180482</v>
      </c>
      <c r="N20">
        <v>46.335320482819569</v>
      </c>
      <c r="O20">
        <v>37.061954517180482</v>
      </c>
      <c r="P20">
        <v>46.335320482819569</v>
      </c>
      <c r="R20" s="27" t="s">
        <v>245</v>
      </c>
      <c r="S20">
        <f>I19</f>
        <v>135.03576999999999</v>
      </c>
      <c r="T20" t="s">
        <v>83</v>
      </c>
      <c r="U20">
        <f>I20</f>
        <v>41.698637500000025</v>
      </c>
      <c r="V20" t="s">
        <v>84</v>
      </c>
      <c r="W20">
        <f>I21</f>
        <v>8.8692249999999984</v>
      </c>
      <c r="X20" t="s">
        <v>85</v>
      </c>
      <c r="Y20">
        <f>I22</f>
        <v>26.339137499999993</v>
      </c>
      <c r="Z20" t="s">
        <v>86</v>
      </c>
      <c r="AA20">
        <f>I23</f>
        <v>-6.2930249999999965</v>
      </c>
      <c r="AB20" t="s">
        <v>87</v>
      </c>
    </row>
    <row r="21" spans="2:28" ht="15" thickBot="1">
      <c r="B21" s="19">
        <v>0</v>
      </c>
      <c r="C21" s="16">
        <v>0</v>
      </c>
      <c r="D21" s="16">
        <v>0</v>
      </c>
      <c r="E21" s="16">
        <v>0</v>
      </c>
      <c r="F21" s="8">
        <v>138.35820000000001</v>
      </c>
      <c r="H21" t="s">
        <v>10</v>
      </c>
      <c r="I21">
        <v>8.8692249999999984</v>
      </c>
      <c r="J21">
        <v>2.1753660519333708</v>
      </c>
      <c r="K21">
        <v>4.0771184197332753</v>
      </c>
      <c r="L21">
        <v>9.9120599386784587E-4</v>
      </c>
      <c r="M21">
        <v>4.2325420171804549</v>
      </c>
      <c r="N21">
        <v>13.505907982819542</v>
      </c>
      <c r="O21">
        <v>4.2325420171804549</v>
      </c>
      <c r="P21">
        <v>13.505907982819542</v>
      </c>
    </row>
    <row r="22" spans="2:28">
      <c r="B22" s="19">
        <v>0</v>
      </c>
      <c r="C22" s="16">
        <v>0</v>
      </c>
      <c r="D22" s="16">
        <v>0</v>
      </c>
      <c r="E22" s="16">
        <v>0</v>
      </c>
      <c r="F22" s="8">
        <v>127.41459999999999</v>
      </c>
      <c r="H22" t="s">
        <v>9</v>
      </c>
      <c r="I22">
        <v>26.339137499999993</v>
      </c>
      <c r="J22">
        <v>2.1753660519333713</v>
      </c>
      <c r="K22">
        <v>12.107910517676281</v>
      </c>
      <c r="L22">
        <v>3.8245363284674561E-9</v>
      </c>
      <c r="M22">
        <v>21.702454517180449</v>
      </c>
      <c r="N22">
        <v>30.975820482819536</v>
      </c>
      <c r="O22">
        <v>21.702454517180449</v>
      </c>
      <c r="P22">
        <v>30.975820482819536</v>
      </c>
      <c r="V22" s="17">
        <f>I19</f>
        <v>135.03576999999999</v>
      </c>
      <c r="W22" s="18">
        <v>1</v>
      </c>
      <c r="X22" s="89" t="str">
        <f>H19</f>
        <v>Intercept</v>
      </c>
    </row>
    <row r="23" spans="2:28" ht="15" thickBot="1">
      <c r="B23" s="21">
        <v>0</v>
      </c>
      <c r="C23" s="22">
        <v>0</v>
      </c>
      <c r="D23" s="22">
        <v>0</v>
      </c>
      <c r="E23" s="22">
        <v>0</v>
      </c>
      <c r="F23" s="11">
        <v>134.6026</v>
      </c>
      <c r="H23" s="64" t="s">
        <v>39</v>
      </c>
      <c r="I23" s="64">
        <v>-6.2930249999999965</v>
      </c>
      <c r="J23" s="64">
        <v>2.1753660519333713</v>
      </c>
      <c r="K23" s="64">
        <v>-2.8928579603451237</v>
      </c>
      <c r="L23" s="64">
        <v>1.1155050567123485E-2</v>
      </c>
      <c r="M23" s="64">
        <v>-10.92970798281954</v>
      </c>
      <c r="N23" s="64">
        <v>-1.6563420171804522</v>
      </c>
      <c r="O23" s="64">
        <v>-10.92970798281954</v>
      </c>
      <c r="P23" s="64">
        <v>-1.6563420171804522</v>
      </c>
      <c r="R23" s="16" t="s">
        <v>241</v>
      </c>
      <c r="S23" s="16">
        <f>(M4-B27)/C27</f>
        <v>-0.77777777777777779</v>
      </c>
      <c r="V23" s="19">
        <f>I20</f>
        <v>41.698637500000025</v>
      </c>
      <c r="W23" s="16">
        <f>S23</f>
        <v>-0.77777777777777779</v>
      </c>
      <c r="X23" s="20" t="str">
        <f>H20</f>
        <v>t1</v>
      </c>
    </row>
    <row r="24" spans="2:28">
      <c r="R24" s="16" t="s">
        <v>242</v>
      </c>
      <c r="S24" s="16">
        <f>(M5-B28)/C28</f>
        <v>-0.66666666666666663</v>
      </c>
      <c r="V24" s="19">
        <f>I21</f>
        <v>8.8692249999999984</v>
      </c>
      <c r="W24" s="16">
        <f>S24</f>
        <v>-0.66666666666666663</v>
      </c>
      <c r="X24" s="20" t="str">
        <f>H21</f>
        <v>t2</v>
      </c>
    </row>
    <row r="25" spans="2:28">
      <c r="R25" s="16" t="s">
        <v>243</v>
      </c>
      <c r="S25" s="16">
        <f>(M6-B29)/C29</f>
        <v>-0.90476190476190255</v>
      </c>
      <c r="V25" s="19">
        <f>I22</f>
        <v>26.339137499999993</v>
      </c>
      <c r="W25" s="16">
        <f>S25</f>
        <v>-0.90476190476190255</v>
      </c>
      <c r="X25" s="20" t="str">
        <f>H22</f>
        <v>t3</v>
      </c>
    </row>
    <row r="26" spans="2:28" ht="18" customHeight="1" thickBot="1">
      <c r="B26" s="61" t="s">
        <v>13</v>
      </c>
      <c r="C26" s="61" t="s">
        <v>14</v>
      </c>
      <c r="E26" s="48"/>
      <c r="F26" s="48"/>
      <c r="G26" s="48"/>
      <c r="H26" s="48"/>
      <c r="I26" s="48"/>
      <c r="J26" s="48"/>
      <c r="K26" s="48"/>
      <c r="R26" s="84" t="s">
        <v>244</v>
      </c>
      <c r="S26" s="28">
        <f>I19+I20*S23+I21*S24+I22*S25+I23*S23*S24</f>
        <v>69.596981507936547</v>
      </c>
      <c r="V26" s="41">
        <f>I23</f>
        <v>-6.2930249999999965</v>
      </c>
      <c r="W26" s="39">
        <f>W23*W24</f>
        <v>0.51851851851851849</v>
      </c>
      <c r="X26" s="88" t="str">
        <f>H23</f>
        <v>t1*t2</v>
      </c>
    </row>
    <row r="27" spans="2:28" ht="15.75" thickBot="1">
      <c r="B27" s="12">
        <f>(11.5+16)/2</f>
        <v>13.75</v>
      </c>
      <c r="C27" s="12">
        <f>(16-11.5)/2</f>
        <v>2.25</v>
      </c>
      <c r="E27" s="2"/>
      <c r="F27" s="2"/>
      <c r="G27" s="2"/>
      <c r="H27" s="2"/>
      <c r="I27" s="2"/>
      <c r="J27" s="2"/>
      <c r="K27" s="2"/>
      <c r="V27" s="139">
        <f>SUMPRODUCT(V22:V26,W22:W26)</f>
        <v>69.596981507936547</v>
      </c>
      <c r="W27" s="140"/>
      <c r="X27" s="141"/>
    </row>
    <row r="28" spans="2:28" ht="15">
      <c r="B28" s="12">
        <f>(30+60)/2</f>
        <v>45</v>
      </c>
      <c r="C28" s="12">
        <f>(60-30)/2</f>
        <v>15</v>
      </c>
      <c r="E28" s="2"/>
      <c r="F28" s="2"/>
      <c r="G28" s="2"/>
      <c r="H28" s="2"/>
      <c r="I28" s="2"/>
      <c r="J28" s="99" t="s">
        <v>246</v>
      </c>
      <c r="K28" s="2"/>
    </row>
    <row r="29" spans="2:28">
      <c r="B29" s="12">
        <f>(4.17+4.8)/2</f>
        <v>4.4849999999999994</v>
      </c>
      <c r="C29" s="12">
        <f>(4.8-4.17)/2</f>
        <v>0.31499999999999995</v>
      </c>
      <c r="E29" s="2"/>
      <c r="F29" s="2"/>
      <c r="G29" s="2"/>
      <c r="H29" s="2"/>
      <c r="I29" s="2"/>
      <c r="J29" s="2"/>
      <c r="K29" s="2"/>
    </row>
    <row r="30" spans="2:28">
      <c r="E30" s="2"/>
      <c r="F30" s="2"/>
      <c r="G30" s="2"/>
      <c r="H30" s="2"/>
      <c r="I30" s="2"/>
      <c r="J30" s="2"/>
      <c r="K30" s="2"/>
    </row>
    <row r="31" spans="2:28">
      <c r="E31" s="2"/>
      <c r="F31" s="2"/>
      <c r="G31" s="2"/>
      <c r="H31" s="2"/>
      <c r="I31" s="2"/>
      <c r="J31" s="2"/>
      <c r="K31" s="2"/>
    </row>
    <row r="32" spans="2:28">
      <c r="E32" s="2"/>
      <c r="F32" s="2"/>
      <c r="G32" s="2"/>
      <c r="H32" s="2"/>
      <c r="I32" s="2"/>
      <c r="J32" s="2"/>
      <c r="K32" s="2"/>
    </row>
    <row r="33" spans="5:11">
      <c r="E33" s="2"/>
      <c r="F33" s="2"/>
      <c r="G33" s="2"/>
      <c r="H33" s="2"/>
      <c r="I33" s="2"/>
      <c r="J33" s="2"/>
      <c r="K33" s="2"/>
    </row>
    <row r="34" spans="5:11">
      <c r="E34" s="2"/>
      <c r="F34" s="2"/>
      <c r="G34" s="2"/>
      <c r="H34" s="2"/>
      <c r="I34" s="2"/>
      <c r="J34" s="2"/>
      <c r="K34" s="2"/>
    </row>
  </sheetData>
  <mergeCells count="6">
    <mergeCell ref="V27:X27"/>
    <mergeCell ref="R15:T15"/>
    <mergeCell ref="K3:M3"/>
    <mergeCell ref="K4:L4"/>
    <mergeCell ref="K5:L5"/>
    <mergeCell ref="K6:L6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78"/>
  <sheetViews>
    <sheetView topLeftCell="A37" zoomScale="85" zoomScaleNormal="85" workbookViewId="0">
      <selection activeCell="B73" sqref="B73"/>
    </sheetView>
  </sheetViews>
  <sheetFormatPr defaultRowHeight="14.25"/>
  <cols>
    <col min="2" max="2" width="12.125" customWidth="1"/>
    <col min="3" max="3" width="12" bestFit="1" customWidth="1"/>
    <col min="4" max="4" width="8.875" customWidth="1"/>
    <col min="12" max="12" width="11.875" bestFit="1" customWidth="1"/>
    <col min="15" max="15" width="13.625" bestFit="1" customWidth="1"/>
    <col min="17" max="17" width="12.875" bestFit="1" customWidth="1"/>
    <col min="18" max="18" width="11.875" bestFit="1" customWidth="1"/>
  </cols>
  <sheetData>
    <row r="1" spans="1:18" ht="15">
      <c r="A1" s="28" t="s">
        <v>247</v>
      </c>
    </row>
    <row r="2" spans="1:18" ht="15">
      <c r="O2" s="61" t="s">
        <v>13</v>
      </c>
      <c r="P2" s="61" t="s">
        <v>14</v>
      </c>
    </row>
    <row r="3" spans="1:18">
      <c r="B3" s="30" t="s">
        <v>230</v>
      </c>
      <c r="C3">
        <v>-636.78818515873013</v>
      </c>
      <c r="D3" t="s">
        <v>83</v>
      </c>
      <c r="E3">
        <v>26.923427777777786</v>
      </c>
      <c r="F3" t="s">
        <v>94</v>
      </c>
      <c r="G3">
        <v>3.1551066666666649</v>
      </c>
      <c r="H3" t="s">
        <v>95</v>
      </c>
      <c r="I3">
        <v>83.616309523809505</v>
      </c>
      <c r="J3" t="s">
        <v>96</v>
      </c>
      <c r="K3">
        <v>-0.1864599999999999</v>
      </c>
      <c r="L3" t="s">
        <v>97</v>
      </c>
      <c r="O3" s="12">
        <f>(11.5+16)/2</f>
        <v>13.75</v>
      </c>
      <c r="P3" s="12">
        <f>(16-11.5)/2</f>
        <v>2.25</v>
      </c>
    </row>
    <row r="4" spans="1:18">
      <c r="B4" s="30"/>
      <c r="O4" s="12">
        <f>(30+60)/2</f>
        <v>45</v>
      </c>
      <c r="P4" s="12">
        <f>(60-30)/2</f>
        <v>15</v>
      </c>
    </row>
    <row r="5" spans="1:18">
      <c r="B5" s="30" t="s">
        <v>245</v>
      </c>
      <c r="C5">
        <v>135.03576999999999</v>
      </c>
      <c r="D5" t="s">
        <v>83</v>
      </c>
      <c r="E5">
        <v>41.698637500000025</v>
      </c>
      <c r="F5" t="s">
        <v>84</v>
      </c>
      <c r="G5">
        <v>8.8692249999999984</v>
      </c>
      <c r="H5" t="s">
        <v>85</v>
      </c>
      <c r="I5">
        <v>26.339137499999993</v>
      </c>
      <c r="J5" t="s">
        <v>86</v>
      </c>
      <c r="K5">
        <v>-6.2930249999999965</v>
      </c>
      <c r="L5" t="s">
        <v>87</v>
      </c>
      <c r="O5" s="12">
        <f>(4.17+4.8)/2</f>
        <v>4.4849999999999994</v>
      </c>
      <c r="P5" s="12">
        <f>(4.8-4.17)/2</f>
        <v>0.31499999999999995</v>
      </c>
    </row>
    <row r="7" spans="1:18" ht="15" thickBot="1">
      <c r="A7" t="s">
        <v>248</v>
      </c>
      <c r="I7" t="s">
        <v>249</v>
      </c>
      <c r="N7" t="s">
        <v>251</v>
      </c>
    </row>
    <row r="8" spans="1:18">
      <c r="B8" s="17" t="s">
        <v>23</v>
      </c>
      <c r="C8" s="18" t="s">
        <v>236</v>
      </c>
      <c r="D8" s="18" t="s">
        <v>237</v>
      </c>
      <c r="E8" s="18" t="s">
        <v>238</v>
      </c>
      <c r="F8" s="89" t="s">
        <v>11</v>
      </c>
      <c r="I8" s="17" t="s">
        <v>236</v>
      </c>
      <c r="J8" s="18" t="s">
        <v>237</v>
      </c>
      <c r="K8" s="18" t="s">
        <v>238</v>
      </c>
      <c r="L8" s="89" t="s">
        <v>250</v>
      </c>
      <c r="O8" s="17" t="s">
        <v>8</v>
      </c>
      <c r="P8" s="18" t="s">
        <v>10</v>
      </c>
      <c r="Q8" s="18" t="s">
        <v>9</v>
      </c>
      <c r="R8" s="89" t="s">
        <v>250</v>
      </c>
    </row>
    <row r="9" spans="1:18">
      <c r="B9" s="7">
        <v>1</v>
      </c>
      <c r="C9" s="3">
        <v>12</v>
      </c>
      <c r="D9" s="3">
        <v>45</v>
      </c>
      <c r="E9" s="3">
        <v>4.5</v>
      </c>
      <c r="F9" s="8">
        <v>101.6178</v>
      </c>
      <c r="I9" s="7">
        <v>12</v>
      </c>
      <c r="J9" s="3">
        <v>45</v>
      </c>
      <c r="K9" s="3">
        <v>4.5</v>
      </c>
      <c r="L9" s="8">
        <f>$C$3+$E$3*I9+$G$3*J9+$I$3*K9+$K$3*I9*J9</f>
        <v>103.85774103174602</v>
      </c>
      <c r="O9" s="7">
        <f>(I9-$O$3)/$P$3</f>
        <v>-0.77777777777777779</v>
      </c>
      <c r="P9" s="3">
        <f>(J9-$O$4)/$P$4</f>
        <v>0</v>
      </c>
      <c r="Q9" s="3">
        <f>(K9-$O$5)/$P$5</f>
        <v>4.7619047619049434E-2</v>
      </c>
      <c r="R9" s="8">
        <f>$C$5+$E$5*O9+$G$5*P9+$I$5*Q9+$K$5*O9*P9</f>
        <v>103.85774103174604</v>
      </c>
    </row>
    <row r="10" spans="1:18">
      <c r="B10" s="7">
        <v>2</v>
      </c>
      <c r="C10" s="3">
        <v>13</v>
      </c>
      <c r="D10" s="3">
        <v>40</v>
      </c>
      <c r="E10" s="3">
        <v>4.2</v>
      </c>
      <c r="F10" s="8">
        <v>100.2572</v>
      </c>
      <c r="I10" s="7">
        <v>13</v>
      </c>
      <c r="J10" s="3">
        <v>40</v>
      </c>
      <c r="K10" s="3">
        <v>4.2</v>
      </c>
      <c r="L10" s="8">
        <f t="shared" ref="L10:L23" si="0">$C$3+$E$3*I10+$G$3*J10+$I$3*K10+$K$3*I10*J10</f>
        <v>93.649942619047664</v>
      </c>
      <c r="O10" s="7">
        <f t="shared" ref="O10:O23" si="1">(I10-$O$3)/$P$3</f>
        <v>-0.33333333333333331</v>
      </c>
      <c r="P10" s="3">
        <f t="shared" ref="P10:P23" si="2">(J10-$O$4)/$P$4</f>
        <v>-0.33333333333333331</v>
      </c>
      <c r="Q10" s="3">
        <f t="shared" ref="Q10:Q23" si="3">(K10-$O$5)/$P$5</f>
        <v>-0.90476190476190255</v>
      </c>
      <c r="R10" s="8">
        <f t="shared" ref="R10:R23" si="4">$C$5+$E$5*O10+$G$5*P10+$I$5*Q10+$K$5*O10*P10</f>
        <v>93.649942619047664</v>
      </c>
    </row>
    <row r="11" spans="1:18">
      <c r="B11" s="7">
        <v>3</v>
      </c>
      <c r="C11" s="3">
        <v>16</v>
      </c>
      <c r="D11" s="3">
        <v>55</v>
      </c>
      <c r="E11" s="3">
        <v>4.75</v>
      </c>
      <c r="F11" s="8">
        <v>205.18889999999999</v>
      </c>
      <c r="I11" s="7">
        <v>16</v>
      </c>
      <c r="J11" s="3">
        <v>55</v>
      </c>
      <c r="K11" s="3">
        <v>4.75</v>
      </c>
      <c r="L11" s="8">
        <f t="shared" si="0"/>
        <v>200.6101961904763</v>
      </c>
      <c r="O11" s="7">
        <f t="shared" si="1"/>
        <v>1</v>
      </c>
      <c r="P11" s="3">
        <f t="shared" si="2"/>
        <v>0.66666666666666663</v>
      </c>
      <c r="Q11" s="3">
        <f t="shared" si="3"/>
        <v>0.84126984126984317</v>
      </c>
      <c r="R11" s="8">
        <f t="shared" si="4"/>
        <v>200.61019619047624</v>
      </c>
    </row>
    <row r="12" spans="1:18">
      <c r="B12" s="7">
        <v>4</v>
      </c>
      <c r="C12" s="3">
        <v>13.75</v>
      </c>
      <c r="D12" s="3">
        <v>42</v>
      </c>
      <c r="E12" s="3">
        <v>4.75</v>
      </c>
      <c r="F12" s="8">
        <v>166.74080000000001</v>
      </c>
      <c r="I12" s="7">
        <v>13.75</v>
      </c>
      <c r="J12" s="3">
        <v>42</v>
      </c>
      <c r="K12" s="3">
        <v>4.75</v>
      </c>
      <c r="L12" s="8">
        <f t="shared" si="0"/>
        <v>155.42024702380957</v>
      </c>
      <c r="O12" s="7">
        <f t="shared" si="1"/>
        <v>0</v>
      </c>
      <c r="P12" s="3">
        <f t="shared" si="2"/>
        <v>-0.2</v>
      </c>
      <c r="Q12" s="3">
        <f t="shared" si="3"/>
        <v>0.84126984126984317</v>
      </c>
      <c r="R12" s="8">
        <f t="shared" si="4"/>
        <v>155.42024702380957</v>
      </c>
    </row>
    <row r="13" spans="1:18">
      <c r="B13" s="7">
        <v>5</v>
      </c>
      <c r="C13" s="3">
        <v>14</v>
      </c>
      <c r="D13" s="3">
        <v>49</v>
      </c>
      <c r="E13" s="3">
        <v>4.3</v>
      </c>
      <c r="F13" s="8">
        <v>130.54089999999999</v>
      </c>
      <c r="I13" s="7">
        <v>14</v>
      </c>
      <c r="J13" s="3">
        <v>49</v>
      </c>
      <c r="K13" s="3">
        <v>4.3</v>
      </c>
      <c r="L13" s="8">
        <f t="shared" si="0"/>
        <v>126.37860134920636</v>
      </c>
      <c r="O13" s="7">
        <f t="shared" si="1"/>
        <v>0.1111111111111111</v>
      </c>
      <c r="P13" s="3">
        <f t="shared" si="2"/>
        <v>0.26666666666666666</v>
      </c>
      <c r="Q13" s="3">
        <f t="shared" si="3"/>
        <v>-0.58730158730158621</v>
      </c>
      <c r="R13" s="8">
        <f t="shared" si="4"/>
        <v>126.37860134920639</v>
      </c>
    </row>
    <row r="14" spans="1:18">
      <c r="B14" s="7">
        <v>6</v>
      </c>
      <c r="C14" s="3">
        <v>12</v>
      </c>
      <c r="D14" s="3">
        <v>35</v>
      </c>
      <c r="E14" s="3">
        <v>4.25</v>
      </c>
      <c r="F14" s="8">
        <v>81.393699999999995</v>
      </c>
      <c r="I14" s="7">
        <v>12</v>
      </c>
      <c r="J14" s="3">
        <v>35</v>
      </c>
      <c r="K14" s="3">
        <v>4.25</v>
      </c>
      <c r="L14" s="8">
        <f t="shared" si="0"/>
        <v>73.777796984127008</v>
      </c>
      <c r="O14" s="7">
        <f t="shared" si="1"/>
        <v>-0.77777777777777779</v>
      </c>
      <c r="P14" s="3">
        <f t="shared" si="2"/>
        <v>-0.66666666666666663</v>
      </c>
      <c r="Q14" s="3">
        <f t="shared" si="3"/>
        <v>-0.74603174603174438</v>
      </c>
      <c r="R14" s="8">
        <f t="shared" si="4"/>
        <v>73.777796984127008</v>
      </c>
    </row>
    <row r="15" spans="1:18">
      <c r="B15" s="7">
        <v>7</v>
      </c>
      <c r="C15" s="3">
        <v>15</v>
      </c>
      <c r="D15" s="3">
        <v>58</v>
      </c>
      <c r="E15" s="3">
        <v>4.8</v>
      </c>
      <c r="F15" s="8">
        <v>197.8766</v>
      </c>
      <c r="I15" s="7">
        <v>15</v>
      </c>
      <c r="J15" s="3">
        <v>58</v>
      </c>
      <c r="K15" s="3">
        <v>4.8</v>
      </c>
      <c r="L15" s="8">
        <f t="shared" si="0"/>
        <v>189.19750388888895</v>
      </c>
      <c r="O15" s="7">
        <f t="shared" si="1"/>
        <v>0.55555555555555558</v>
      </c>
      <c r="P15" s="3">
        <f t="shared" si="2"/>
        <v>0.8666666666666667</v>
      </c>
      <c r="Q15" s="3">
        <f t="shared" si="3"/>
        <v>1.0000000000000013</v>
      </c>
      <c r="R15" s="8">
        <f t="shared" si="4"/>
        <v>189.19750388888889</v>
      </c>
    </row>
    <row r="16" spans="1:18">
      <c r="B16" s="7">
        <v>8</v>
      </c>
      <c r="C16" s="3">
        <v>14</v>
      </c>
      <c r="D16" s="3">
        <v>44</v>
      </c>
      <c r="E16" s="3">
        <v>4.4400000000000004</v>
      </c>
      <c r="F16" s="8">
        <v>143.72239999999999</v>
      </c>
      <c r="I16" s="7">
        <v>14</v>
      </c>
      <c r="J16" s="3">
        <v>44</v>
      </c>
      <c r="K16" s="3">
        <v>4.4400000000000004</v>
      </c>
      <c r="L16" s="8">
        <f t="shared" si="0"/>
        <v>135.36155134920639</v>
      </c>
      <c r="O16" s="7">
        <f t="shared" si="1"/>
        <v>0.1111111111111111</v>
      </c>
      <c r="P16" s="3">
        <f t="shared" si="2"/>
        <v>-6.6666666666666666E-2</v>
      </c>
      <c r="Q16" s="3">
        <f t="shared" si="3"/>
        <v>-0.14285714285713982</v>
      </c>
      <c r="R16" s="8">
        <f t="shared" si="4"/>
        <v>135.36155134920642</v>
      </c>
    </row>
    <row r="17" spans="2:18">
      <c r="B17" s="7">
        <v>9</v>
      </c>
      <c r="C17" s="3">
        <v>13</v>
      </c>
      <c r="D17" s="3">
        <v>33</v>
      </c>
      <c r="E17" s="3">
        <v>4.33</v>
      </c>
      <c r="F17" s="8">
        <v>99.452200000000005</v>
      </c>
      <c r="I17" s="7">
        <v>13</v>
      </c>
      <c r="J17" s="3">
        <v>33</v>
      </c>
      <c r="K17" s="3">
        <v>4.33</v>
      </c>
      <c r="L17" s="8">
        <f t="shared" si="0"/>
        <v>99.402176190476226</v>
      </c>
      <c r="O17" s="7">
        <f t="shared" si="1"/>
        <v>-0.33333333333333331</v>
      </c>
      <c r="P17" s="3">
        <f t="shared" si="2"/>
        <v>-0.8</v>
      </c>
      <c r="Q17" s="3">
        <f t="shared" si="3"/>
        <v>-0.49206349206349009</v>
      </c>
      <c r="R17" s="8">
        <f t="shared" si="4"/>
        <v>99.402176190476212</v>
      </c>
    </row>
    <row r="18" spans="2:18">
      <c r="B18" s="7">
        <v>10</v>
      </c>
      <c r="C18" s="3">
        <v>12</v>
      </c>
      <c r="D18" s="3">
        <v>56</v>
      </c>
      <c r="E18" s="3">
        <v>4.5</v>
      </c>
      <c r="F18" s="8">
        <v>114.2816</v>
      </c>
      <c r="I18" s="7">
        <v>12</v>
      </c>
      <c r="J18" s="3">
        <v>56</v>
      </c>
      <c r="K18" s="3">
        <v>4.5</v>
      </c>
      <c r="L18" s="8">
        <f t="shared" si="0"/>
        <v>113.95119436507935</v>
      </c>
      <c r="O18" s="7">
        <f t="shared" si="1"/>
        <v>-0.77777777777777779</v>
      </c>
      <c r="P18" s="3">
        <f t="shared" si="2"/>
        <v>0.73333333333333328</v>
      </c>
      <c r="Q18" s="3">
        <f t="shared" si="3"/>
        <v>4.7619047619049434E-2</v>
      </c>
      <c r="R18" s="8">
        <f t="shared" si="4"/>
        <v>113.95119436507937</v>
      </c>
    </row>
    <row r="19" spans="2:18">
      <c r="B19" s="7">
        <v>11</v>
      </c>
      <c r="C19" s="3">
        <v>11.5</v>
      </c>
      <c r="D19" s="3">
        <v>44</v>
      </c>
      <c r="E19" s="3">
        <v>4.28</v>
      </c>
      <c r="F19" s="8">
        <v>83.121799999999993</v>
      </c>
      <c r="I19" s="7">
        <v>11.5</v>
      </c>
      <c r="J19" s="3">
        <v>44</v>
      </c>
      <c r="K19" s="3">
        <v>4.28</v>
      </c>
      <c r="L19" s="8">
        <f t="shared" si="0"/>
        <v>75.184972380952402</v>
      </c>
      <c r="O19" s="7">
        <f t="shared" si="1"/>
        <v>-1</v>
      </c>
      <c r="P19" s="3">
        <f t="shared" si="2"/>
        <v>-6.6666666666666666E-2</v>
      </c>
      <c r="Q19" s="3">
        <f t="shared" si="3"/>
        <v>-0.65079365079364826</v>
      </c>
      <c r="R19" s="8">
        <f t="shared" si="4"/>
        <v>75.184972380952431</v>
      </c>
    </row>
    <row r="20" spans="2:18">
      <c r="B20" s="7">
        <v>12</v>
      </c>
      <c r="C20" s="3">
        <v>15.57</v>
      </c>
      <c r="D20" s="3">
        <v>57</v>
      </c>
      <c r="E20" s="3">
        <v>4.66</v>
      </c>
      <c r="F20" s="8">
        <v>192.7235</v>
      </c>
      <c r="I20" s="7">
        <v>15.57</v>
      </c>
      <c r="J20" s="3">
        <v>57</v>
      </c>
      <c r="K20" s="3">
        <v>4.66</v>
      </c>
      <c r="L20" s="8">
        <f t="shared" si="0"/>
        <v>186.42128232222228</v>
      </c>
      <c r="O20" s="7">
        <f t="shared" si="1"/>
        <v>0.80888888888888899</v>
      </c>
      <c r="P20" s="3">
        <f t="shared" si="2"/>
        <v>0.8</v>
      </c>
      <c r="Q20" s="3">
        <f t="shared" si="3"/>
        <v>0.55555555555555791</v>
      </c>
      <c r="R20" s="8">
        <f t="shared" si="4"/>
        <v>186.42128232222231</v>
      </c>
    </row>
    <row r="21" spans="2:18">
      <c r="B21" s="7">
        <v>13</v>
      </c>
      <c r="C21" s="3">
        <v>13.5</v>
      </c>
      <c r="D21" s="3">
        <v>39</v>
      </c>
      <c r="E21" s="3">
        <v>4.46</v>
      </c>
      <c r="F21" s="8">
        <v>123.9954</v>
      </c>
      <c r="I21" s="7">
        <v>13.5</v>
      </c>
      <c r="J21" s="3">
        <v>39</v>
      </c>
      <c r="K21" s="3">
        <v>4.46</v>
      </c>
      <c r="L21" s="8">
        <f t="shared" si="0"/>
        <v>124.48480031746035</v>
      </c>
      <c r="O21" s="7">
        <f t="shared" si="1"/>
        <v>-0.1111111111111111</v>
      </c>
      <c r="P21" s="3">
        <f t="shared" si="2"/>
        <v>-0.4</v>
      </c>
      <c r="Q21" s="3">
        <f t="shared" si="3"/>
        <v>-7.9365079365077681E-2</v>
      </c>
      <c r="R21" s="8">
        <f t="shared" si="4"/>
        <v>124.48480031746033</v>
      </c>
    </row>
    <row r="22" spans="2:18">
      <c r="B22" s="7">
        <v>14</v>
      </c>
      <c r="C22" s="3">
        <v>12</v>
      </c>
      <c r="D22" s="3">
        <v>40</v>
      </c>
      <c r="E22" s="3">
        <v>4.75</v>
      </c>
      <c r="F22" s="8">
        <v>127.27030000000001</v>
      </c>
      <c r="I22" s="7">
        <v>12</v>
      </c>
      <c r="J22" s="3">
        <v>40</v>
      </c>
      <c r="K22" s="3">
        <v>4.75</v>
      </c>
      <c r="L22" s="8">
        <f t="shared" si="0"/>
        <v>120.17388507936508</v>
      </c>
      <c r="O22" s="7">
        <f t="shared" si="1"/>
        <v>-0.77777777777777779</v>
      </c>
      <c r="P22" s="3">
        <f t="shared" si="2"/>
        <v>-0.33333333333333331</v>
      </c>
      <c r="Q22" s="3">
        <f t="shared" si="3"/>
        <v>0.84126984126984317</v>
      </c>
      <c r="R22" s="8">
        <f t="shared" si="4"/>
        <v>120.17388507936509</v>
      </c>
    </row>
    <row r="23" spans="2:18" ht="15" thickBot="1">
      <c r="B23" s="9">
        <v>15</v>
      </c>
      <c r="C23" s="10">
        <v>13</v>
      </c>
      <c r="D23" s="10">
        <v>60</v>
      </c>
      <c r="E23" s="10">
        <v>4.55</v>
      </c>
      <c r="F23" s="11">
        <v>153.011</v>
      </c>
      <c r="I23" s="9">
        <v>13</v>
      </c>
      <c r="J23" s="10">
        <v>60</v>
      </c>
      <c r="K23" s="10">
        <v>4.55</v>
      </c>
      <c r="L23" s="11">
        <f t="shared" si="0"/>
        <v>137.53818428571427</v>
      </c>
      <c r="O23" s="9">
        <f t="shared" si="1"/>
        <v>-0.33333333333333331</v>
      </c>
      <c r="P23" s="10">
        <f t="shared" si="2"/>
        <v>1</v>
      </c>
      <c r="Q23" s="10">
        <f t="shared" si="3"/>
        <v>0.20634920634920761</v>
      </c>
      <c r="R23" s="11">
        <f t="shared" si="4"/>
        <v>137.53818428571429</v>
      </c>
    </row>
    <row r="24" spans="2:18">
      <c r="F24">
        <f>AVERAGE(F9:F23)</f>
        <v>134.74627333333331</v>
      </c>
      <c r="L24" s="103">
        <f>AVERAGE(L9:L23)</f>
        <v>129.02733835851856</v>
      </c>
      <c r="R24" s="103">
        <f>AVERAGE(R9:R23)</f>
        <v>129.02733835851856</v>
      </c>
    </row>
    <row r="25" spans="2:18">
      <c r="B25" t="s">
        <v>252</v>
      </c>
      <c r="C25">
        <f>CORREL(F9:F23,L9:L23)</f>
        <v>0.99346975387750924</v>
      </c>
    </row>
    <row r="41" spans="2:19" ht="15">
      <c r="L41" s="28" t="s">
        <v>253</v>
      </c>
      <c r="R41" s="28" t="s">
        <v>191</v>
      </c>
    </row>
    <row r="42" spans="2:19">
      <c r="B42" t="s">
        <v>54</v>
      </c>
    </row>
    <row r="43" spans="2:19" ht="15.75" thickBot="1">
      <c r="M43" s="84" t="s">
        <v>255</v>
      </c>
      <c r="N43" s="83">
        <f>_xlfn.T.INV(0.975,13)</f>
        <v>2.1603686564627917</v>
      </c>
    </row>
    <row r="44" spans="2:19" ht="15">
      <c r="B44" s="66" t="s">
        <v>55</v>
      </c>
      <c r="C44" s="66"/>
      <c r="M44" s="84" t="s">
        <v>256</v>
      </c>
      <c r="N44" s="83">
        <f>_xlfn.T.INV(0.025,13)</f>
        <v>-2.1603686564627926</v>
      </c>
    </row>
    <row r="45" spans="2:19" ht="15">
      <c r="B45" t="s">
        <v>56</v>
      </c>
      <c r="C45">
        <v>0.99346975387750924</v>
      </c>
      <c r="M45" s="27"/>
      <c r="N45" s="83"/>
    </row>
    <row r="46" spans="2:19" ht="15">
      <c r="B46" t="s">
        <v>57</v>
      </c>
      <c r="C46">
        <v>0.98698215186943883</v>
      </c>
      <c r="M46" s="84" t="s">
        <v>254</v>
      </c>
      <c r="N46" s="83">
        <f>C58/D58</f>
        <v>0.50727129409472071</v>
      </c>
    </row>
    <row r="47" spans="2:19">
      <c r="B47" t="s">
        <v>58</v>
      </c>
      <c r="C47">
        <v>0.98598077893631875</v>
      </c>
      <c r="M47" s="30"/>
    </row>
    <row r="48" spans="2:19" ht="15">
      <c r="B48" t="s">
        <v>59</v>
      </c>
      <c r="C48">
        <v>4.8405694934028514</v>
      </c>
      <c r="L48" s="27" t="s">
        <v>257</v>
      </c>
      <c r="Q48" s="27" t="s">
        <v>258</v>
      </c>
      <c r="S48" s="28" t="s">
        <v>135</v>
      </c>
    </row>
    <row r="49" spans="2:20" ht="15.75" thickBot="1">
      <c r="B49" s="64" t="s">
        <v>60</v>
      </c>
      <c r="C49" s="64">
        <v>15</v>
      </c>
      <c r="S49" s="28" t="s">
        <v>134</v>
      </c>
    </row>
    <row r="51" spans="2:20" ht="15.75" thickBot="1">
      <c r="B51" t="s">
        <v>61</v>
      </c>
      <c r="M51" s="84" t="s">
        <v>115</v>
      </c>
      <c r="N51" s="83">
        <f>2*MIN(_xlfn.T.DIST(N46,13,1),1-_xlfn.T.DIST(N46,13,1))</f>
        <v>0.62046012459801192</v>
      </c>
      <c r="O51" s="27" t="s">
        <v>136</v>
      </c>
      <c r="P51" s="28" t="s">
        <v>135</v>
      </c>
    </row>
    <row r="52" spans="2:20" ht="15">
      <c r="B52" s="65"/>
      <c r="C52" s="65" t="s">
        <v>66</v>
      </c>
      <c r="D52" s="65" t="s">
        <v>67</v>
      </c>
      <c r="E52" s="65" t="s">
        <v>68</v>
      </c>
      <c r="F52" s="65" t="s">
        <v>69</v>
      </c>
      <c r="G52" s="65" t="s">
        <v>70</v>
      </c>
      <c r="P52" s="28" t="s">
        <v>134</v>
      </c>
    </row>
    <row r="53" spans="2:20">
      <c r="B53" t="s">
        <v>62</v>
      </c>
      <c r="C53">
        <v>1</v>
      </c>
      <c r="D53">
        <v>23094.38330590332</v>
      </c>
      <c r="E53">
        <v>23094.38330590332</v>
      </c>
      <c r="F53">
        <v>985.62894924091097</v>
      </c>
      <c r="G53">
        <v>1.212254330164993E-13</v>
      </c>
    </row>
    <row r="54" spans="2:20" ht="15">
      <c r="B54" t="s">
        <v>63</v>
      </c>
      <c r="C54">
        <v>13</v>
      </c>
      <c r="D54">
        <v>304.60446926601037</v>
      </c>
      <c r="E54">
        <v>23.431113020462337</v>
      </c>
      <c r="M54" s="84" t="s">
        <v>200</v>
      </c>
      <c r="N54">
        <f>D58*N43</f>
        <v>9.5100074290532568</v>
      </c>
    </row>
    <row r="55" spans="2:20" ht="15" thickBot="1">
      <c r="B55" s="64" t="s">
        <v>64</v>
      </c>
      <c r="C55" s="64">
        <v>14</v>
      </c>
      <c r="D55" s="64">
        <v>23398.987775169331</v>
      </c>
      <c r="E55" s="64"/>
      <c r="F55" s="64"/>
      <c r="G55" s="64"/>
    </row>
    <row r="56" spans="2:20" ht="15.75" thickBot="1">
      <c r="M56" s="84" t="s">
        <v>259</v>
      </c>
      <c r="N56">
        <f>C58-N54</f>
        <v>-7.2769840230921083</v>
      </c>
      <c r="O56">
        <f>C58+N54</f>
        <v>11.743030835014405</v>
      </c>
      <c r="Q56" t="s">
        <v>260</v>
      </c>
      <c r="T56" s="28" t="s">
        <v>135</v>
      </c>
    </row>
    <row r="57" spans="2:20" ht="15">
      <c r="B57" s="65"/>
      <c r="C57" s="65" t="s">
        <v>71</v>
      </c>
      <c r="D57" s="65" t="s">
        <v>59</v>
      </c>
      <c r="E57" s="65" t="s">
        <v>72</v>
      </c>
      <c r="F57" s="65" t="s">
        <v>73</v>
      </c>
      <c r="G57" s="65" t="s">
        <v>74</v>
      </c>
      <c r="H57" s="65" t="s">
        <v>75</v>
      </c>
      <c r="I57" s="65" t="s">
        <v>76</v>
      </c>
      <c r="J57" s="65" t="s">
        <v>77</v>
      </c>
      <c r="T57" s="28" t="s">
        <v>134</v>
      </c>
    </row>
    <row r="58" spans="2:20">
      <c r="B58" t="s">
        <v>65</v>
      </c>
      <c r="C58">
        <v>2.2330234059611485</v>
      </c>
      <c r="D58">
        <v>4.4020299038332436</v>
      </c>
      <c r="E58">
        <v>0.50727129409472071</v>
      </c>
      <c r="F58">
        <v>0.62046012459801192</v>
      </c>
      <c r="G58">
        <v>-7.2769840230921119</v>
      </c>
      <c r="H58">
        <v>11.743030835014409</v>
      </c>
      <c r="I58">
        <v>-7.2769840230921119</v>
      </c>
      <c r="J58">
        <v>11.743030835014409</v>
      </c>
    </row>
    <row r="59" spans="2:20" ht="15.75" thickBot="1">
      <c r="B59" s="64" t="s">
        <v>250</v>
      </c>
      <c r="C59" s="64">
        <v>1.0270168447493473</v>
      </c>
      <c r="D59" s="64">
        <v>3.2713035231963526E-2</v>
      </c>
      <c r="E59" s="64">
        <v>31.394728048526083</v>
      </c>
      <c r="F59" s="64">
        <v>1.212254330164993E-13</v>
      </c>
      <c r="G59" s="64">
        <v>0.95634462877645021</v>
      </c>
      <c r="H59" s="64">
        <v>1.0976890607222443</v>
      </c>
      <c r="I59" s="64">
        <v>0.95634462877645021</v>
      </c>
      <c r="J59" s="64">
        <v>1.0976890607222443</v>
      </c>
      <c r="M59" s="28" t="s">
        <v>261</v>
      </c>
    </row>
    <row r="61" spans="2:20" ht="15">
      <c r="B61" s="28" t="s">
        <v>262</v>
      </c>
      <c r="H61" s="28" t="s">
        <v>191</v>
      </c>
    </row>
    <row r="63" spans="2:20" ht="15">
      <c r="B63" s="84" t="s">
        <v>255</v>
      </c>
      <c r="C63" s="83">
        <f>_xlfn.T.INV(0.975,13)</f>
        <v>2.1603686564627917</v>
      </c>
    </row>
    <row r="64" spans="2:20" ht="15">
      <c r="B64" s="84" t="s">
        <v>256</v>
      </c>
      <c r="C64" s="83">
        <f>_xlfn.T.INV(0.025,13)</f>
        <v>-2.1603686564627926</v>
      </c>
    </row>
    <row r="65" spans="2:9" ht="15">
      <c r="B65" s="27"/>
      <c r="C65" s="83"/>
    </row>
    <row r="66" spans="2:9" ht="15">
      <c r="B66" s="84" t="s">
        <v>254</v>
      </c>
      <c r="C66" s="83">
        <f>(C59-1)/D59</f>
        <v>0.82587398441552884</v>
      </c>
    </row>
    <row r="67" spans="2:9">
      <c r="C67" s="83"/>
    </row>
    <row r="68" spans="2:9" ht="15">
      <c r="B68" s="27" t="s">
        <v>257</v>
      </c>
      <c r="G68" s="27" t="s">
        <v>258</v>
      </c>
      <c r="I68" s="28" t="s">
        <v>135</v>
      </c>
    </row>
    <row r="69" spans="2:9" ht="15">
      <c r="I69" s="28" t="s">
        <v>134</v>
      </c>
    </row>
    <row r="70" spans="2:9" ht="15">
      <c r="B70" s="84" t="s">
        <v>115</v>
      </c>
      <c r="C70">
        <f>2*MIN(_xlfn.T.DIST(C66,13,1),1-_xlfn.T.DIST(C66,13,1))</f>
        <v>0.42377347084751671</v>
      </c>
      <c r="D70" s="27" t="s">
        <v>136</v>
      </c>
      <c r="E70" s="28" t="s">
        <v>135</v>
      </c>
    </row>
    <row r="71" spans="2:9" ht="15">
      <c r="E71" s="28" t="s">
        <v>134</v>
      </c>
    </row>
    <row r="73" spans="2:9" ht="15">
      <c r="B73" s="84" t="s">
        <v>200</v>
      </c>
      <c r="C73">
        <f>D59*C63</f>
        <v>7.067221597289701E-2</v>
      </c>
    </row>
    <row r="75" spans="2:9" ht="15">
      <c r="B75" s="84" t="s">
        <v>263</v>
      </c>
      <c r="C75">
        <f>C59-C73</f>
        <v>0.95634462877645032</v>
      </c>
      <c r="D75">
        <f>C59+C73</f>
        <v>1.0976890607222443</v>
      </c>
      <c r="F75" t="s">
        <v>264</v>
      </c>
      <c r="I75" s="28" t="s">
        <v>135</v>
      </c>
    </row>
    <row r="76" spans="2:9" ht="15">
      <c r="I76" s="28" t="s">
        <v>134</v>
      </c>
    </row>
    <row r="78" spans="2:9" ht="15">
      <c r="B78" s="28" t="s">
        <v>265</v>
      </c>
    </row>
  </sheetData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6"/>
  <sheetViews>
    <sheetView workbookViewId="0">
      <selection activeCell="S38" sqref="S38"/>
    </sheetView>
  </sheetViews>
  <sheetFormatPr defaultRowHeight="14.25"/>
  <sheetData>
    <row r="1" spans="1:13" ht="15">
      <c r="A1" s="28" t="s">
        <v>266</v>
      </c>
    </row>
    <row r="2" spans="1:13" ht="15" thickBot="1"/>
    <row r="3" spans="1:13" ht="15">
      <c r="B3" s="62" t="s">
        <v>8</v>
      </c>
      <c r="C3" s="63" t="s">
        <v>10</v>
      </c>
      <c r="D3" s="63" t="s">
        <v>9</v>
      </c>
      <c r="E3" s="63" t="s">
        <v>39</v>
      </c>
      <c r="F3" s="26" t="s">
        <v>11</v>
      </c>
      <c r="H3" t="s">
        <v>54</v>
      </c>
    </row>
    <row r="4" spans="1:13" ht="15" thickBot="1">
      <c r="B4" s="19">
        <v>-1</v>
      </c>
      <c r="C4" s="16">
        <v>-1</v>
      </c>
      <c r="D4" s="16">
        <v>-0.99999999999999856</v>
      </c>
      <c r="E4" s="16">
        <f>B4*C4</f>
        <v>1</v>
      </c>
      <c r="F4" s="8">
        <v>57.587899999999998</v>
      </c>
    </row>
    <row r="5" spans="1:13">
      <c r="B5" s="19">
        <v>-1</v>
      </c>
      <c r="C5" s="16">
        <v>-1</v>
      </c>
      <c r="D5" s="16">
        <v>-0.99999999999999856</v>
      </c>
      <c r="E5" s="16">
        <f t="shared" ref="E5:E19" si="0">B5*C5</f>
        <v>1</v>
      </c>
      <c r="F5" s="8">
        <v>49.809399999999997</v>
      </c>
      <c r="H5" s="66" t="s">
        <v>55</v>
      </c>
      <c r="I5" s="66"/>
    </row>
    <row r="6" spans="1:13">
      <c r="B6" s="19">
        <v>1</v>
      </c>
      <c r="C6" s="16">
        <v>-1</v>
      </c>
      <c r="D6" s="16">
        <v>-0.99999999999999856</v>
      </c>
      <c r="E6" s="16">
        <f t="shared" si="0"/>
        <v>-1</v>
      </c>
      <c r="F6" s="8">
        <v>134.75299999999999</v>
      </c>
      <c r="H6" t="s">
        <v>56</v>
      </c>
      <c r="I6">
        <v>0.98636985738455074</v>
      </c>
    </row>
    <row r="7" spans="1:13">
      <c r="B7" s="19">
        <v>1</v>
      </c>
      <c r="C7" s="16">
        <v>-1</v>
      </c>
      <c r="D7" s="16">
        <v>-0.99999999999999856</v>
      </c>
      <c r="E7" s="16">
        <f t="shared" si="0"/>
        <v>-1</v>
      </c>
      <c r="F7" s="8">
        <v>155.63220000000001</v>
      </c>
      <c r="H7" t="s">
        <v>57</v>
      </c>
      <c r="I7">
        <v>0.97292549555681895</v>
      </c>
    </row>
    <row r="8" spans="1:13">
      <c r="B8" s="19">
        <v>-1</v>
      </c>
      <c r="C8" s="16">
        <v>1</v>
      </c>
      <c r="D8" s="16">
        <v>-0.99999999999999856</v>
      </c>
      <c r="E8" s="16">
        <f t="shared" si="0"/>
        <v>-1</v>
      </c>
      <c r="F8" s="8">
        <v>80.768600000000006</v>
      </c>
      <c r="H8" t="s">
        <v>58</v>
      </c>
      <c r="I8">
        <v>0.96570562770530399</v>
      </c>
    </row>
    <row r="9" spans="1:13">
      <c r="B9" s="19">
        <v>-1</v>
      </c>
      <c r="C9" s="16">
        <v>1</v>
      </c>
      <c r="D9" s="16">
        <v>-0.99999999999999856</v>
      </c>
      <c r="E9" s="16">
        <f t="shared" si="0"/>
        <v>-1</v>
      </c>
      <c r="F9" s="8">
        <v>82.413600000000002</v>
      </c>
      <c r="H9" t="s">
        <v>59</v>
      </c>
      <c r="I9">
        <v>8.7014642077334852</v>
      </c>
    </row>
    <row r="10" spans="1:13" ht="15" thickBot="1">
      <c r="B10" s="19">
        <v>1</v>
      </c>
      <c r="C10" s="16">
        <v>1</v>
      </c>
      <c r="D10" s="16">
        <v>-0.99999999999999856</v>
      </c>
      <c r="E10" s="16">
        <f t="shared" si="0"/>
        <v>1</v>
      </c>
      <c r="F10" s="8">
        <v>155.62880000000001</v>
      </c>
      <c r="H10" s="64" t="s">
        <v>60</v>
      </c>
      <c r="I10" s="64">
        <v>20</v>
      </c>
    </row>
    <row r="11" spans="1:13">
      <c r="B11" s="19">
        <v>1</v>
      </c>
      <c r="C11" s="16">
        <v>1</v>
      </c>
      <c r="D11" s="16">
        <v>-0.99999999999999856</v>
      </c>
      <c r="E11" s="16">
        <f t="shared" si="0"/>
        <v>1</v>
      </c>
      <c r="F11" s="8">
        <v>144.9699</v>
      </c>
    </row>
    <row r="12" spans="1:13" ht="15" thickBot="1">
      <c r="B12" s="19">
        <v>-1</v>
      </c>
      <c r="C12" s="16">
        <v>-1</v>
      </c>
      <c r="D12" s="16">
        <v>1.0000000000000013</v>
      </c>
      <c r="E12" s="16">
        <f t="shared" si="0"/>
        <v>1</v>
      </c>
      <c r="F12" s="8">
        <v>98.2774</v>
      </c>
      <c r="H12" t="s">
        <v>61</v>
      </c>
    </row>
    <row r="13" spans="1:13">
      <c r="B13" s="19">
        <v>-1</v>
      </c>
      <c r="C13" s="16">
        <v>-1</v>
      </c>
      <c r="D13" s="16">
        <v>1.0000000000000013</v>
      </c>
      <c r="E13" s="16">
        <f t="shared" si="0"/>
        <v>1</v>
      </c>
      <c r="F13" s="8">
        <v>103.02</v>
      </c>
      <c r="H13" s="65"/>
      <c r="I13" s="65" t="s">
        <v>66</v>
      </c>
      <c r="J13" s="65" t="s">
        <v>67</v>
      </c>
      <c r="K13" s="65" t="s">
        <v>68</v>
      </c>
      <c r="L13" s="65" t="s">
        <v>69</v>
      </c>
      <c r="M13" s="65" t="s">
        <v>70</v>
      </c>
    </row>
    <row r="14" spans="1:13">
      <c r="B14" s="19">
        <v>1</v>
      </c>
      <c r="C14" s="16">
        <v>-1</v>
      </c>
      <c r="D14" s="16">
        <v>1.0000000000000013</v>
      </c>
      <c r="E14" s="16">
        <f t="shared" si="0"/>
        <v>-1</v>
      </c>
      <c r="F14" s="8">
        <v>211.4195</v>
      </c>
      <c r="H14" t="s">
        <v>62</v>
      </c>
      <c r="I14">
        <v>4</v>
      </c>
      <c r="J14">
        <v>40812.669589624995</v>
      </c>
      <c r="K14">
        <v>10203.167397406249</v>
      </c>
      <c r="L14">
        <v>134.75669022843309</v>
      </c>
      <c r="M14">
        <v>1.4558676142708351E-11</v>
      </c>
    </row>
    <row r="15" spans="1:13">
      <c r="B15" s="19">
        <v>1</v>
      </c>
      <c r="C15" s="16">
        <v>-1</v>
      </c>
      <c r="D15" s="16">
        <v>1.0000000000000013</v>
      </c>
      <c r="E15" s="16">
        <f t="shared" si="0"/>
        <v>-1</v>
      </c>
      <c r="F15" s="8">
        <v>190.82329999999999</v>
      </c>
      <c r="H15" t="s">
        <v>63</v>
      </c>
      <c r="I15">
        <v>15</v>
      </c>
      <c r="J15">
        <v>1135.7321903770041</v>
      </c>
      <c r="K15">
        <v>75.715479358466936</v>
      </c>
    </row>
    <row r="16" spans="1:13" ht="15" thickBot="1">
      <c r="B16" s="19">
        <v>-1</v>
      </c>
      <c r="C16" s="16">
        <v>1</v>
      </c>
      <c r="D16" s="16">
        <v>1.0000000000000013</v>
      </c>
      <c r="E16" s="16">
        <f t="shared" si="0"/>
        <v>-1</v>
      </c>
      <c r="F16" s="8">
        <v>137.57159999999999</v>
      </c>
      <c r="H16" s="64" t="s">
        <v>64</v>
      </c>
      <c r="I16" s="64">
        <v>19</v>
      </c>
      <c r="J16" s="64">
        <v>41948.401780002001</v>
      </c>
      <c r="K16" s="64"/>
      <c r="L16" s="64"/>
      <c r="M16" s="64"/>
    </row>
    <row r="17" spans="2:16" ht="15" thickBot="1">
      <c r="B17" s="19">
        <v>-1</v>
      </c>
      <c r="C17" s="16">
        <v>1</v>
      </c>
      <c r="D17" s="16">
        <v>1.0000000000000013</v>
      </c>
      <c r="E17" s="16">
        <f t="shared" si="0"/>
        <v>-1</v>
      </c>
      <c r="F17" s="8">
        <v>129.2389</v>
      </c>
    </row>
    <row r="18" spans="2:16">
      <c r="B18" s="19">
        <v>1</v>
      </c>
      <c r="C18" s="16">
        <v>1</v>
      </c>
      <c r="D18" s="16">
        <v>1.0000000000000013</v>
      </c>
      <c r="E18" s="16">
        <f t="shared" si="0"/>
        <v>1</v>
      </c>
      <c r="F18" s="8">
        <v>206.4453</v>
      </c>
      <c r="H18" s="65"/>
      <c r="I18" s="65" t="s">
        <v>71</v>
      </c>
      <c r="J18" s="65" t="s">
        <v>59</v>
      </c>
      <c r="K18" s="65" t="s">
        <v>72</v>
      </c>
      <c r="L18" s="65" t="s">
        <v>73</v>
      </c>
      <c r="M18" s="65" t="s">
        <v>74</v>
      </c>
      <c r="N18" s="65" t="s">
        <v>75</v>
      </c>
      <c r="O18" s="65" t="s">
        <v>76</v>
      </c>
      <c r="P18" s="65" t="s">
        <v>77</v>
      </c>
    </row>
    <row r="19" spans="2:16" ht="15" thickBot="1">
      <c r="B19" s="41">
        <v>1</v>
      </c>
      <c r="C19" s="39">
        <v>1</v>
      </c>
      <c r="D19" s="39">
        <v>1.0000000000000013</v>
      </c>
      <c r="E19" s="39">
        <f t="shared" si="0"/>
        <v>1</v>
      </c>
      <c r="F19" s="90">
        <v>206.1936</v>
      </c>
      <c r="H19" t="s">
        <v>65</v>
      </c>
      <c r="I19">
        <v>135.03576999999999</v>
      </c>
      <c r="J19">
        <v>1.9457065472273425</v>
      </c>
      <c r="K19">
        <v>69.401919931054223</v>
      </c>
      <c r="L19">
        <v>3.1422553914942216E-20</v>
      </c>
      <c r="M19">
        <v>130.88859466411958</v>
      </c>
      <c r="N19">
        <v>139.18294533588039</v>
      </c>
      <c r="O19">
        <v>130.88859466411958</v>
      </c>
      <c r="P19">
        <v>139.18294533588039</v>
      </c>
    </row>
    <row r="20" spans="2:16">
      <c r="B20" s="17">
        <v>0</v>
      </c>
      <c r="C20" s="18">
        <v>0</v>
      </c>
      <c r="D20" s="18">
        <v>0</v>
      </c>
      <c r="E20" s="18">
        <v>0</v>
      </c>
      <c r="F20" s="91">
        <v>155.78700000000001</v>
      </c>
      <c r="H20" t="s">
        <v>8</v>
      </c>
      <c r="I20">
        <v>41.698637500000025</v>
      </c>
      <c r="J20">
        <v>2.1753660519333722</v>
      </c>
      <c r="K20">
        <v>19.168561292450097</v>
      </c>
      <c r="L20">
        <v>5.8321077085524419E-12</v>
      </c>
      <c r="M20">
        <v>37.061954517180482</v>
      </c>
      <c r="N20">
        <v>46.335320482819569</v>
      </c>
      <c r="O20">
        <v>37.061954517180482</v>
      </c>
      <c r="P20">
        <v>46.335320482819569</v>
      </c>
    </row>
    <row r="21" spans="2:16">
      <c r="B21" s="19">
        <v>0</v>
      </c>
      <c r="C21" s="16">
        <v>0</v>
      </c>
      <c r="D21" s="16">
        <v>0</v>
      </c>
      <c r="E21" s="16">
        <v>0</v>
      </c>
      <c r="F21" s="8">
        <v>138.35820000000001</v>
      </c>
      <c r="H21" t="s">
        <v>10</v>
      </c>
      <c r="I21">
        <v>8.8692249999999984</v>
      </c>
      <c r="J21">
        <v>2.1753660519333708</v>
      </c>
      <c r="K21">
        <v>4.0771184197332753</v>
      </c>
      <c r="L21">
        <v>9.9120599386784587E-4</v>
      </c>
      <c r="M21">
        <v>4.2325420171804549</v>
      </c>
      <c r="N21">
        <v>13.505907982819542</v>
      </c>
      <c r="O21">
        <v>4.2325420171804549</v>
      </c>
      <c r="P21">
        <v>13.505907982819542</v>
      </c>
    </row>
    <row r="22" spans="2:16">
      <c r="B22" s="19">
        <v>0</v>
      </c>
      <c r="C22" s="16">
        <v>0</v>
      </c>
      <c r="D22" s="16">
        <v>0</v>
      </c>
      <c r="E22" s="16">
        <v>0</v>
      </c>
      <c r="F22" s="8">
        <v>127.41459999999999</v>
      </c>
      <c r="H22" t="s">
        <v>9</v>
      </c>
      <c r="I22">
        <v>26.339137499999993</v>
      </c>
      <c r="J22">
        <v>2.1753660519333713</v>
      </c>
      <c r="K22">
        <v>12.107910517676281</v>
      </c>
      <c r="L22">
        <v>3.8245363284674561E-9</v>
      </c>
      <c r="M22">
        <v>21.702454517180449</v>
      </c>
      <c r="N22">
        <v>30.975820482819536</v>
      </c>
      <c r="O22">
        <v>21.702454517180449</v>
      </c>
      <c r="P22">
        <v>30.975820482819536</v>
      </c>
    </row>
    <row r="23" spans="2:16" ht="15" thickBot="1">
      <c r="B23" s="21">
        <v>0</v>
      </c>
      <c r="C23" s="22">
        <v>0</v>
      </c>
      <c r="D23" s="22">
        <v>0</v>
      </c>
      <c r="E23" s="22">
        <v>0</v>
      </c>
      <c r="F23" s="11">
        <v>134.6026</v>
      </c>
      <c r="H23" s="64" t="s">
        <v>39</v>
      </c>
      <c r="I23" s="64">
        <v>-6.2930249999999965</v>
      </c>
      <c r="J23" s="64">
        <v>2.1753660519333713</v>
      </c>
      <c r="K23" s="64">
        <v>-2.8928579603451237</v>
      </c>
      <c r="L23" s="64">
        <v>1.1155050567123485E-2</v>
      </c>
      <c r="M23" s="64">
        <v>-10.92970798281954</v>
      </c>
      <c r="N23" s="64">
        <v>-1.6563420171804522</v>
      </c>
      <c r="O23" s="64">
        <v>-10.92970798281954</v>
      </c>
      <c r="P23" s="64">
        <v>-1.6563420171804522</v>
      </c>
    </row>
    <row r="26" spans="2:16">
      <c r="B26" t="str">
        <f>H19</f>
        <v>Intercept</v>
      </c>
      <c r="C26">
        <f>I19</f>
        <v>135.03576999999999</v>
      </c>
      <c r="D26">
        <v>1</v>
      </c>
      <c r="G26" t="s">
        <v>268</v>
      </c>
    </row>
    <row r="27" spans="2:16">
      <c r="B27" t="str">
        <f t="shared" ref="B27:B30" si="1">H20</f>
        <v>t1</v>
      </c>
      <c r="C27">
        <f t="shared" ref="C27:C30" si="2">I20</f>
        <v>41.698637500000025</v>
      </c>
      <c r="D27">
        <v>0.2498726221800279</v>
      </c>
      <c r="G27" t="s">
        <v>8</v>
      </c>
      <c r="H27">
        <f>D27</f>
        <v>0.2498726221800279</v>
      </c>
    </row>
    <row r="28" spans="2:16">
      <c r="B28" t="str">
        <f t="shared" si="1"/>
        <v>t2</v>
      </c>
      <c r="C28">
        <f t="shared" si="2"/>
        <v>8.8692249999999984</v>
      </c>
      <c r="D28">
        <v>5.3147459663385528E-2</v>
      </c>
      <c r="G28" t="s">
        <v>10</v>
      </c>
      <c r="H28">
        <f t="shared" ref="H28:H29" si="3">D28</f>
        <v>5.3147459663385528E-2</v>
      </c>
    </row>
    <row r="29" spans="2:16">
      <c r="B29" t="str">
        <f t="shared" si="1"/>
        <v>t3</v>
      </c>
      <c r="C29">
        <f t="shared" si="2"/>
        <v>26.339137499999993</v>
      </c>
      <c r="D29">
        <v>0.1578332018373709</v>
      </c>
      <c r="G29" t="s">
        <v>9</v>
      </c>
      <c r="H29">
        <f t="shared" si="3"/>
        <v>0.1578332018373709</v>
      </c>
    </row>
    <row r="30" spans="2:16">
      <c r="B30" t="str">
        <f t="shared" si="1"/>
        <v>t1*t2</v>
      </c>
      <c r="C30">
        <f t="shared" si="2"/>
        <v>-6.2930249999999965</v>
      </c>
      <c r="D30">
        <f>D27*D28</f>
        <v>1.3280095108297404E-2</v>
      </c>
    </row>
    <row r="31" spans="2:16">
      <c r="C31" s="30" t="s">
        <v>287</v>
      </c>
      <c r="D31">
        <f>SUMPRODUCT(C26:C30,D26:D30)</f>
        <v>150.00011310613328</v>
      </c>
      <c r="G31" t="s">
        <v>269</v>
      </c>
    </row>
    <row r="32" spans="2:16" ht="15">
      <c r="G32" t="s">
        <v>236</v>
      </c>
      <c r="H32" s="28">
        <f>H27*C34+B34</f>
        <v>14.312213399905064</v>
      </c>
    </row>
    <row r="33" spans="2:10" ht="15">
      <c r="B33" s="61" t="s">
        <v>13</v>
      </c>
      <c r="C33" s="61" t="s">
        <v>14</v>
      </c>
      <c r="G33" t="s">
        <v>237</v>
      </c>
      <c r="H33" s="28">
        <f t="shared" ref="H33:H34" si="4">H28*C35+B35</f>
        <v>45.797211894950784</v>
      </c>
      <c r="J33" s="28" t="s">
        <v>288</v>
      </c>
    </row>
    <row r="34" spans="2:10" ht="15">
      <c r="B34" s="12">
        <f>(11.5+16)/2</f>
        <v>13.75</v>
      </c>
      <c r="C34" s="12">
        <f>(16-11.5)/2</f>
        <v>2.25</v>
      </c>
      <c r="G34" t="s">
        <v>238</v>
      </c>
      <c r="H34" s="28">
        <f t="shared" si="4"/>
        <v>4.5347174585787711</v>
      </c>
    </row>
    <row r="35" spans="2:10">
      <c r="B35" s="12">
        <f>(30+60)/2</f>
        <v>45</v>
      </c>
      <c r="C35" s="12">
        <f>(60-30)/2</f>
        <v>15</v>
      </c>
    </row>
    <row r="36" spans="2:10">
      <c r="B36" s="12">
        <f>(4.17+4.8)/2</f>
        <v>4.4849999999999994</v>
      </c>
      <c r="C36" s="12">
        <f>(4.8-4.17)/2</f>
        <v>0.31499999999999995</v>
      </c>
    </row>
  </sheetData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72"/>
  <sheetViews>
    <sheetView topLeftCell="A116" zoomScaleNormal="100" workbookViewId="0">
      <selection activeCell="Q174" sqref="Q174"/>
    </sheetView>
  </sheetViews>
  <sheetFormatPr defaultRowHeight="14.25"/>
  <sheetData>
    <row r="1" spans="1:2" ht="15">
      <c r="A1" s="28" t="s">
        <v>267</v>
      </c>
    </row>
    <row r="3" spans="1:2" ht="15">
      <c r="B3" s="28" t="s">
        <v>270</v>
      </c>
    </row>
    <row r="21" spans="1:7">
      <c r="A21" t="s">
        <v>54</v>
      </c>
    </row>
    <row r="22" spans="1:7" ht="15" thickBot="1"/>
    <row r="23" spans="1:7">
      <c r="A23" s="66" t="s">
        <v>55</v>
      </c>
      <c r="B23" s="66"/>
    </row>
    <row r="24" spans="1:7">
      <c r="A24" t="s">
        <v>56</v>
      </c>
      <c r="B24">
        <v>0.98636985738455074</v>
      </c>
    </row>
    <row r="25" spans="1:7">
      <c r="A25" t="s">
        <v>57</v>
      </c>
      <c r="B25">
        <v>0.97292549555681895</v>
      </c>
    </row>
    <row r="26" spans="1:7">
      <c r="A26" t="s">
        <v>58</v>
      </c>
      <c r="B26">
        <v>0.96570562770530399</v>
      </c>
    </row>
    <row r="27" spans="1:7">
      <c r="A27" t="s">
        <v>59</v>
      </c>
      <c r="B27">
        <v>8.7014642077334852</v>
      </c>
    </row>
    <row r="28" spans="1:7" ht="15" thickBot="1">
      <c r="A28" s="64" t="s">
        <v>60</v>
      </c>
      <c r="B28" s="64">
        <v>20</v>
      </c>
    </row>
    <row r="30" spans="1:7" ht="15" thickBot="1">
      <c r="A30" t="s">
        <v>61</v>
      </c>
    </row>
    <row r="31" spans="1:7">
      <c r="A31" s="65"/>
      <c r="B31" s="65" t="s">
        <v>66</v>
      </c>
      <c r="C31" s="65" t="s">
        <v>67</v>
      </c>
      <c r="D31" s="65" t="s">
        <v>68</v>
      </c>
      <c r="E31" s="65" t="s">
        <v>69</v>
      </c>
      <c r="F31" s="65" t="s">
        <v>128</v>
      </c>
      <c r="G31" s="65" t="s">
        <v>70</v>
      </c>
    </row>
    <row r="32" spans="1:7">
      <c r="A32" t="s">
        <v>62</v>
      </c>
      <c r="B32">
        <v>4</v>
      </c>
      <c r="C32">
        <v>40812.669589624995</v>
      </c>
      <c r="D32">
        <v>10203.167397406249</v>
      </c>
      <c r="E32">
        <v>134.75669022843309</v>
      </c>
      <c r="F32">
        <v>4.0584468488562733</v>
      </c>
      <c r="G32">
        <v>1.4558676142708351E-11</v>
      </c>
    </row>
    <row r="33" spans="1:9">
      <c r="A33" t="s">
        <v>63</v>
      </c>
      <c r="B33">
        <v>15</v>
      </c>
      <c r="C33">
        <v>1135.7321903770041</v>
      </c>
      <c r="D33">
        <v>75.715479358466936</v>
      </c>
    </row>
    <row r="34" spans="1:9">
      <c r="A34" s="104" t="s">
        <v>126</v>
      </c>
      <c r="B34" s="104">
        <v>1</v>
      </c>
      <c r="C34" s="104">
        <v>80.193316644500612</v>
      </c>
      <c r="D34" s="104">
        <v>80.193316644500612</v>
      </c>
      <c r="E34" s="104">
        <v>1.0591403148203531</v>
      </c>
      <c r="F34" s="104"/>
      <c r="G34" s="104"/>
    </row>
    <row r="35" spans="1:9">
      <c r="A35" s="104" t="s">
        <v>127</v>
      </c>
      <c r="B35" s="104">
        <v>4</v>
      </c>
      <c r="C35" s="104">
        <v>135.48629741700299</v>
      </c>
      <c r="D35" s="104">
        <v>33.871574354250754</v>
      </c>
      <c r="E35" s="104">
        <v>0.37249572382064028</v>
      </c>
      <c r="F35" s="104">
        <v>4.5943411304028423</v>
      </c>
      <c r="G35" s="104">
        <v>0.82349501734576624</v>
      </c>
    </row>
    <row r="36" spans="1:9">
      <c r="A36" s="104" t="s">
        <v>123</v>
      </c>
      <c r="B36" s="104">
        <v>11</v>
      </c>
      <c r="C36" s="104">
        <v>1000.2458929600011</v>
      </c>
      <c r="D36" s="104">
        <v>90.931444814545557</v>
      </c>
      <c r="E36" s="104"/>
      <c r="F36" s="104"/>
      <c r="G36" s="104"/>
    </row>
    <row r="37" spans="1:9" ht="15" thickBot="1">
      <c r="A37" s="105" t="s">
        <v>64</v>
      </c>
      <c r="B37" s="105">
        <v>19</v>
      </c>
      <c r="C37" s="105">
        <v>41948.401780002001</v>
      </c>
      <c r="D37" s="105"/>
      <c r="E37" s="105"/>
      <c r="F37" s="105"/>
      <c r="G37" s="105"/>
    </row>
    <row r="38" spans="1:9" ht="15" thickBot="1"/>
    <row r="39" spans="1:9">
      <c r="A39" s="65"/>
      <c r="B39" s="65" t="s">
        <v>71</v>
      </c>
      <c r="C39" s="65" t="s">
        <v>59</v>
      </c>
      <c r="D39" s="65" t="s">
        <v>72</v>
      </c>
      <c r="E39" s="65" t="s">
        <v>73</v>
      </c>
      <c r="F39" s="65" t="s">
        <v>74</v>
      </c>
      <c r="G39" s="65" t="s">
        <v>75</v>
      </c>
      <c r="H39" s="65" t="s">
        <v>117</v>
      </c>
      <c r="I39" s="65" t="s">
        <v>118</v>
      </c>
    </row>
    <row r="40" spans="1:9">
      <c r="A40" t="s">
        <v>65</v>
      </c>
      <c r="B40">
        <v>135.03576999999999</v>
      </c>
      <c r="C40">
        <v>1.9457065472273425</v>
      </c>
      <c r="D40">
        <v>69.401919931054223</v>
      </c>
      <c r="E40">
        <v>3.1422553914942216E-20</v>
      </c>
      <c r="F40">
        <v>130.88859466411958</v>
      </c>
      <c r="G40">
        <v>139.18294533588039</v>
      </c>
      <c r="H40">
        <v>129.97210705096671</v>
      </c>
      <c r="I40">
        <v>140.09943294903326</v>
      </c>
    </row>
    <row r="41" spans="1:9">
      <c r="A41" t="s">
        <v>8</v>
      </c>
      <c r="B41">
        <v>41.698637500000025</v>
      </c>
      <c r="C41">
        <v>2.1753660519333722</v>
      </c>
      <c r="D41">
        <v>19.168561292450097</v>
      </c>
      <c r="E41">
        <v>5.8321077085524419E-12</v>
      </c>
      <c r="F41">
        <v>37.061954517180482</v>
      </c>
      <c r="G41">
        <v>46.335320482819569</v>
      </c>
      <c r="H41">
        <v>36.037290215407282</v>
      </c>
      <c r="I41">
        <v>47.359984784592768</v>
      </c>
    </row>
    <row r="42" spans="1:9">
      <c r="A42" t="s">
        <v>10</v>
      </c>
      <c r="B42">
        <v>8.8692249999999984</v>
      </c>
      <c r="C42">
        <v>2.1753660519333708</v>
      </c>
      <c r="D42">
        <v>4.0771184197332753</v>
      </c>
      <c r="E42">
        <v>9.9120599386784587E-4</v>
      </c>
      <c r="F42">
        <v>4.2325420171804549</v>
      </c>
      <c r="G42">
        <v>13.505907982819542</v>
      </c>
      <c r="H42">
        <v>3.2078777154072595</v>
      </c>
      <c r="I42">
        <v>14.530572284592736</v>
      </c>
    </row>
    <row r="43" spans="1:9">
      <c r="A43" t="s">
        <v>9</v>
      </c>
      <c r="B43">
        <v>26.339137499999993</v>
      </c>
      <c r="C43">
        <v>2.1753660519333713</v>
      </c>
      <c r="D43">
        <v>12.107910517676281</v>
      </c>
      <c r="E43">
        <v>3.8245363284674561E-9</v>
      </c>
      <c r="F43">
        <v>21.702454517180449</v>
      </c>
      <c r="G43">
        <v>30.975820482819536</v>
      </c>
      <c r="H43">
        <v>20.677790215407253</v>
      </c>
      <c r="I43">
        <v>32.000484784592729</v>
      </c>
    </row>
    <row r="44" spans="1:9" ht="15" thickBot="1">
      <c r="A44" s="64" t="s">
        <v>39</v>
      </c>
      <c r="B44" s="64">
        <v>-6.2930249999999965</v>
      </c>
      <c r="C44" s="64">
        <v>2.1753660519333713</v>
      </c>
      <c r="D44" s="64">
        <v>-2.8928579603451237</v>
      </c>
      <c r="E44" s="64">
        <v>1.1155050567123485E-2</v>
      </c>
      <c r="F44" s="64">
        <v>-10.92970798281954</v>
      </c>
      <c r="G44" s="64">
        <v>-1.6563420171804522</v>
      </c>
      <c r="H44" s="64">
        <v>-11.954372284592736</v>
      </c>
      <c r="I44" s="64">
        <v>-0.63167771540725681</v>
      </c>
    </row>
    <row r="51" spans="2:2" ht="15">
      <c r="B51" s="28" t="s">
        <v>271</v>
      </c>
    </row>
    <row r="99" spans="2:2" ht="15">
      <c r="B99" s="28" t="s">
        <v>272</v>
      </c>
    </row>
    <row r="147" spans="2:4" ht="15">
      <c r="B147" s="28" t="s">
        <v>273</v>
      </c>
    </row>
    <row r="148" spans="2:4" ht="15" thickBot="1"/>
    <row r="149" spans="2:4">
      <c r="B149" s="106">
        <v>135.03576999999999</v>
      </c>
      <c r="C149" s="101">
        <v>1</v>
      </c>
      <c r="D149" s="102" t="s">
        <v>65</v>
      </c>
    </row>
    <row r="150" spans="2:4">
      <c r="B150" s="107">
        <v>41.698637500000025</v>
      </c>
      <c r="C150" s="12">
        <v>-0.77777777777777779</v>
      </c>
      <c r="D150" s="100" t="s">
        <v>8</v>
      </c>
    </row>
    <row r="151" spans="2:4">
      <c r="B151" s="107">
        <v>8.8692249999999984</v>
      </c>
      <c r="C151" s="12">
        <v>-0.66666666666666663</v>
      </c>
      <c r="D151" s="100" t="s">
        <v>10</v>
      </c>
    </row>
    <row r="152" spans="2:4">
      <c r="B152" s="107">
        <v>26.339137499999993</v>
      </c>
      <c r="C152" s="12">
        <v>-0.90476190476190255</v>
      </c>
      <c r="D152" s="100" t="s">
        <v>9</v>
      </c>
    </row>
    <row r="153" spans="2:4">
      <c r="B153" s="107">
        <v>-6.2930249999999965</v>
      </c>
      <c r="C153" s="12">
        <v>0.51851851851851849</v>
      </c>
      <c r="D153" s="100" t="s">
        <v>39</v>
      </c>
    </row>
    <row r="154" spans="2:4" ht="15" thickBot="1">
      <c r="B154" s="152">
        <v>69.596981507936547</v>
      </c>
      <c r="C154" s="125"/>
      <c r="D154" s="127"/>
    </row>
    <row r="162" spans="2:5" ht="15">
      <c r="B162" s="28" t="s">
        <v>274</v>
      </c>
    </row>
    <row r="163" spans="2:5" ht="15" thickBot="1"/>
    <row r="164" spans="2:5">
      <c r="B164" s="149" t="s">
        <v>269</v>
      </c>
      <c r="C164" s="150"/>
      <c r="D164" s="150"/>
      <c r="E164" s="151"/>
    </row>
    <row r="165" spans="2:5">
      <c r="B165" s="158" t="s">
        <v>236</v>
      </c>
      <c r="C165" s="155"/>
      <c r="D165" s="155">
        <v>14.312213399905064</v>
      </c>
      <c r="E165" s="156"/>
    </row>
    <row r="166" spans="2:5">
      <c r="B166" s="158" t="s">
        <v>237</v>
      </c>
      <c r="C166" s="155"/>
      <c r="D166" s="155">
        <v>45.797211894950784</v>
      </c>
      <c r="E166" s="156"/>
    </row>
    <row r="167" spans="2:5" ht="15" thickBot="1">
      <c r="B167" s="157" t="s">
        <v>238</v>
      </c>
      <c r="C167" s="153"/>
      <c r="D167" s="153">
        <v>4.5347174585787711</v>
      </c>
      <c r="E167" s="154"/>
    </row>
    <row r="172" spans="2:5" ht="15">
      <c r="B172" s="28" t="s">
        <v>275</v>
      </c>
    </row>
  </sheetData>
  <mergeCells count="8">
    <mergeCell ref="B164:E164"/>
    <mergeCell ref="B154:D154"/>
    <mergeCell ref="D167:E167"/>
    <mergeCell ref="D166:E166"/>
    <mergeCell ref="D165:E165"/>
    <mergeCell ref="B167:C167"/>
    <mergeCell ref="B166:C166"/>
    <mergeCell ref="B165:C165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Hárky</vt:lpstr>
      </vt:variant>
      <vt:variant>
        <vt:i4>20</vt:i4>
      </vt:variant>
    </vt:vector>
  </HeadingPairs>
  <TitlesOfParts>
    <vt:vector size="20" baseType="lpstr">
      <vt:lpstr>Úvod</vt:lpstr>
      <vt:lpstr>2. Úloha</vt:lpstr>
      <vt:lpstr>3. Úloha</vt:lpstr>
      <vt:lpstr>4. 5. Úloha</vt:lpstr>
      <vt:lpstr>6. Úloha</vt:lpstr>
      <vt:lpstr>7. Úloha</vt:lpstr>
      <vt:lpstr>8. Úloha</vt:lpstr>
      <vt:lpstr>9. Úloha</vt:lpstr>
      <vt:lpstr>10. Úloha</vt:lpstr>
      <vt:lpstr>11. Úloha</vt:lpstr>
      <vt:lpstr>12. Úloha</vt:lpstr>
      <vt:lpstr>13. Úloha</vt:lpstr>
      <vt:lpstr>14. Úloha</vt:lpstr>
      <vt:lpstr>15. Úloha</vt:lpstr>
      <vt:lpstr>16. Úloha</vt:lpstr>
      <vt:lpstr>17. Úloha</vt:lpstr>
      <vt:lpstr>18. Úloha</vt:lpstr>
      <vt:lpstr>19. Úloha</vt:lpstr>
      <vt:lpstr>20. Úloha</vt:lpstr>
      <vt:lpstr>21. Úloha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Michal Kotrus;Erik Žák</dc:creator>
  <cp:lastModifiedBy>Janette Kotianová</cp:lastModifiedBy>
  <dcterms:created xsi:type="dcterms:W3CDTF">2025-12-16T07:10:50Z</dcterms:created>
  <dcterms:modified xsi:type="dcterms:W3CDTF">2026-01-30T07:20:41Z</dcterms:modified>
</cp:coreProperties>
</file>