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harts/chart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10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charts/chart3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ml.chartshapes+xml"/>
  <Override PartName="/xl/charts/chart4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4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ml.chartshapes+xml"/>
  <Override PartName="/xl/charts/chart4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omments6.xml" ContentType="application/vnd.openxmlformats-officedocument.spreadsheetml.comments+xml"/>
  <Override PartName="/xl/drawings/drawing11.xml" ContentType="application/vnd.openxmlformats-officedocument.drawing+xml"/>
  <Override PartName="/xl/charts/chart4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4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4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46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47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48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49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50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51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52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53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54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55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4.xml" ContentType="application/vnd.openxmlformats-officedocument.drawing+xml"/>
  <Override PartName="/xl/comments7.xml" ContentType="application/vnd.openxmlformats-officedocument.spreadsheetml.comments+xml"/>
  <Override PartName="/xl/drawings/drawing15.xml" ContentType="application/vnd.openxmlformats-officedocument.drawing+xml"/>
  <Override PartName="/xl/comments8.xml" ContentType="application/vnd.openxmlformats-officedocument.spreadsheetml.comments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omments10.xml" ContentType="application/vnd.openxmlformats-officedocument.spreadsheetml.comments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otianova\Desktop\stranka mmpve\"/>
    </mc:Choice>
  </mc:AlternateContent>
  <bookViews>
    <workbookView xWindow="0" yWindow="0" windowWidth="25125" windowHeight="12330" firstSheet="10" activeTab="18"/>
  </bookViews>
  <sheets>
    <sheet name="pruzina_ vypocet cez vzorec" sheetId="1" r:id="rId1"/>
    <sheet name="pruzina_vyp cez rozsirenu matic" sheetId="3" r:id="rId2"/>
    <sheet name="pruzina_vypocet cez analyzu dat" sheetId="2" r:id="rId3"/>
    <sheet name="pneumatiky" sheetId="4" r:id="rId4"/>
    <sheet name="lietadlo" sheetId="5" r:id="rId5"/>
    <sheet name="vynosy" sheetId="6" r:id="rId6"/>
    <sheet name="lana1" sheetId="7" r:id="rId7"/>
    <sheet name="lana2" sheetId="8" r:id="rId8"/>
    <sheet name="mzda" sheetId="9" r:id="rId9"/>
    <sheet name="drevo" sheetId="10" r:id="rId10"/>
    <sheet name="efekt " sheetId="22" r:id="rId11"/>
    <sheet name="odozvova tabulka_efekty" sheetId="21" r:id="rId12"/>
    <sheet name="spinky" sheetId="13" r:id="rId13"/>
    <sheet name="ucinnost prania" sheetId="14" r:id="rId14"/>
    <sheet name="ucinnost prania_efekty" sheetId="15" r:id="rId15"/>
    <sheet name="ucinnost prania_CP" sheetId="28" r:id="rId16"/>
    <sheet name="efekt" sheetId="23" r:id="rId17"/>
    <sheet name="tri faktory" sheetId="24" r:id="rId18"/>
    <sheet name="test krivosti" sheetId="17" r:id="rId19"/>
    <sheet name="uplny kvadraticky model" sheetId="16" r:id="rId20"/>
    <sheet name="lack of fit_cb" sheetId="18" r:id="rId21"/>
    <sheet name="lack of fit_ab_cb" sheetId="19" r:id="rId22"/>
    <sheet name="hierarchicky model" sheetId="27" r:id="rId23"/>
    <sheet name="pät faktorov" sheetId="26" r:id="rId24"/>
    <sheet name="ciastocny plan exp" sheetId="25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calcPr calcId="162913"/>
</workbook>
</file>

<file path=xl/calcChain.xml><?xml version="1.0" encoding="utf-8"?>
<calcChain xmlns="http://schemas.openxmlformats.org/spreadsheetml/2006/main">
  <c r="B52" i="17" l="1"/>
  <c r="B51" i="17"/>
  <c r="G37" i="17"/>
  <c r="C43" i="17"/>
  <c r="B23" i="17"/>
  <c r="C19" i="17"/>
  <c r="C18" i="17"/>
  <c r="G41" i="17" l="1"/>
  <c r="Q163" i="14" l="1"/>
  <c r="Q162" i="14"/>
  <c r="L162" i="14"/>
  <c r="Q161" i="14"/>
  <c r="L161" i="14"/>
  <c r="Q160" i="14"/>
  <c r="L160" i="14"/>
  <c r="L163" i="14"/>
  <c r="D115" i="14"/>
  <c r="L140" i="14"/>
  <c r="L144" i="14" s="1"/>
  <c r="Q144" i="14"/>
  <c r="Q143" i="14"/>
  <c r="Q142" i="14"/>
  <c r="Q141" i="14"/>
  <c r="L141" i="14"/>
  <c r="Q131" i="14"/>
  <c r="Q132" i="14"/>
  <c r="Q130" i="14"/>
  <c r="Q129" i="14"/>
  <c r="L132" i="14"/>
  <c r="L131" i="14"/>
  <c r="L130" i="14"/>
  <c r="L129" i="14"/>
  <c r="M51" i="16"/>
  <c r="M50" i="16"/>
  <c r="J50" i="16"/>
  <c r="I51" i="16"/>
  <c r="J51" i="16"/>
  <c r="I50" i="16"/>
  <c r="D6" i="16"/>
  <c r="C12" i="23"/>
  <c r="C11" i="23"/>
  <c r="C10" i="23"/>
  <c r="L142" i="14" l="1"/>
  <c r="L143" i="14"/>
  <c r="C123" i="13"/>
  <c r="C78" i="13"/>
  <c r="B78" i="13"/>
  <c r="B76" i="13"/>
  <c r="M30" i="18" l="1"/>
  <c r="L29" i="18"/>
  <c r="M15" i="3"/>
  <c r="H65" i="1"/>
  <c r="S34" i="1"/>
  <c r="M35" i="1"/>
  <c r="G13" i="26" l="1"/>
  <c r="G12" i="26"/>
  <c r="G11" i="26"/>
  <c r="G10" i="26"/>
  <c r="G7" i="26"/>
  <c r="G14" i="26" l="1"/>
  <c r="D53" i="17"/>
  <c r="G39" i="17"/>
  <c r="G38" i="17"/>
  <c r="G40" i="17"/>
  <c r="E41" i="17"/>
  <c r="B42" i="17"/>
  <c r="B47" i="17" l="1"/>
  <c r="J149" i="13" l="1"/>
  <c r="H149" i="13"/>
  <c r="F149" i="13"/>
  <c r="D149" i="13"/>
  <c r="B149" i="13"/>
  <c r="J123" i="27" l="1"/>
  <c r="D130" i="27" s="1"/>
  <c r="J124" i="27"/>
  <c r="J122" i="27"/>
  <c r="D131" i="27" s="1"/>
  <c r="I107" i="27"/>
  <c r="G107" i="27"/>
  <c r="E107" i="27"/>
  <c r="C107" i="27"/>
  <c r="D129" i="27" l="1"/>
  <c r="D132" i="27" s="1"/>
  <c r="D26" i="14"/>
  <c r="D23" i="14"/>
  <c r="D21" i="14"/>
  <c r="D20" i="14"/>
  <c r="C99" i="2"/>
  <c r="B53" i="1"/>
  <c r="F37" i="23" l="1"/>
  <c r="E37" i="23"/>
  <c r="G12" i="23"/>
  <c r="F12" i="23"/>
  <c r="G11" i="23"/>
  <c r="D11" i="23" s="1"/>
  <c r="F11" i="23"/>
  <c r="G10" i="23"/>
  <c r="F10" i="23"/>
  <c r="D10" i="23" l="1"/>
  <c r="D12" i="23"/>
  <c r="P46" i="25"/>
  <c r="O46" i="25"/>
  <c r="N46" i="25"/>
  <c r="P45" i="25"/>
  <c r="O45" i="25"/>
  <c r="N45" i="25"/>
  <c r="P44" i="25"/>
  <c r="O44" i="25"/>
  <c r="N44" i="25"/>
  <c r="P43" i="25"/>
  <c r="O43" i="25"/>
  <c r="N43" i="25"/>
  <c r="P42" i="25"/>
  <c r="O42" i="25"/>
  <c r="N42" i="25"/>
  <c r="P41" i="25"/>
  <c r="O41" i="25"/>
  <c r="N41" i="25"/>
  <c r="P40" i="25"/>
  <c r="O40" i="25"/>
  <c r="N40" i="25"/>
  <c r="P39" i="25"/>
  <c r="O39" i="25"/>
  <c r="N39" i="25"/>
  <c r="P38" i="25"/>
  <c r="O38" i="25"/>
  <c r="N38" i="25"/>
  <c r="P37" i="25"/>
  <c r="O37" i="25"/>
  <c r="N37" i="25"/>
  <c r="P36" i="25"/>
  <c r="O36" i="25"/>
  <c r="N36" i="25"/>
  <c r="P35" i="25"/>
  <c r="O35" i="25"/>
  <c r="N35" i="25"/>
  <c r="P34" i="25"/>
  <c r="O34" i="25"/>
  <c r="N34" i="25"/>
  <c r="P33" i="25"/>
  <c r="O33" i="25"/>
  <c r="N33" i="25"/>
  <c r="P32" i="25"/>
  <c r="O32" i="25"/>
  <c r="N32" i="25"/>
  <c r="P31" i="25"/>
  <c r="O31" i="25"/>
  <c r="N31" i="25"/>
  <c r="P28" i="25"/>
  <c r="O28" i="25"/>
  <c r="N28" i="25"/>
  <c r="P27" i="25"/>
  <c r="O27" i="25"/>
  <c r="N27" i="25"/>
  <c r="P26" i="25"/>
  <c r="O26" i="25"/>
  <c r="N26" i="25"/>
  <c r="P25" i="25"/>
  <c r="O25" i="25"/>
  <c r="N25" i="25"/>
  <c r="P24" i="25"/>
  <c r="O24" i="25"/>
  <c r="N24" i="25"/>
  <c r="P23" i="25"/>
  <c r="O23" i="25"/>
  <c r="N23" i="25"/>
  <c r="P22" i="25"/>
  <c r="O22" i="25"/>
  <c r="N22" i="25"/>
  <c r="P21" i="25"/>
  <c r="O21" i="25"/>
  <c r="N21" i="25"/>
  <c r="P20" i="25"/>
  <c r="O20" i="25"/>
  <c r="N20" i="25"/>
  <c r="P19" i="25"/>
  <c r="O19" i="25"/>
  <c r="N19" i="25"/>
  <c r="P18" i="25"/>
  <c r="O18" i="25"/>
  <c r="N18" i="25"/>
  <c r="P17" i="25"/>
  <c r="O17" i="25"/>
  <c r="N17" i="25"/>
  <c r="P16" i="25"/>
  <c r="O16" i="25"/>
  <c r="N16" i="25"/>
  <c r="P15" i="25"/>
  <c r="O15" i="25"/>
  <c r="N15" i="25"/>
  <c r="P14" i="25"/>
  <c r="O14" i="25"/>
  <c r="N14" i="25"/>
  <c r="P13" i="25"/>
  <c r="O13" i="25"/>
  <c r="N13" i="25"/>
  <c r="H36" i="27"/>
  <c r="B82" i="27" s="1"/>
  <c r="I31" i="27"/>
  <c r="C77" i="27" s="1"/>
  <c r="I30" i="27"/>
  <c r="C76" i="27" s="1"/>
  <c r="I29" i="27"/>
  <c r="C75" i="27" s="1"/>
  <c r="I28" i="27"/>
  <c r="C74" i="27" s="1"/>
  <c r="I24" i="27"/>
  <c r="C70" i="27" s="1"/>
  <c r="L20" i="27"/>
  <c r="K20" i="27"/>
  <c r="J35" i="27" s="1"/>
  <c r="P19" i="27"/>
  <c r="L19" i="27"/>
  <c r="K19" i="27"/>
  <c r="I33" i="27" s="1"/>
  <c r="L18" i="27"/>
  <c r="K18" i="27"/>
  <c r="L39" i="19"/>
  <c r="J39" i="19"/>
  <c r="H39" i="19"/>
  <c r="F39" i="19"/>
  <c r="D39" i="19"/>
  <c r="B39" i="19"/>
  <c r="N29" i="19"/>
  <c r="M29" i="19"/>
  <c r="L29" i="19"/>
  <c r="E16" i="19"/>
  <c r="M31" i="19" s="1"/>
  <c r="D15" i="19"/>
  <c r="E14" i="19" s="1"/>
  <c r="I14" i="19"/>
  <c r="K14" i="19" s="1"/>
  <c r="H14" i="19"/>
  <c r="L14" i="19" s="1"/>
  <c r="I13" i="19"/>
  <c r="K13" i="19" s="1"/>
  <c r="H13" i="19"/>
  <c r="L13" i="19" s="1"/>
  <c r="L12" i="19"/>
  <c r="I12" i="19"/>
  <c r="K12" i="19" s="1"/>
  <c r="H12" i="19"/>
  <c r="J12" i="19" s="1"/>
  <c r="I11" i="19"/>
  <c r="K11" i="19" s="1"/>
  <c r="H11" i="19"/>
  <c r="F11" i="19"/>
  <c r="F15" i="19" s="1"/>
  <c r="L31" i="19" s="1"/>
  <c r="E11" i="19"/>
  <c r="J10" i="19"/>
  <c r="H10" i="19"/>
  <c r="C10" i="19"/>
  <c r="I10" i="19" s="1"/>
  <c r="H9" i="19"/>
  <c r="C9" i="19"/>
  <c r="I9" i="19" s="1"/>
  <c r="K9" i="19" s="1"/>
  <c r="K8" i="19"/>
  <c r="I8" i="19"/>
  <c r="B8" i="19"/>
  <c r="H8" i="19" s="1"/>
  <c r="I7" i="19"/>
  <c r="K7" i="19" s="1"/>
  <c r="B7" i="19"/>
  <c r="H7" i="19" s="1"/>
  <c r="L6" i="19"/>
  <c r="K6" i="19"/>
  <c r="J6" i="19"/>
  <c r="I6" i="19"/>
  <c r="H6" i="19"/>
  <c r="I5" i="19"/>
  <c r="K5" i="19" s="1"/>
  <c r="H5" i="19"/>
  <c r="L5" i="19" s="1"/>
  <c r="K4" i="19"/>
  <c r="I4" i="19"/>
  <c r="H4" i="19"/>
  <c r="L4" i="19" s="1"/>
  <c r="I3" i="19"/>
  <c r="K3" i="19" s="1"/>
  <c r="H3" i="19"/>
  <c r="L3" i="19" s="1"/>
  <c r="H36" i="18"/>
  <c r="F36" i="18"/>
  <c r="D36" i="18"/>
  <c r="B36" i="18"/>
  <c r="N30" i="18"/>
  <c r="M29" i="18"/>
  <c r="N29" i="18" s="1"/>
  <c r="O29" i="18" s="1"/>
  <c r="Q29" i="18" s="1"/>
  <c r="P29" i="18"/>
  <c r="B3" i="18"/>
  <c r="M70" i="16"/>
  <c r="L70" i="16"/>
  <c r="K70" i="16"/>
  <c r="J70" i="16"/>
  <c r="I70" i="16"/>
  <c r="H70" i="16"/>
  <c r="G70" i="16"/>
  <c r="F70" i="16"/>
  <c r="E70" i="16"/>
  <c r="D70" i="16"/>
  <c r="C70" i="16"/>
  <c r="M69" i="16"/>
  <c r="L69" i="16"/>
  <c r="K69" i="16"/>
  <c r="J69" i="16"/>
  <c r="I69" i="16"/>
  <c r="H69" i="16"/>
  <c r="G69" i="16"/>
  <c r="F69" i="16"/>
  <c r="E69" i="16"/>
  <c r="D69" i="16"/>
  <c r="C69" i="16"/>
  <c r="M68" i="16"/>
  <c r="L68" i="16"/>
  <c r="K68" i="16"/>
  <c r="J68" i="16"/>
  <c r="I68" i="16"/>
  <c r="H68" i="16"/>
  <c r="G68" i="16"/>
  <c r="F68" i="16"/>
  <c r="E68" i="16"/>
  <c r="D68" i="16"/>
  <c r="C68" i="16"/>
  <c r="M67" i="16"/>
  <c r="L67" i="16"/>
  <c r="K67" i="16"/>
  <c r="J67" i="16"/>
  <c r="I67" i="16"/>
  <c r="H67" i="16"/>
  <c r="G67" i="16"/>
  <c r="F67" i="16"/>
  <c r="E67" i="16"/>
  <c r="D67" i="16"/>
  <c r="C67" i="16"/>
  <c r="M66" i="16"/>
  <c r="L66" i="16"/>
  <c r="K66" i="16"/>
  <c r="J66" i="16"/>
  <c r="I66" i="16"/>
  <c r="H66" i="16"/>
  <c r="G66" i="16"/>
  <c r="F66" i="16"/>
  <c r="E66" i="16"/>
  <c r="D66" i="16"/>
  <c r="C66" i="16"/>
  <c r="M65" i="16"/>
  <c r="L65" i="16"/>
  <c r="K65" i="16"/>
  <c r="J65" i="16"/>
  <c r="I65" i="16"/>
  <c r="H65" i="16"/>
  <c r="G65" i="16"/>
  <c r="F65" i="16"/>
  <c r="E65" i="16"/>
  <c r="D65" i="16"/>
  <c r="C65" i="16"/>
  <c r="M64" i="16"/>
  <c r="L64" i="16"/>
  <c r="K64" i="16"/>
  <c r="J64" i="16"/>
  <c r="I64" i="16"/>
  <c r="H64" i="16"/>
  <c r="G64" i="16"/>
  <c r="F64" i="16"/>
  <c r="E64" i="16"/>
  <c r="D64" i="16"/>
  <c r="C64" i="16"/>
  <c r="M63" i="16"/>
  <c r="L63" i="16"/>
  <c r="K63" i="16"/>
  <c r="J63" i="16"/>
  <c r="I63" i="16"/>
  <c r="H63" i="16"/>
  <c r="G63" i="16"/>
  <c r="F63" i="16"/>
  <c r="E63" i="16"/>
  <c r="D63" i="16"/>
  <c r="C63" i="16"/>
  <c r="M62" i="16"/>
  <c r="L62" i="16"/>
  <c r="K62" i="16"/>
  <c r="J62" i="16"/>
  <c r="I62" i="16"/>
  <c r="H62" i="16"/>
  <c r="G62" i="16"/>
  <c r="F62" i="16"/>
  <c r="E62" i="16"/>
  <c r="D62" i="16"/>
  <c r="C62" i="16"/>
  <c r="M61" i="16"/>
  <c r="L61" i="16"/>
  <c r="K61" i="16"/>
  <c r="J61" i="16"/>
  <c r="I61" i="16"/>
  <c r="H61" i="16"/>
  <c r="G61" i="16"/>
  <c r="F61" i="16"/>
  <c r="E61" i="16"/>
  <c r="D61" i="16"/>
  <c r="C61" i="16"/>
  <c r="M60" i="16"/>
  <c r="L60" i="16"/>
  <c r="K60" i="16"/>
  <c r="J60" i="16"/>
  <c r="I60" i="16"/>
  <c r="H60" i="16"/>
  <c r="G60" i="16"/>
  <c r="F60" i="16"/>
  <c r="E60" i="16"/>
  <c r="D60" i="16"/>
  <c r="C60" i="16"/>
  <c r="P50" i="16" a="1"/>
  <c r="L38" i="16"/>
  <c r="J38" i="16"/>
  <c r="H38" i="16"/>
  <c r="F38" i="16"/>
  <c r="D38" i="16"/>
  <c r="B38" i="16"/>
  <c r="F13" i="16"/>
  <c r="E13" i="16"/>
  <c r="D13" i="16"/>
  <c r="F12" i="16"/>
  <c r="E12" i="16"/>
  <c r="D12" i="16"/>
  <c r="F11" i="16"/>
  <c r="E11" i="16"/>
  <c r="D11" i="16"/>
  <c r="F10" i="16"/>
  <c r="E10" i="16"/>
  <c r="D10" i="16"/>
  <c r="F9" i="16"/>
  <c r="E9" i="16"/>
  <c r="D9" i="16"/>
  <c r="F8" i="16"/>
  <c r="E8" i="16"/>
  <c r="D8" i="16"/>
  <c r="F7" i="16"/>
  <c r="E7" i="16"/>
  <c r="D7" i="16"/>
  <c r="F6" i="16"/>
  <c r="E6" i="16"/>
  <c r="F5" i="16"/>
  <c r="E5" i="16"/>
  <c r="D5" i="16"/>
  <c r="F4" i="16"/>
  <c r="E4" i="16"/>
  <c r="D4" i="16"/>
  <c r="F3" i="16"/>
  <c r="E3" i="16"/>
  <c r="D3" i="16"/>
  <c r="F2" i="16"/>
  <c r="E2" i="16"/>
  <c r="D2" i="16"/>
  <c r="D27" i="17"/>
  <c r="B18" i="17"/>
  <c r="C13" i="17" s="1"/>
  <c r="E17" i="17"/>
  <c r="F43" i="23"/>
  <c r="E43" i="23"/>
  <c r="F42" i="23"/>
  <c r="E42" i="23"/>
  <c r="C37" i="23"/>
  <c r="F36" i="23"/>
  <c r="E36" i="23"/>
  <c r="C36" i="23"/>
  <c r="F35" i="23"/>
  <c r="E35" i="23"/>
  <c r="C35" i="23"/>
  <c r="E41" i="15"/>
  <c r="D41" i="15"/>
  <c r="E40" i="15"/>
  <c r="D40" i="15"/>
  <c r="O33" i="15"/>
  <c r="N33" i="15"/>
  <c r="M33" i="15"/>
  <c r="L34" i="15" s="1"/>
  <c r="L33" i="15"/>
  <c r="K33" i="15"/>
  <c r="J34" i="15" s="1"/>
  <c r="J33" i="15"/>
  <c r="I33" i="15"/>
  <c r="H34" i="15" s="1"/>
  <c r="H33" i="15"/>
  <c r="G33" i="15"/>
  <c r="F33" i="15"/>
  <c r="F34" i="15" s="1"/>
  <c r="E33" i="15"/>
  <c r="D34" i="15" s="1"/>
  <c r="D33" i="15"/>
  <c r="C33" i="15"/>
  <c r="B34" i="15" s="1"/>
  <c r="B33" i="15"/>
  <c r="Q110" i="14"/>
  <c r="O110" i="14"/>
  <c r="M110" i="14"/>
  <c r="K110" i="14"/>
  <c r="I110" i="14"/>
  <c r="G110" i="14"/>
  <c r="E110" i="14"/>
  <c r="C110" i="14"/>
  <c r="I83" i="14"/>
  <c r="D83" i="14"/>
  <c r="C83" i="14"/>
  <c r="B83" i="14"/>
  <c r="I82" i="14"/>
  <c r="D82" i="14"/>
  <c r="C82" i="14"/>
  <c r="B82" i="14"/>
  <c r="I81" i="14"/>
  <c r="D81" i="14"/>
  <c r="C81" i="14"/>
  <c r="B81" i="14"/>
  <c r="I80" i="14"/>
  <c r="D80" i="14"/>
  <c r="C80" i="14"/>
  <c r="B80" i="14"/>
  <c r="I79" i="14"/>
  <c r="D79" i="14"/>
  <c r="C79" i="14"/>
  <c r="B79" i="14"/>
  <c r="I78" i="14"/>
  <c r="D78" i="14"/>
  <c r="C78" i="14"/>
  <c r="B78" i="14"/>
  <c r="I77" i="14"/>
  <c r="D77" i="14"/>
  <c r="C77" i="14"/>
  <c r="B77" i="14"/>
  <c r="I76" i="14"/>
  <c r="D76" i="14"/>
  <c r="C76" i="14"/>
  <c r="B76" i="14"/>
  <c r="I75" i="14"/>
  <c r="D75" i="14"/>
  <c r="C75" i="14"/>
  <c r="B75" i="14"/>
  <c r="I74" i="14"/>
  <c r="D74" i="14"/>
  <c r="C74" i="14"/>
  <c r="B74" i="14"/>
  <c r="I73" i="14"/>
  <c r="D73" i="14"/>
  <c r="C73" i="14"/>
  <c r="B73" i="14"/>
  <c r="I72" i="14"/>
  <c r="D72" i="14"/>
  <c r="C72" i="14"/>
  <c r="B72" i="14"/>
  <c r="I71" i="14"/>
  <c r="D71" i="14"/>
  <c r="C71" i="14"/>
  <c r="B71" i="14"/>
  <c r="I70" i="14"/>
  <c r="D70" i="14"/>
  <c r="C70" i="14"/>
  <c r="B70" i="14"/>
  <c r="I69" i="14"/>
  <c r="D69" i="14"/>
  <c r="C69" i="14"/>
  <c r="B69" i="14"/>
  <c r="I68" i="14"/>
  <c r="D68" i="14"/>
  <c r="C68" i="14"/>
  <c r="B68" i="14"/>
  <c r="J61" i="14"/>
  <c r="J60" i="14"/>
  <c r="J59" i="14"/>
  <c r="J58" i="14"/>
  <c r="J57" i="14"/>
  <c r="J56" i="14"/>
  <c r="J55" i="14"/>
  <c r="H51" i="14"/>
  <c r="H83" i="14" s="1"/>
  <c r="G51" i="14"/>
  <c r="G83" i="14" s="1"/>
  <c r="F51" i="14"/>
  <c r="F83" i="14" s="1"/>
  <c r="E51" i="14"/>
  <c r="E83" i="14" s="1"/>
  <c r="H50" i="14"/>
  <c r="H82" i="14" s="1"/>
  <c r="G50" i="14"/>
  <c r="G82" i="14" s="1"/>
  <c r="F50" i="14"/>
  <c r="F82" i="14" s="1"/>
  <c r="E50" i="14"/>
  <c r="E82" i="14" s="1"/>
  <c r="H49" i="14"/>
  <c r="H81" i="14" s="1"/>
  <c r="G49" i="14"/>
  <c r="G81" i="14" s="1"/>
  <c r="F49" i="14"/>
  <c r="F81" i="14" s="1"/>
  <c r="E49" i="14"/>
  <c r="E81" i="14" s="1"/>
  <c r="H48" i="14"/>
  <c r="H80" i="14" s="1"/>
  <c r="G48" i="14"/>
  <c r="G80" i="14" s="1"/>
  <c r="F48" i="14"/>
  <c r="F80" i="14" s="1"/>
  <c r="E48" i="14"/>
  <c r="E80" i="14" s="1"/>
  <c r="H47" i="14"/>
  <c r="H79" i="14" s="1"/>
  <c r="G47" i="14"/>
  <c r="G79" i="14" s="1"/>
  <c r="F47" i="14"/>
  <c r="F79" i="14" s="1"/>
  <c r="E47" i="14"/>
  <c r="E79" i="14" s="1"/>
  <c r="H46" i="14"/>
  <c r="H78" i="14" s="1"/>
  <c r="G46" i="14"/>
  <c r="G78" i="14" s="1"/>
  <c r="F46" i="14"/>
  <c r="F78" i="14" s="1"/>
  <c r="E46" i="14"/>
  <c r="E78" i="14" s="1"/>
  <c r="H45" i="14"/>
  <c r="H77" i="14" s="1"/>
  <c r="G45" i="14"/>
  <c r="G77" i="14" s="1"/>
  <c r="F45" i="14"/>
  <c r="F77" i="14" s="1"/>
  <c r="E45" i="14"/>
  <c r="E77" i="14" s="1"/>
  <c r="H44" i="14"/>
  <c r="H76" i="14" s="1"/>
  <c r="G44" i="14"/>
  <c r="G76" i="14" s="1"/>
  <c r="F44" i="14"/>
  <c r="F76" i="14" s="1"/>
  <c r="E44" i="14"/>
  <c r="E76" i="14" s="1"/>
  <c r="H43" i="14"/>
  <c r="H75" i="14" s="1"/>
  <c r="G43" i="14"/>
  <c r="G75" i="14" s="1"/>
  <c r="F43" i="14"/>
  <c r="F75" i="14" s="1"/>
  <c r="E43" i="14"/>
  <c r="E75" i="14" s="1"/>
  <c r="H42" i="14"/>
  <c r="H74" i="14" s="1"/>
  <c r="G42" i="14"/>
  <c r="G74" i="14" s="1"/>
  <c r="F42" i="14"/>
  <c r="F74" i="14" s="1"/>
  <c r="E42" i="14"/>
  <c r="E74" i="14" s="1"/>
  <c r="H41" i="14"/>
  <c r="H73" i="14" s="1"/>
  <c r="G41" i="14"/>
  <c r="G73" i="14" s="1"/>
  <c r="F41" i="14"/>
  <c r="F73" i="14" s="1"/>
  <c r="E41" i="14"/>
  <c r="E73" i="14" s="1"/>
  <c r="H40" i="14"/>
  <c r="H72" i="14" s="1"/>
  <c r="G40" i="14"/>
  <c r="G72" i="14" s="1"/>
  <c r="F40" i="14"/>
  <c r="F72" i="14" s="1"/>
  <c r="E40" i="14"/>
  <c r="E72" i="14" s="1"/>
  <c r="H39" i="14"/>
  <c r="H71" i="14" s="1"/>
  <c r="G39" i="14"/>
  <c r="G71" i="14" s="1"/>
  <c r="F39" i="14"/>
  <c r="F71" i="14" s="1"/>
  <c r="E39" i="14"/>
  <c r="E71" i="14" s="1"/>
  <c r="H38" i="14"/>
  <c r="H70" i="14" s="1"/>
  <c r="G38" i="14"/>
  <c r="G70" i="14" s="1"/>
  <c r="F38" i="14"/>
  <c r="F70" i="14" s="1"/>
  <c r="E38" i="14"/>
  <c r="E70" i="14" s="1"/>
  <c r="H37" i="14"/>
  <c r="H69" i="14" s="1"/>
  <c r="G37" i="14"/>
  <c r="G69" i="14" s="1"/>
  <c r="F37" i="14"/>
  <c r="F69" i="14" s="1"/>
  <c r="E37" i="14"/>
  <c r="E69" i="14" s="1"/>
  <c r="H36" i="14"/>
  <c r="H68" i="14" s="1"/>
  <c r="G36" i="14"/>
  <c r="G68" i="14" s="1"/>
  <c r="F36" i="14"/>
  <c r="F68" i="14" s="1"/>
  <c r="E36" i="14"/>
  <c r="E68" i="14" s="1"/>
  <c r="D18" i="14"/>
  <c r="D15" i="14"/>
  <c r="D13" i="14"/>
  <c r="D12" i="14"/>
  <c r="C120" i="13"/>
  <c r="C119" i="13"/>
  <c r="C118" i="13"/>
  <c r="C117" i="13"/>
  <c r="C116" i="13"/>
  <c r="C115" i="13"/>
  <c r="C114" i="13"/>
  <c r="H78" i="13"/>
  <c r="G78" i="13"/>
  <c r="F78" i="13"/>
  <c r="E78" i="13"/>
  <c r="D78" i="13"/>
  <c r="H76" i="13"/>
  <c r="G76" i="13"/>
  <c r="F76" i="13"/>
  <c r="E76" i="13"/>
  <c r="D76" i="13"/>
  <c r="C76" i="13"/>
  <c r="H47" i="13"/>
  <c r="G47" i="13"/>
  <c r="F47" i="13"/>
  <c r="E47" i="13"/>
  <c r="H46" i="13"/>
  <c r="G46" i="13"/>
  <c r="F46" i="13"/>
  <c r="E46" i="13"/>
  <c r="H45" i="13"/>
  <c r="G45" i="13"/>
  <c r="F45" i="13"/>
  <c r="E45" i="13"/>
  <c r="H44" i="13"/>
  <c r="G44" i="13"/>
  <c r="F44" i="13"/>
  <c r="E44" i="13"/>
  <c r="H43" i="13"/>
  <c r="G43" i="13"/>
  <c r="F43" i="13"/>
  <c r="E43" i="13"/>
  <c r="H42" i="13"/>
  <c r="G42" i="13"/>
  <c r="F42" i="13"/>
  <c r="E42" i="13"/>
  <c r="H41" i="13"/>
  <c r="G41" i="13"/>
  <c r="F41" i="13"/>
  <c r="E41" i="13"/>
  <c r="H40" i="13"/>
  <c r="G40" i="13"/>
  <c r="F40" i="13"/>
  <c r="E40" i="13"/>
  <c r="H39" i="13"/>
  <c r="G39" i="13"/>
  <c r="F39" i="13"/>
  <c r="E39" i="13"/>
  <c r="H38" i="13"/>
  <c r="G38" i="13"/>
  <c r="F38" i="13"/>
  <c r="E38" i="13"/>
  <c r="H37" i="13"/>
  <c r="G37" i="13"/>
  <c r="F37" i="13"/>
  <c r="E37" i="13"/>
  <c r="H36" i="13"/>
  <c r="G36" i="13"/>
  <c r="F36" i="13"/>
  <c r="E36" i="13"/>
  <c r="H35" i="13"/>
  <c r="G35" i="13"/>
  <c r="F35" i="13"/>
  <c r="E35" i="13"/>
  <c r="H34" i="13"/>
  <c r="G34" i="13"/>
  <c r="F34" i="13"/>
  <c r="E34" i="13"/>
  <c r="H33" i="13"/>
  <c r="G33" i="13"/>
  <c r="F33" i="13"/>
  <c r="E33" i="13"/>
  <c r="H32" i="13"/>
  <c r="G32" i="13"/>
  <c r="F32" i="13"/>
  <c r="E32" i="13"/>
  <c r="E29" i="13"/>
  <c r="M24" i="21"/>
  <c r="P22" i="21"/>
  <c r="N22" i="21"/>
  <c r="L22" i="21"/>
  <c r="J22" i="21"/>
  <c r="H22" i="21"/>
  <c r="F22" i="21"/>
  <c r="D22" i="21"/>
  <c r="O21" i="21"/>
  <c r="N21" i="21"/>
  <c r="K21" i="21"/>
  <c r="I21" i="21"/>
  <c r="H21" i="21"/>
  <c r="F21" i="21"/>
  <c r="C21" i="21"/>
  <c r="C24" i="21" s="1"/>
  <c r="O20" i="21"/>
  <c r="M20" i="21"/>
  <c r="L20" i="21"/>
  <c r="I20" i="21"/>
  <c r="H20" i="21"/>
  <c r="E20" i="21"/>
  <c r="D20" i="21"/>
  <c r="P19" i="21"/>
  <c r="M19" i="21"/>
  <c r="K19" i="21"/>
  <c r="J19" i="21"/>
  <c r="H19" i="21"/>
  <c r="H24" i="21" s="1"/>
  <c r="E19" i="21"/>
  <c r="C19" i="21"/>
  <c r="O18" i="21"/>
  <c r="M18" i="21"/>
  <c r="K18" i="21"/>
  <c r="J18" i="21"/>
  <c r="G18" i="21"/>
  <c r="F18" i="21"/>
  <c r="D18" i="21"/>
  <c r="P17" i="21"/>
  <c r="M17" i="21"/>
  <c r="L17" i="21"/>
  <c r="I17" i="21"/>
  <c r="G17" i="21"/>
  <c r="F17" i="21"/>
  <c r="C17" i="21"/>
  <c r="P16" i="21"/>
  <c r="N16" i="21"/>
  <c r="K16" i="21"/>
  <c r="I16" i="21"/>
  <c r="G16" i="21"/>
  <c r="E16" i="21"/>
  <c r="O15" i="21"/>
  <c r="N15" i="21"/>
  <c r="N24" i="21" s="1"/>
  <c r="M25" i="21" s="1"/>
  <c r="L15" i="21"/>
  <c r="L24" i="21" s="1"/>
  <c r="J15" i="21"/>
  <c r="G15" i="21"/>
  <c r="E15" i="21"/>
  <c r="J14" i="19" l="1"/>
  <c r="P24" i="21"/>
  <c r="L11" i="19"/>
  <c r="H35" i="27"/>
  <c r="B81" i="27" s="1"/>
  <c r="P18" i="27"/>
  <c r="O18" i="27"/>
  <c r="I24" i="21"/>
  <c r="K24" i="21"/>
  <c r="E24" i="21"/>
  <c r="G24" i="21"/>
  <c r="M33" i="27"/>
  <c r="C79" i="27"/>
  <c r="J33" i="27"/>
  <c r="N34" i="15"/>
  <c r="F24" i="21"/>
  <c r="I38" i="27"/>
  <c r="C84" i="27" s="1"/>
  <c r="J34" i="27"/>
  <c r="I35" i="27"/>
  <c r="C81" i="27" s="1"/>
  <c r="D81" i="27" s="1"/>
  <c r="O24" i="21"/>
  <c r="J24" i="21"/>
  <c r="I25" i="21" s="1"/>
  <c r="E13" i="19"/>
  <c r="E15" i="19" s="1"/>
  <c r="I36" i="27"/>
  <c r="C82" i="27" s="1"/>
  <c r="D82" i="27" s="1"/>
  <c r="I23" i="27"/>
  <c r="C69" i="27" s="1"/>
  <c r="D24" i="21"/>
  <c r="C25" i="21" s="1"/>
  <c r="H24" i="27"/>
  <c r="B70" i="27" s="1"/>
  <c r="D70" i="27" s="1"/>
  <c r="C40" i="17"/>
  <c r="C39" i="17"/>
  <c r="C38" i="17"/>
  <c r="C37" i="17"/>
  <c r="C41" i="17"/>
  <c r="C16" i="17"/>
  <c r="C17" i="17"/>
  <c r="B27" i="17"/>
  <c r="C32" i="17" s="1"/>
  <c r="I84" i="14"/>
  <c r="M29" i="27"/>
  <c r="H30" i="27"/>
  <c r="B76" i="27" s="1"/>
  <c r="D76" i="27" s="1"/>
  <c r="J23" i="27"/>
  <c r="M23" i="27" s="1"/>
  <c r="H25" i="27"/>
  <c r="B71" i="27" s="1"/>
  <c r="I25" i="27"/>
  <c r="C71" i="27" s="1"/>
  <c r="D71" i="27" s="1"/>
  <c r="J30" i="27"/>
  <c r="M30" i="27" s="1"/>
  <c r="H32" i="27"/>
  <c r="B78" i="27" s="1"/>
  <c r="I37" i="27"/>
  <c r="C83" i="27" s="1"/>
  <c r="J25" i="27"/>
  <c r="H27" i="27"/>
  <c r="B73" i="27" s="1"/>
  <c r="I32" i="27"/>
  <c r="J37" i="27"/>
  <c r="H23" i="27"/>
  <c r="B69" i="27" s="1"/>
  <c r="D69" i="27" s="1"/>
  <c r="J28" i="27"/>
  <c r="M28" i="27" s="1"/>
  <c r="H37" i="27"/>
  <c r="B83" i="27" s="1"/>
  <c r="I27" i="27"/>
  <c r="C73" i="27" s="1"/>
  <c r="J32" i="27"/>
  <c r="H34" i="27"/>
  <c r="B80" i="27" s="1"/>
  <c r="O19" i="27"/>
  <c r="J27" i="27"/>
  <c r="H29" i="27"/>
  <c r="B75" i="27" s="1"/>
  <c r="D75" i="27" s="1"/>
  <c r="I34" i="27"/>
  <c r="J29" i="27"/>
  <c r="H31" i="27"/>
  <c r="B77" i="27" s="1"/>
  <c r="D77" i="27" s="1"/>
  <c r="J24" i="27"/>
  <c r="M24" i="27" s="1"/>
  <c r="J36" i="27"/>
  <c r="H38" i="27"/>
  <c r="B84" i="27" s="1"/>
  <c r="D84" i="27" s="1"/>
  <c r="H26" i="27"/>
  <c r="B72" i="27" s="1"/>
  <c r="O20" i="27"/>
  <c r="K24" i="27"/>
  <c r="I26" i="27"/>
  <c r="J31" i="27"/>
  <c r="M31" i="27" s="1"/>
  <c r="H33" i="27"/>
  <c r="B79" i="27" s="1"/>
  <c r="P20" i="27"/>
  <c r="J26" i="27"/>
  <c r="H28" i="27"/>
  <c r="B74" i="27" s="1"/>
  <c r="D74" i="27" s="1"/>
  <c r="J38" i="27"/>
  <c r="M38" i="27" s="1"/>
  <c r="L7" i="19"/>
  <c r="J7" i="19"/>
  <c r="J8" i="19"/>
  <c r="L8" i="19"/>
  <c r="L30" i="19"/>
  <c r="P30" i="19" s="1"/>
  <c r="L9" i="19"/>
  <c r="K10" i="19"/>
  <c r="L10" i="19"/>
  <c r="M30" i="19"/>
  <c r="N31" i="19"/>
  <c r="J4" i="19"/>
  <c r="J9" i="19"/>
  <c r="J5" i="19"/>
  <c r="J11" i="19"/>
  <c r="J13" i="19"/>
  <c r="J3" i="19"/>
  <c r="E12" i="19"/>
  <c r="Q51" i="16"/>
  <c r="P51" i="16"/>
  <c r="P50" i="16"/>
  <c r="Q50" i="16"/>
  <c r="C14" i="17"/>
  <c r="C15" i="17"/>
  <c r="L36" i="14" a="1"/>
  <c r="O25" i="21"/>
  <c r="E25" i="21"/>
  <c r="K25" i="21"/>
  <c r="G25" i="21"/>
  <c r="M35" i="27" l="1"/>
  <c r="M26" i="27"/>
  <c r="C72" i="27"/>
  <c r="D72" i="27"/>
  <c r="N30" i="19"/>
  <c r="O30" i="19" s="1"/>
  <c r="Q30" i="19" s="1"/>
  <c r="M36" i="27"/>
  <c r="D73" i="27"/>
  <c r="L35" i="27"/>
  <c r="M32" i="27"/>
  <c r="C78" i="27"/>
  <c r="D78" i="27" s="1"/>
  <c r="K36" i="27"/>
  <c r="M34" i="27"/>
  <c r="C80" i="27"/>
  <c r="D80" i="27" s="1"/>
  <c r="K35" i="27"/>
  <c r="D83" i="27"/>
  <c r="N35" i="27"/>
  <c r="D79" i="27"/>
  <c r="C42" i="17"/>
  <c r="B53" i="17" s="1"/>
  <c r="C58" i="17" s="1"/>
  <c r="L33" i="27"/>
  <c r="N33" i="27"/>
  <c r="K33" i="27"/>
  <c r="N30" i="27"/>
  <c r="L30" i="27"/>
  <c r="K30" i="27"/>
  <c r="N34" i="27"/>
  <c r="L34" i="27"/>
  <c r="K34" i="27"/>
  <c r="M37" i="27"/>
  <c r="M27" i="27"/>
  <c r="L38" i="27"/>
  <c r="N38" i="27"/>
  <c r="K38" i="27"/>
  <c r="N37" i="27"/>
  <c r="L37" i="27"/>
  <c r="K37" i="27"/>
  <c r="M25" i="27"/>
  <c r="N27" i="27"/>
  <c r="K27" i="27"/>
  <c r="L27" i="27"/>
  <c r="N26" i="27"/>
  <c r="L26" i="27"/>
  <c r="K26" i="27"/>
  <c r="N32" i="27"/>
  <c r="L32" i="27"/>
  <c r="K32" i="27"/>
  <c r="N28" i="27"/>
  <c r="L28" i="27"/>
  <c r="K28" i="27"/>
  <c r="N25" i="27"/>
  <c r="L25" i="27"/>
  <c r="K25" i="27"/>
  <c r="L24" i="27"/>
  <c r="L29" i="27"/>
  <c r="K29" i="27"/>
  <c r="N29" i="27"/>
  <c r="K31" i="27"/>
  <c r="L31" i="27"/>
  <c r="N31" i="27"/>
  <c r="N24" i="27"/>
  <c r="N23" i="27"/>
  <c r="L23" i="27"/>
  <c r="K23" i="27"/>
  <c r="N36" i="27"/>
  <c r="L36" i="27"/>
  <c r="M53" i="16" a="1"/>
  <c r="T39" i="14"/>
  <c r="W38" i="14"/>
  <c r="Z43" i="14"/>
  <c r="N43" i="14"/>
  <c r="R42" i="14"/>
  <c r="V41" i="14"/>
  <c r="Z40" i="14"/>
  <c r="N40" i="14"/>
  <c r="R39" i="14"/>
  <c r="V38" i="14"/>
  <c r="Z37" i="14"/>
  <c r="N37" i="14"/>
  <c r="R36" i="14"/>
  <c r="M36" i="14"/>
  <c r="AA43" i="14"/>
  <c r="Y43" i="14"/>
  <c r="M43" i="14"/>
  <c r="Q42" i="14"/>
  <c r="U41" i="14"/>
  <c r="Y40" i="14"/>
  <c r="M40" i="14"/>
  <c r="Q39" i="14"/>
  <c r="U38" i="14"/>
  <c r="Y37" i="14"/>
  <c r="M37" i="14"/>
  <c r="Q36" i="14"/>
  <c r="Z36" i="14"/>
  <c r="M42" i="14"/>
  <c r="Y39" i="14"/>
  <c r="U37" i="14"/>
  <c r="AA40" i="14"/>
  <c r="X43" i="14"/>
  <c r="L43" i="14"/>
  <c r="P42" i="14"/>
  <c r="T41" i="14"/>
  <c r="X40" i="14"/>
  <c r="L40" i="14"/>
  <c r="P39" i="14"/>
  <c r="T38" i="14"/>
  <c r="X37" i="14"/>
  <c r="L37" i="14"/>
  <c r="P36" i="14"/>
  <c r="W43" i="14"/>
  <c r="AA42" i="14"/>
  <c r="O42" i="14"/>
  <c r="S41" i="14"/>
  <c r="W40" i="14"/>
  <c r="AA39" i="14"/>
  <c r="O39" i="14"/>
  <c r="S38" i="14"/>
  <c r="W37" i="14"/>
  <c r="AA36" i="14"/>
  <c r="O36" i="14"/>
  <c r="V43" i="14"/>
  <c r="Z42" i="14"/>
  <c r="N42" i="14"/>
  <c r="R41" i="14"/>
  <c r="V40" i="14"/>
  <c r="Z39" i="14"/>
  <c r="N39" i="14"/>
  <c r="R38" i="14"/>
  <c r="V37" i="14"/>
  <c r="N36" i="14"/>
  <c r="Q38" i="14"/>
  <c r="O40" i="14"/>
  <c r="U43" i="14"/>
  <c r="Y42" i="14"/>
  <c r="Q41" i="14"/>
  <c r="U40" i="14"/>
  <c r="M39" i="14"/>
  <c r="Y36" i="14"/>
  <c r="W41" i="14"/>
  <c r="T43" i="14"/>
  <c r="X42" i="14"/>
  <c r="L42" i="14"/>
  <c r="P41" i="14"/>
  <c r="T40" i="14"/>
  <c r="X39" i="14"/>
  <c r="L39" i="14"/>
  <c r="P38" i="14"/>
  <c r="T37" i="14"/>
  <c r="X36" i="14"/>
  <c r="L36" i="14"/>
  <c r="O43" i="14"/>
  <c r="S39" i="14"/>
  <c r="O37" i="14"/>
  <c r="S36" i="14"/>
  <c r="S43" i="14"/>
  <c r="W42" i="14"/>
  <c r="AA41" i="14"/>
  <c r="O41" i="14"/>
  <c r="S40" i="14"/>
  <c r="W39" i="14"/>
  <c r="AA38" i="14"/>
  <c r="O38" i="14"/>
  <c r="S37" i="14"/>
  <c r="W36" i="14"/>
  <c r="R43" i="14"/>
  <c r="V42" i="14"/>
  <c r="Z41" i="14"/>
  <c r="N41" i="14"/>
  <c r="R40" i="14"/>
  <c r="V39" i="14"/>
  <c r="Z38" i="14"/>
  <c r="N38" i="14"/>
  <c r="R37" i="14"/>
  <c r="V36" i="14"/>
  <c r="AA37" i="14"/>
  <c r="Q43" i="14"/>
  <c r="U42" i="14"/>
  <c r="Y41" i="14"/>
  <c r="M41" i="14"/>
  <c r="Q40" i="14"/>
  <c r="U39" i="14"/>
  <c r="Y38" i="14"/>
  <c r="M38" i="14"/>
  <c r="Q37" i="14"/>
  <c r="U36" i="14"/>
  <c r="P43" i="14"/>
  <c r="T42" i="14"/>
  <c r="X41" i="14"/>
  <c r="L41" i="14"/>
  <c r="P40" i="14"/>
  <c r="X38" i="14"/>
  <c r="L38" i="14"/>
  <c r="P37" i="14"/>
  <c r="T36" i="14"/>
  <c r="S42" i="14"/>
  <c r="C54" i="14" l="1" a="1"/>
  <c r="C61" i="14" s="1"/>
  <c r="F61" i="14" s="1"/>
  <c r="M54" i="16"/>
  <c r="M53" i="16"/>
  <c r="P53" i="16" s="1"/>
  <c r="L61" i="14" l="1"/>
  <c r="K132" i="14"/>
  <c r="K144" i="14" s="1"/>
  <c r="K163" i="14" s="1"/>
  <c r="C54" i="14"/>
  <c r="F54" i="14" s="1"/>
  <c r="K125" i="14" s="1"/>
  <c r="C55" i="14"/>
  <c r="F55" i="14" s="1"/>
  <c r="C56" i="14"/>
  <c r="F56" i="14" s="1"/>
  <c r="C57" i="14"/>
  <c r="F57" i="14" s="1"/>
  <c r="C58" i="14"/>
  <c r="F58" i="14" s="1"/>
  <c r="C59" i="14"/>
  <c r="F59" i="14" s="1"/>
  <c r="C60" i="14"/>
  <c r="F60" i="14" s="1"/>
  <c r="K137" i="14" l="1"/>
  <c r="K156" i="14" s="1"/>
  <c r="L60" i="14"/>
  <c r="K131" i="14"/>
  <c r="K143" i="14" s="1"/>
  <c r="K162" i="14" s="1"/>
  <c r="L59" i="14"/>
  <c r="K130" i="14"/>
  <c r="K142" i="14" s="1"/>
  <c r="K161" i="14" s="1"/>
  <c r="L58" i="14"/>
  <c r="K129" i="14"/>
  <c r="K141" i="14" s="1"/>
  <c r="K160" i="14" s="1"/>
  <c r="L57" i="14"/>
  <c r="K128" i="14"/>
  <c r="K140" i="14" s="1"/>
  <c r="K159" i="14" s="1"/>
  <c r="L56" i="14"/>
  <c r="K127" i="14"/>
  <c r="K139" i="14" s="1"/>
  <c r="K158" i="14" s="1"/>
  <c r="L55" i="14"/>
  <c r="P126" i="14" s="1"/>
  <c r="P138" i="14" s="1"/>
  <c r="P157" i="14" s="1"/>
  <c r="K126" i="14"/>
  <c r="K138" i="14" s="1"/>
  <c r="K157" i="14" s="1"/>
  <c r="Q112" i="14"/>
  <c r="P132" i="14"/>
  <c r="P144" i="14" s="1"/>
  <c r="P163" i="14" s="1"/>
  <c r="L54" i="14"/>
  <c r="J67" i="22"/>
  <c r="J66" i="22"/>
  <c r="K63" i="22" s="1"/>
  <c r="J65" i="22"/>
  <c r="J64" i="22"/>
  <c r="K62" i="22" s="1"/>
  <c r="L61" i="22" s="1"/>
  <c r="M61" i="22" s="1"/>
  <c r="J63" i="22"/>
  <c r="J62" i="22"/>
  <c r="K61" i="22"/>
  <c r="J61" i="22"/>
  <c r="K64" i="22" s="1"/>
  <c r="J60" i="22"/>
  <c r="E43" i="22"/>
  <c r="B43" i="22"/>
  <c r="E42" i="22"/>
  <c r="B42" i="22"/>
  <c r="E41" i="22"/>
  <c r="B41" i="22"/>
  <c r="E40" i="22"/>
  <c r="E44" i="22" s="1"/>
  <c r="B40" i="22"/>
  <c r="B44" i="22" s="1"/>
  <c r="N37" i="22"/>
  <c r="N36" i="22"/>
  <c r="N35" i="22"/>
  <c r="N34" i="22"/>
  <c r="N33" i="22"/>
  <c r="N32" i="22"/>
  <c r="N31" i="22"/>
  <c r="N30" i="22"/>
  <c r="E30" i="22" a="1"/>
  <c r="E30" i="22" s="1"/>
  <c r="B30" i="22"/>
  <c r="B29" i="22"/>
  <c r="G25" i="22"/>
  <c r="F25" i="22"/>
  <c r="E25" i="22"/>
  <c r="D26" i="22" s="1"/>
  <c r="D25" i="22"/>
  <c r="C25" i="22"/>
  <c r="B25" i="22"/>
  <c r="H20" i="22"/>
  <c r="D20" i="22"/>
  <c r="F19" i="22"/>
  <c r="D19" i="22"/>
  <c r="D18" i="22"/>
  <c r="F17" i="22"/>
  <c r="D17" i="22"/>
  <c r="D16" i="22"/>
  <c r="B31" i="22" s="1"/>
  <c r="F15" i="22"/>
  <c r="D15" i="22"/>
  <c r="D14" i="22"/>
  <c r="F13" i="22"/>
  <c r="D13" i="22"/>
  <c r="F26" i="22" l="1"/>
  <c r="K65" i="22"/>
  <c r="K66" i="22"/>
  <c r="K67" i="22"/>
  <c r="L67" i="22" s="1"/>
  <c r="M67" i="22" s="1"/>
  <c r="B26" i="22"/>
  <c r="K60" i="22"/>
  <c r="L60" i="22" s="1"/>
  <c r="M60" i="22" s="1"/>
  <c r="E112" i="14"/>
  <c r="L62" i="22"/>
  <c r="M62" i="22" s="1"/>
  <c r="L164" i="14"/>
  <c r="K112" i="14"/>
  <c r="P129" i="14"/>
  <c r="P141" i="14" s="1"/>
  <c r="P160" i="14" s="1"/>
  <c r="C112" i="14"/>
  <c r="P125" i="14"/>
  <c r="I112" i="14"/>
  <c r="P128" i="14"/>
  <c r="P140" i="14" s="1"/>
  <c r="P159" i="14" s="1"/>
  <c r="M112" i="14"/>
  <c r="P130" i="14"/>
  <c r="P142" i="14" s="1"/>
  <c r="P161" i="14" s="1"/>
  <c r="G112" i="14"/>
  <c r="P127" i="14"/>
  <c r="P139" i="14" s="1"/>
  <c r="P158" i="14" s="1"/>
  <c r="L145" i="14"/>
  <c r="O112" i="14"/>
  <c r="P131" i="14"/>
  <c r="P143" i="14" s="1"/>
  <c r="P162" i="14" s="1"/>
  <c r="L133" i="14"/>
  <c r="Q30" i="22" a="1"/>
  <c r="Q30" i="22" s="1"/>
  <c r="L65" i="22"/>
  <c r="M65" i="22" s="1"/>
  <c r="L63" i="22"/>
  <c r="M63" i="22" s="1"/>
  <c r="L66" i="22"/>
  <c r="M66" i="22" s="1"/>
  <c r="F30" i="22"/>
  <c r="G30" i="22"/>
  <c r="H30" i="22"/>
  <c r="I30" i="22"/>
  <c r="J30" i="22"/>
  <c r="K30" i="22"/>
  <c r="L30" i="22"/>
  <c r="C103" i="2"/>
  <c r="C100" i="2"/>
  <c r="H107" i="2"/>
  <c r="B80" i="2"/>
  <c r="N37" i="1"/>
  <c r="M37" i="1"/>
  <c r="N36" i="1"/>
  <c r="M36" i="1"/>
  <c r="N35" i="1"/>
  <c r="B88" i="2"/>
  <c r="B86" i="2"/>
  <c r="B78" i="2"/>
  <c r="B70" i="2"/>
  <c r="B72" i="2"/>
  <c r="P19" i="3"/>
  <c r="N17" i="3"/>
  <c r="M17" i="3"/>
  <c r="M16" i="3"/>
  <c r="N16" i="3"/>
  <c r="O16" i="3"/>
  <c r="O17" i="3"/>
  <c r="P17" i="3"/>
  <c r="M18" i="3"/>
  <c r="N18" i="3"/>
  <c r="O18" i="3"/>
  <c r="P18" i="3"/>
  <c r="M19" i="3"/>
  <c r="N19" i="3"/>
  <c r="O19" i="3"/>
  <c r="M20" i="3"/>
  <c r="N20" i="3"/>
  <c r="O20" i="3"/>
  <c r="P20" i="3"/>
  <c r="M21" i="3"/>
  <c r="N21" i="3"/>
  <c r="O21" i="3"/>
  <c r="M22" i="3"/>
  <c r="N22" i="3"/>
  <c r="O22" i="3"/>
  <c r="P22" i="3"/>
  <c r="N15" i="3"/>
  <c r="O15" i="3"/>
  <c r="P15" i="3"/>
  <c r="K16" i="3"/>
  <c r="P16" i="3" s="1"/>
  <c r="K17" i="3"/>
  <c r="K18" i="3"/>
  <c r="K19" i="3"/>
  <c r="K20" i="3"/>
  <c r="K21" i="3"/>
  <c r="P21" i="3" s="1"/>
  <c r="K22" i="3"/>
  <c r="K15" i="3"/>
  <c r="I23" i="3"/>
  <c r="J23" i="3"/>
  <c r="L23" i="3"/>
  <c r="H23" i="3"/>
  <c r="P23" i="3" l="1"/>
  <c r="P25" i="3" s="1"/>
  <c r="O23" i="3"/>
  <c r="O25" i="3" s="1"/>
  <c r="M23" i="3"/>
  <c r="M25" i="3" s="1"/>
  <c r="N23" i="3"/>
  <c r="N25" i="3" s="1"/>
  <c r="L64" i="22"/>
  <c r="M64" i="22" s="1"/>
  <c r="P137" i="14"/>
  <c r="Q133" i="14"/>
  <c r="K23" i="3"/>
  <c r="Q145" i="14" l="1"/>
  <c r="P156" i="14"/>
  <c r="Q164" i="14" s="1"/>
  <c r="H39" i="1"/>
  <c r="H37" i="1"/>
  <c r="H35" i="1"/>
  <c r="H33" i="1"/>
  <c r="H35" i="2" l="1"/>
  <c r="D48" i="2"/>
  <c r="E44" i="2" s="1"/>
  <c r="D44" i="2"/>
  <c r="D46" i="2"/>
  <c r="D45" i="2"/>
  <c r="D47" i="2" l="1"/>
  <c r="B71" i="2"/>
  <c r="D49" i="2"/>
  <c r="E16" i="2"/>
  <c r="E17" i="2"/>
  <c r="E18" i="2"/>
  <c r="E19" i="2"/>
  <c r="E20" i="2"/>
  <c r="E21" i="2"/>
  <c r="E22" i="2"/>
  <c r="E15" i="2"/>
  <c r="B42" i="1" a="1"/>
  <c r="E42" i="1" s="1"/>
  <c r="E33" i="1"/>
  <c r="E18" i="1"/>
  <c r="E19" i="1"/>
  <c r="E20" i="1"/>
  <c r="E21" i="1"/>
  <c r="E24" i="1"/>
  <c r="E17" i="1"/>
  <c r="D20" i="1"/>
  <c r="D18" i="1"/>
  <c r="D19" i="1"/>
  <c r="D21" i="1"/>
  <c r="D22" i="1"/>
  <c r="D23" i="1"/>
  <c r="D24" i="1"/>
  <c r="D17" i="1"/>
  <c r="G13" i="1"/>
  <c r="G12" i="1"/>
  <c r="E13" i="1"/>
  <c r="E22" i="1" s="1"/>
  <c r="E12" i="1"/>
  <c r="E23" i="1" l="1"/>
  <c r="G44" i="2"/>
  <c r="F44" i="2"/>
  <c r="H44" i="1"/>
  <c r="D43" i="1"/>
  <c r="H43" i="1"/>
  <c r="C45" i="1"/>
  <c r="G43" i="1"/>
  <c r="F43" i="1"/>
  <c r="B43" i="1"/>
  <c r="D45" i="1"/>
  <c r="D42" i="1"/>
  <c r="C42" i="1"/>
  <c r="B45" i="1"/>
  <c r="B42" i="1"/>
  <c r="I44" i="1"/>
  <c r="E43" i="1"/>
  <c r="G44" i="1"/>
  <c r="C43" i="1"/>
  <c r="F44" i="1"/>
  <c r="I45" i="1"/>
  <c r="E44" i="1"/>
  <c r="I42" i="1"/>
  <c r="H45" i="1"/>
  <c r="D44" i="1"/>
  <c r="H42" i="1"/>
  <c r="G45" i="1"/>
  <c r="C44" i="1"/>
  <c r="G42" i="1"/>
  <c r="F45" i="1"/>
  <c r="B44" i="1"/>
  <c r="F42" i="1"/>
  <c r="E45" i="1"/>
  <c r="I43" i="1"/>
  <c r="N23" i="1"/>
  <c r="N20" i="1"/>
  <c r="O20" i="1"/>
  <c r="O23" i="1"/>
  <c r="B47" i="1" l="1" a="1"/>
  <c r="P36" i="1"/>
  <c r="S36" i="1" s="1"/>
  <c r="P37" i="1"/>
  <c r="S37" i="1" s="1"/>
  <c r="P35" i="1"/>
  <c r="S35" i="1" s="1"/>
  <c r="B47" i="1" l="1"/>
  <c r="E47" i="1" s="1"/>
  <c r="B48" i="1"/>
  <c r="E48" i="1" s="1"/>
  <c r="B50" i="1"/>
  <c r="E50" i="1" s="1"/>
  <c r="B49" i="1"/>
  <c r="E49" i="1" s="1"/>
  <c r="B29" i="1"/>
  <c r="B30" i="1" s="1"/>
  <c r="H50" i="1" l="1"/>
  <c r="J52" i="1" s="1"/>
  <c r="H49" i="1"/>
  <c r="G52" i="1" s="1"/>
  <c r="H48" i="1"/>
  <c r="D52" i="1" s="1"/>
  <c r="H47" i="1"/>
  <c r="B52" i="1" s="1"/>
  <c r="C57" i="1" l="1"/>
  <c r="D57" i="1" s="1"/>
  <c r="C56" i="1"/>
  <c r="D56" i="1" s="1"/>
  <c r="C58" i="1"/>
  <c r="D58" i="1" s="1"/>
  <c r="C62" i="1"/>
  <c r="D62" i="1" s="1"/>
  <c r="C63" i="1"/>
  <c r="D63" i="1" s="1"/>
  <c r="C61" i="1"/>
  <c r="D61" i="1" s="1"/>
  <c r="C60" i="1"/>
  <c r="D60" i="1" s="1"/>
  <c r="C59" i="1"/>
  <c r="D59" i="1" s="1"/>
  <c r="D65" i="1" l="1"/>
  <c r="D66" i="1" s="1"/>
  <c r="H68" i="1" l="1"/>
  <c r="H67" i="1"/>
  <c r="H66" i="1"/>
</calcChain>
</file>

<file path=xl/comments1.xml><?xml version="1.0" encoding="utf-8"?>
<comments xmlns="http://schemas.openxmlformats.org/spreadsheetml/2006/main">
  <authors>
    <author>Janette Kotianova</author>
    <author>Janette Kotianová</author>
    <author>kaia</author>
  </authors>
  <commentList>
    <comment ref="B12" authorId="0" shapeId="0">
      <text>
        <r>
          <rPr>
            <b/>
            <sz val="9"/>
            <color indexed="81"/>
            <rFont val="Tahoma"/>
            <family val="2"/>
            <charset val="238"/>
          </rPr>
          <t>DH</t>
        </r>
      </text>
    </comment>
    <comment ref="C12" authorId="0" shapeId="0">
      <text>
        <r>
          <rPr>
            <b/>
            <sz val="9"/>
            <color indexed="81"/>
            <rFont val="Tahoma"/>
            <family val="2"/>
            <charset val="238"/>
          </rPr>
          <t>HH</t>
        </r>
      </text>
    </comment>
    <comment ref="D12" authorId="0" shapeId="0">
      <text>
        <r>
          <rPr>
            <b/>
            <sz val="9"/>
            <color indexed="81"/>
            <rFont val="Tahoma"/>
            <family val="2"/>
            <charset val="238"/>
          </rPr>
          <t>stred intervalu</t>
        </r>
      </text>
    </comment>
    <comment ref="F12" authorId="0" shapeId="0">
      <text>
        <r>
          <rPr>
            <b/>
            <sz val="9"/>
            <color indexed="81"/>
            <rFont val="Tahoma"/>
            <family val="2"/>
            <charset val="238"/>
          </rPr>
          <t>variacne rozpatie intervalu</t>
        </r>
      </text>
    </comment>
    <comment ref="C16" authorId="0" shapeId="0">
      <text>
        <r>
          <rPr>
            <b/>
            <sz val="9"/>
            <color indexed="81"/>
            <rFont val="Tahoma"/>
            <family val="2"/>
            <charset val="238"/>
          </rPr>
          <t>suradnice bodov, v ktorych sme si naplanovali meranie</t>
        </r>
      </text>
    </comment>
    <comment ref="E16" authorId="0" shapeId="0">
      <text>
        <r>
          <rPr>
            <b/>
            <sz val="9"/>
            <color indexed="81"/>
            <rFont val="Tahoma"/>
            <family val="2"/>
            <charset val="238"/>
          </rPr>
          <t>Janette Kotianova: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2" authorId="0" shapeId="0">
      <text>
        <r>
          <rPr>
            <b/>
            <sz val="9"/>
            <color indexed="81"/>
            <rFont val="Tahoma"/>
            <family val="2"/>
            <charset val="238"/>
          </rPr>
          <t>piseme koeficienty pri bo</t>
        </r>
      </text>
    </comment>
    <comment ref="C32" authorId="0" shapeId="0">
      <text>
        <r>
          <rPr>
            <b/>
            <sz val="9"/>
            <color indexed="81"/>
            <rFont val="Tahoma"/>
            <family val="2"/>
            <charset val="238"/>
          </rPr>
          <t>piseme koeficienty pri b1</t>
        </r>
      </text>
    </comment>
    <comment ref="D32" authorId="0" shapeId="0">
      <text>
        <r>
          <rPr>
            <b/>
            <sz val="9"/>
            <color indexed="81"/>
            <rFont val="Tahoma"/>
            <family val="2"/>
            <charset val="238"/>
          </rPr>
          <t>piseme koeficienty pri b2</t>
        </r>
      </text>
    </comment>
    <comment ref="E32" authorId="0" shapeId="0">
      <text>
        <r>
          <rPr>
            <b/>
            <sz val="9"/>
            <color indexed="81"/>
            <rFont val="Tahoma"/>
            <family val="2"/>
            <charset val="238"/>
          </rPr>
          <t>piseme koeficienty pri b12</t>
        </r>
      </text>
    </comment>
    <comment ref="A33" authorId="0" shapeId="0">
      <text>
        <r>
          <rPr>
            <b/>
            <sz val="9"/>
            <color indexed="81"/>
            <rFont val="Tahoma"/>
            <family val="2"/>
            <charset val="238"/>
          </rPr>
          <t>matica planu experimentu - piseme podla transformovanej regresnej funkcie LT</t>
        </r>
      </text>
    </comment>
    <comment ref="F33" authorId="0" shapeId="0">
      <text>
        <r>
          <rPr>
            <b/>
            <sz val="9"/>
            <color indexed="81"/>
            <rFont val="Tahoma"/>
            <family val="2"/>
            <charset val="238"/>
          </rPr>
          <t>matica nameranych hodnot</t>
        </r>
      </text>
    </comment>
    <comment ref="A42" authorId="0" shapeId="0">
      <text>
        <r>
          <rPr>
            <b/>
            <sz val="9"/>
            <color indexed="81"/>
            <rFont val="Tahoma"/>
            <family val="2"/>
            <charset val="238"/>
          </rPr>
          <t>transponovana matica planu experimentu</t>
        </r>
      </text>
    </comment>
    <comment ref="C65" authorId="1" shapeId="0">
      <text>
        <r>
          <rPr>
            <b/>
            <sz val="9"/>
            <color indexed="81"/>
            <rFont val="Segoe UI"/>
            <family val="2"/>
            <charset val="238"/>
          </rPr>
          <t>SSE</t>
        </r>
      </text>
    </comment>
    <comment ref="H66" authorId="2" shapeId="0">
      <text>
        <r>
          <rPr>
            <sz val="8"/>
            <color indexed="81"/>
            <rFont val="Tahoma"/>
            <family val="2"/>
            <charset val="238"/>
          </rPr>
          <t>hodnota (realizacia) testovacej statistiky</t>
        </r>
      </text>
    </comment>
  </commentList>
</comments>
</file>

<file path=xl/comments10.xml><?xml version="1.0" encoding="utf-8"?>
<comments xmlns="http://schemas.openxmlformats.org/spreadsheetml/2006/main">
  <authors>
    <author>Janette Kotianová</author>
  </authors>
  <commentList>
    <comment ref="F115" authorId="0" shapeId="0">
      <text>
        <r>
          <rPr>
            <b/>
            <sz val="9"/>
            <color indexed="81"/>
            <rFont val="Segoe UI"/>
            <family val="2"/>
            <charset val="238"/>
          </rPr>
          <t>podla teorie hodnota upraveneho indexu determinacie po vyluceni statisticky nevyznamnych clenov z regresneho modelu mala narast - nam klesla, ale zmena je nevyrazna</t>
        </r>
      </text>
    </comment>
    <comment ref="B124" authorId="0" shapeId="0">
      <text>
        <r>
          <rPr>
            <b/>
            <sz val="9"/>
            <color indexed="81"/>
            <rFont val="Segoe UI"/>
            <family val="2"/>
            <charset val="238"/>
          </rPr>
          <t>nepouzijeme</t>
        </r>
      </text>
    </comment>
  </commentList>
</comments>
</file>

<file path=xl/comments11.xml><?xml version="1.0" encoding="utf-8"?>
<comments xmlns="http://schemas.openxmlformats.org/spreadsheetml/2006/main">
  <authors>
    <author>Janette Kotianova</author>
  </authors>
  <commentList>
    <comment ref="A12" authorId="0" shapeId="0">
      <text>
        <r>
          <rPr>
            <b/>
            <sz val="9"/>
            <color indexed="81"/>
            <rFont val="Tahoma"/>
            <family val="2"/>
            <charset val="238"/>
          </rPr>
          <t>2^5=32 runs</t>
        </r>
      </text>
    </comment>
    <comment ref="N12" authorId="0" shapeId="0">
      <text>
        <r>
          <rPr>
            <b/>
            <sz val="9"/>
            <color indexed="81"/>
            <rFont val="Tahoma"/>
            <family val="2"/>
            <charset val="238"/>
          </rPr>
          <t>vedlajsi faktor (podla optimalnej volby generatorov)</t>
        </r>
      </text>
    </comment>
  </commentList>
</comments>
</file>

<file path=xl/comments2.xml><?xml version="1.0" encoding="utf-8"?>
<comments xmlns="http://schemas.openxmlformats.org/spreadsheetml/2006/main">
  <authors>
    <author>Janette Kotianova</author>
  </authors>
  <commentList>
    <comment ref="H13" authorId="0" shapeId="0">
      <text>
        <r>
          <rPr>
            <b/>
            <sz val="9"/>
            <color indexed="81"/>
            <rFont val="Tahoma"/>
            <family val="2"/>
            <charset val="238"/>
          </rPr>
          <t>piseme koeficienty pri bo</t>
        </r>
      </text>
    </comment>
    <comment ref="I13" authorId="0" shapeId="0">
      <text>
        <r>
          <rPr>
            <b/>
            <sz val="9"/>
            <color indexed="81"/>
            <rFont val="Tahoma"/>
            <family val="2"/>
            <charset val="238"/>
          </rPr>
          <t>piseme koeficienty pri b1</t>
        </r>
      </text>
    </comment>
    <comment ref="J13" authorId="0" shapeId="0">
      <text>
        <r>
          <rPr>
            <b/>
            <sz val="9"/>
            <color indexed="81"/>
            <rFont val="Tahoma"/>
            <family val="2"/>
            <charset val="238"/>
          </rPr>
          <t>piseme koeficienty pri b2</t>
        </r>
      </text>
    </comment>
    <comment ref="K13" authorId="0" shapeId="0">
      <text>
        <r>
          <rPr>
            <b/>
            <sz val="9"/>
            <color indexed="81"/>
            <rFont val="Tahoma"/>
            <family val="2"/>
            <charset val="238"/>
          </rPr>
          <t>piseme koeficienty pri b12</t>
        </r>
      </text>
    </comment>
  </commentList>
</comments>
</file>

<file path=xl/comments3.xml><?xml version="1.0" encoding="utf-8"?>
<comments xmlns="http://schemas.openxmlformats.org/spreadsheetml/2006/main">
  <authors>
    <author>Janette Kotianova</author>
    <author>Janette Kotianová</author>
  </authors>
  <commentList>
    <comment ref="F11" authorId="0" shapeId="0">
      <text>
        <r>
          <rPr>
            <b/>
            <sz val="9"/>
            <color indexed="81"/>
            <rFont val="Tahoma"/>
            <family val="2"/>
            <charset val="238"/>
          </rPr>
          <t>priemerna hodnota Y v kazdom bode</t>
        </r>
      </text>
    </comment>
    <comment ref="G20" authorId="0" shapeId="0">
      <text>
        <r>
          <rPr>
            <b/>
            <sz val="9"/>
            <color indexed="81"/>
            <rFont val="Tahoma"/>
            <family val="2"/>
            <charset val="238"/>
          </rPr>
          <t>priemerna hodnota Y</t>
        </r>
      </text>
    </comment>
    <comment ref="B25" authorId="0" shapeId="0">
      <text>
        <r>
          <rPr>
            <b/>
            <sz val="9"/>
            <color indexed="81"/>
            <rFont val="Tahoma"/>
            <family val="2"/>
            <charset val="238"/>
          </rPr>
          <t>priemer Y na dolnej urovni faktora A</t>
        </r>
      </text>
    </comment>
    <comment ref="C25" authorId="0" shapeId="0">
      <text>
        <r>
          <rPr>
            <b/>
            <sz val="9"/>
            <color indexed="81"/>
            <rFont val="Tahoma"/>
            <family val="2"/>
            <charset val="238"/>
          </rPr>
          <t>priemer Y na hornej urovni faktora A</t>
        </r>
      </text>
    </comment>
    <comment ref="B26" authorId="0" shapeId="0">
      <text>
        <r>
          <rPr>
            <b/>
            <sz val="9"/>
            <color indexed="81"/>
            <rFont val="Tahoma"/>
            <family val="2"/>
            <charset val="238"/>
          </rPr>
          <t>rozdiel priemerov na urovni 1 a urovni -1</t>
        </r>
      </text>
    </comment>
    <comment ref="B29" authorId="1" shapeId="0">
      <text>
        <r>
          <rPr>
            <b/>
            <sz val="8"/>
            <color indexed="81"/>
            <rFont val="Segoe UI"/>
            <family val="2"/>
            <charset val="238"/>
          </rPr>
          <t>=SUMPRODUCT(t1;Y)/(n/2)</t>
        </r>
      </text>
    </comment>
  </commentList>
</comments>
</file>

<file path=xl/comments4.xml><?xml version="1.0" encoding="utf-8"?>
<comments xmlns="http://schemas.openxmlformats.org/spreadsheetml/2006/main">
  <authors>
    <author>Janette Kotianova</author>
  </authors>
  <commentList>
    <comment ref="A9" authorId="0" shapeId="0">
      <text>
        <r>
          <rPr>
            <b/>
            <sz val="9"/>
            <color indexed="81"/>
            <rFont val="Tahoma"/>
            <family val="2"/>
            <charset val="238"/>
          </rPr>
          <t>odozvova tabulka pochadza z General Electric davno pred tym, nez sa pri vyhodnocovani experimentu zacali pocuzivat pocitace</t>
        </r>
      </text>
    </comment>
  </commentList>
</comments>
</file>

<file path=xl/comments5.xml><?xml version="1.0" encoding="utf-8"?>
<comments xmlns="http://schemas.openxmlformats.org/spreadsheetml/2006/main">
  <authors>
    <author>Janette Kotianová</author>
  </authors>
  <commentList>
    <comment ref="A77" authorId="0" shapeId="0">
      <text>
        <r>
          <rPr>
            <b/>
            <sz val="8"/>
            <color indexed="81"/>
            <rFont val="Segoe UI"/>
            <family val="2"/>
            <charset val="238"/>
          </rPr>
          <t>efekty usporiadane vzostupne</t>
        </r>
      </text>
    </comment>
    <comment ref="A78" authorId="0" shapeId="0">
      <text>
        <r>
          <rPr>
            <b/>
            <sz val="8"/>
            <color indexed="81"/>
            <rFont val="Segoe UI"/>
            <family val="2"/>
            <charset val="238"/>
          </rPr>
          <t>Pi=100(i-0,5)/m, kde i=1,2,.. m
m je pocet faktorov a interakcii</t>
        </r>
      </text>
    </comment>
    <comment ref="A149" authorId="0" shapeId="0">
      <text>
        <r>
          <rPr>
            <b/>
            <sz val="9"/>
            <color indexed="81"/>
            <rFont val="Segoe UI"/>
            <family val="2"/>
            <charset val="238"/>
          </rPr>
          <t>bodovy odhad transformovanej regresnej funkcie linearneho typu</t>
        </r>
      </text>
    </comment>
  </commentList>
</comments>
</file>

<file path=xl/comments6.xml><?xml version="1.0" encoding="utf-8"?>
<comments xmlns="http://schemas.openxmlformats.org/spreadsheetml/2006/main">
  <authors>
    <author>Janette Kotianova</author>
    <author>Janette Kotianová</author>
  </authors>
  <commentList>
    <comment ref="F11" authorId="0" shapeId="0">
      <text>
        <r>
          <rPr>
            <b/>
            <sz val="9"/>
            <color indexed="81"/>
            <rFont val="Tahoma"/>
            <family val="2"/>
            <charset val="238"/>
          </rPr>
          <t>Y je matica nameranych hodnôt odoziev - z Cplotu</t>
        </r>
      </text>
    </comment>
    <comment ref="I36" authorId="1" shapeId="0">
      <text>
        <r>
          <rPr>
            <b/>
            <sz val="9"/>
            <color indexed="81"/>
            <rFont val="Segoe UI"/>
            <family val="2"/>
            <charset val="238"/>
          </rPr>
          <t>transformovana matica planu experimentu</t>
        </r>
      </text>
    </comment>
    <comment ref="K36" authorId="1" shapeId="0">
      <text>
        <r>
          <rPr>
            <b/>
            <sz val="9"/>
            <color indexed="81"/>
            <rFont val="Segoe UI"/>
            <family val="2"/>
            <charset val="238"/>
          </rPr>
          <t>transponovana matica k transformovanej matici planu experimentu</t>
        </r>
      </text>
    </comment>
    <comment ref="H54" authorId="1" shapeId="0">
      <text>
        <r>
          <rPr>
            <b/>
            <sz val="9"/>
            <color indexed="81"/>
            <rFont val="Segoe UI"/>
            <family val="2"/>
            <charset val="238"/>
          </rPr>
          <t>v dalsom harku vypocitane</t>
        </r>
      </text>
    </comment>
    <comment ref="I67" authorId="1" shapeId="0">
      <text>
        <r>
          <rPr>
            <b/>
            <sz val="9"/>
            <color indexed="81"/>
            <rFont val="Segoe UI"/>
            <family val="2"/>
            <charset val="238"/>
          </rPr>
          <t>odozva</t>
        </r>
      </text>
    </comment>
    <comment ref="B110" authorId="1" shapeId="0">
      <text>
        <r>
          <rPr>
            <b/>
            <sz val="9"/>
            <color indexed="81"/>
            <rFont val="Segoe UI"/>
            <family val="2"/>
            <charset val="238"/>
          </rPr>
          <t>bodovy odhad transformovanej regresnej funkcie linearneho typu</t>
        </r>
      </text>
    </comment>
    <comment ref="B112" authorId="1" shapeId="0">
      <text>
        <r>
          <rPr>
            <b/>
            <sz val="9"/>
            <color indexed="81"/>
            <rFont val="Segoe UI"/>
            <family val="2"/>
            <charset val="238"/>
          </rPr>
          <t>bodovy odhad regresnej funkcie linearneho typu (je vyjadrena v povodnych, nie v kodovanych jednotkach)</t>
        </r>
      </text>
    </comment>
    <comment ref="Q126" authorId="1" shapeId="0">
      <text>
        <r>
          <rPr>
            <b/>
            <sz val="9"/>
            <color indexed="81"/>
            <rFont val="Segoe UI"/>
            <family val="2"/>
            <charset val="238"/>
          </rPr>
          <t>Janette Kotianová:</t>
        </r>
        <r>
          <rPr>
            <sz val="9"/>
            <color indexed="81"/>
            <rFont val="Segoe UI"/>
            <family val="2"/>
            <charset val="238"/>
          </rPr>
          <t xml:space="preserve">
kvalitatívnu premennú (prací prášok A1) dosadíme do regresnej rovnice v kódovaných hodnotách, kvantitatívne premenné v pôvodných jednotkách</t>
        </r>
      </text>
    </comment>
    <comment ref="Q138" authorId="1" shapeId="0">
      <text>
        <r>
          <rPr>
            <b/>
            <sz val="9"/>
            <color indexed="81"/>
            <rFont val="Segoe UI"/>
            <family val="2"/>
            <charset val="238"/>
          </rPr>
          <t>Janette Kotianová:</t>
        </r>
        <r>
          <rPr>
            <sz val="9"/>
            <color indexed="81"/>
            <rFont val="Segoe UI"/>
            <family val="2"/>
            <charset val="238"/>
          </rPr>
          <t xml:space="preserve">
kvalitatívnu premennú (prací prášok A1) dosadíme do regresnej rovnice v kódovaných hodnotách, kvantitatívne premenné v pôvodných jednotkách</t>
        </r>
      </text>
    </comment>
    <comment ref="Q157" authorId="1" shapeId="0">
      <text>
        <r>
          <rPr>
            <b/>
            <sz val="9"/>
            <color indexed="81"/>
            <rFont val="Segoe UI"/>
            <family val="2"/>
            <charset val="238"/>
          </rPr>
          <t>Janette Kotianová:</t>
        </r>
        <r>
          <rPr>
            <sz val="9"/>
            <color indexed="81"/>
            <rFont val="Segoe UI"/>
            <family val="2"/>
            <charset val="238"/>
          </rPr>
          <t xml:space="preserve">
kvalitatívnu premennú (prací prášok A1) dosadíme do regresnej rovnice v kódovaných hodnotách, kvantitatívne premenné v pôvodných jednotkách</t>
        </r>
      </text>
    </comment>
  </commentList>
</comments>
</file>

<file path=xl/comments7.xml><?xml version="1.0" encoding="utf-8"?>
<comments xmlns="http://schemas.openxmlformats.org/spreadsheetml/2006/main">
  <authors>
    <author>Janette Kotianová</author>
    <author>Janette Kotianova</author>
  </authors>
  <commentList>
    <comment ref="B21" authorId="0" shapeId="0">
      <text>
        <r>
          <rPr>
            <b/>
            <sz val="9"/>
            <color indexed="81"/>
            <rFont val="Segoe UI"/>
            <family val="2"/>
            <charset val="238"/>
          </rPr>
          <t>pri replikaciach vo faktorialnych bodoch bude v menovateli pure error</t>
        </r>
      </text>
    </comment>
    <comment ref="A23" authorId="1" shapeId="0">
      <text>
        <r>
          <rPr>
            <b/>
            <sz val="9"/>
            <color indexed="81"/>
            <rFont val="Tahoma"/>
            <family val="2"/>
            <charset val="238"/>
          </rPr>
          <t>sucet stvorcov odchylok kvadratickeho zakrivenia</t>
        </r>
      </text>
    </comment>
    <comment ref="F37" authorId="0" shapeId="0">
      <text>
        <r>
          <rPr>
            <b/>
            <sz val="9"/>
            <color indexed="81"/>
            <rFont val="Segoe UI"/>
            <family val="2"/>
            <charset val="238"/>
          </rPr>
          <t>mame 2 replikacie v kazdom faktorialnom bode</t>
        </r>
      </text>
    </comment>
    <comment ref="B45" authorId="0" shapeId="0">
      <text>
        <r>
          <rPr>
            <b/>
            <sz val="9"/>
            <color indexed="81"/>
            <rFont val="Segoe UI"/>
            <family val="2"/>
            <charset val="238"/>
          </rPr>
          <t>pri replikaciach vo faktorialnych bodoch bude v menovateli pure error</t>
        </r>
      </text>
    </comment>
    <comment ref="A47" authorId="1" shapeId="0">
      <text>
        <r>
          <rPr>
            <b/>
            <sz val="9"/>
            <color indexed="81"/>
            <rFont val="Tahoma"/>
            <family val="2"/>
            <charset val="238"/>
          </rPr>
          <t>sucet stvorcov odchylok kvadratickeho zakrivenia</t>
        </r>
      </text>
    </comment>
  </commentList>
</comments>
</file>

<file path=xl/comments8.xml><?xml version="1.0" encoding="utf-8"?>
<comments xmlns="http://schemas.openxmlformats.org/spreadsheetml/2006/main">
  <authors>
    <author>Janette Kotianova</author>
  </authors>
  <commentList>
    <comment ref="I53" authorId="0" shapeId="0">
      <text>
        <r>
          <rPr>
            <b/>
            <sz val="9"/>
            <color indexed="81"/>
            <rFont val="Tahoma"/>
            <family val="2"/>
            <charset val="238"/>
          </rPr>
          <t>stacionarny bod</t>
        </r>
      </text>
    </comment>
    <comment ref="L53" authorId="0" shapeId="0">
      <text>
        <r>
          <rPr>
            <b/>
            <sz val="9"/>
            <color indexed="81"/>
            <rFont val="Tahoma"/>
            <family val="2"/>
            <charset val="238"/>
          </rPr>
          <t>kodovane hodnoty stacionarneho bodu, tj. t1 a t2 bodu T</t>
        </r>
      </text>
    </comment>
  </commentList>
</comments>
</file>

<file path=xl/comments9.xml><?xml version="1.0" encoding="utf-8"?>
<comments xmlns="http://schemas.openxmlformats.org/spreadsheetml/2006/main">
  <authors>
    <author>Janette Kotianová</author>
    <author>Janette Kotianova</author>
  </authors>
  <commentList>
    <comment ref="L30" authorId="0" shapeId="0">
      <text>
        <r>
          <rPr>
            <b/>
            <sz val="9"/>
            <color indexed="81"/>
            <rFont val="Segoe UI"/>
            <family val="2"/>
            <charset val="238"/>
          </rPr>
          <t>Janette Kotianová:</t>
        </r>
        <r>
          <rPr>
            <sz val="9"/>
            <color indexed="81"/>
            <rFont val="Segoe UI"/>
            <family val="2"/>
            <charset val="238"/>
          </rPr>
          <t xml:space="preserve">
počet meraní v CP - 1</t>
        </r>
      </text>
    </comment>
    <comment ref="N33" authorId="1" shapeId="0">
      <text>
        <r>
          <rPr>
            <b/>
            <sz val="9"/>
            <color indexed="81"/>
            <rFont val="Tahoma"/>
            <family val="2"/>
            <charset val="238"/>
          </rPr>
          <t>H0: model je dostatocny
H1: model nie je dostatocny</t>
        </r>
      </text>
    </comment>
  </commentList>
</comments>
</file>

<file path=xl/sharedStrings.xml><?xml version="1.0" encoding="utf-8"?>
<sst xmlns="http://schemas.openxmlformats.org/spreadsheetml/2006/main" count="1710" uniqueCount="800">
  <si>
    <t>Pr.</t>
  </si>
  <si>
    <t>Sleduje sa, koľko "stlačení" (Y) vydrží pružina až do zničenia v závislosti od týchto faktorov:</t>
  </si>
  <si>
    <r>
      <t>Zostavte plán experimentu 2</t>
    </r>
    <r>
      <rPr>
        <vertAlign val="super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 xml:space="preserve">. </t>
    </r>
  </si>
  <si>
    <t>Nájdite metódou najmenších štvorcov odhad transformovanej regresnej funkcie lineárneho typu.</t>
  </si>
  <si>
    <t xml:space="preserve">Na hladine významnosti  alfa  = </t>
  </si>
  <si>
    <t xml:space="preserve">vyhodnoťte experiment. </t>
  </si>
  <si>
    <t>I</t>
  </si>
  <si>
    <t>II</t>
  </si>
  <si>
    <t>III</t>
  </si>
  <si>
    <t>IV</t>
  </si>
  <si>
    <r>
      <t>x</t>
    </r>
    <r>
      <rPr>
        <vertAlign val="subscript"/>
        <sz val="11"/>
        <color theme="1"/>
        <rFont val="Calibri"/>
        <family val="2"/>
        <charset val="238"/>
        <scheme val="minor"/>
      </rPr>
      <t>1</t>
    </r>
  </si>
  <si>
    <r>
      <t>x</t>
    </r>
    <r>
      <rPr>
        <vertAlign val="subscript"/>
        <sz val="11"/>
        <color theme="1"/>
        <rFont val="Calibri"/>
        <family val="2"/>
        <charset val="238"/>
        <scheme val="minor"/>
      </rPr>
      <t>2</t>
    </r>
  </si>
  <si>
    <r>
      <t>y</t>
    </r>
    <r>
      <rPr>
        <vertAlign val="subscript"/>
        <sz val="11"/>
        <color theme="1"/>
        <rFont val="Calibri"/>
        <family val="2"/>
        <charset val="238"/>
        <scheme val="minor"/>
      </rPr>
      <t>i</t>
    </r>
  </si>
  <si>
    <t>t1</t>
  </si>
  <si>
    <t>t2</t>
  </si>
  <si>
    <t>X=</t>
  </si>
  <si>
    <t>α=0,05</t>
  </si>
  <si>
    <t>H0:b1=0&gt;&lt;H1:b1≠0</t>
  </si>
  <si>
    <t>test. stat.b1=</t>
  </si>
  <si>
    <t>p (b1)=</t>
  </si>
  <si>
    <t>H0:b2=0&gt;&lt;H1:b2≠0</t>
  </si>
  <si>
    <t>Samostatny vplyv faktora t2 na hodnotu transformovanej regresnej funkcie je statisticky vyznamny, t.j. nemozno ho zanedbat.</t>
  </si>
  <si>
    <t>test. stat.b2=</t>
  </si>
  <si>
    <t>(hrubka drotu z ktoreho je pruzina vyrobena je dolezity faktor pre zivotnost pruziny)</t>
  </si>
  <si>
    <t>p (b2)=</t>
  </si>
  <si>
    <t>H0:b12=0&gt;&lt;H1:b12≠0</t>
  </si>
  <si>
    <t>test. stat.b12=</t>
  </si>
  <si>
    <t>Spolocne posobenie faktorov t1 a t2 na hodnotu transformovanej regresnej funkcie lin typu nie je statisticky vyznamne, t.j. mozno ho zanedbat.</t>
  </si>
  <si>
    <t>p (b12)=</t>
  </si>
  <si>
    <t>(vzajomne posobenie dlzky a hrubky drotu pruziny nie je dolezity faktor ovplyvnujuci zivotnost pruziny)</t>
  </si>
  <si>
    <t>m=</t>
  </si>
  <si>
    <t>2^k=</t>
  </si>
  <si>
    <t>m.2^k=</t>
  </si>
  <si>
    <t>Namerané hodnoty v plánovaných bodoch sú:</t>
  </si>
  <si>
    <t>Urobili sme po 2 merania v každom naplánovanom bode.</t>
  </si>
  <si>
    <r>
      <t>t</t>
    </r>
    <r>
      <rPr>
        <vertAlign val="subscript"/>
        <sz val="11"/>
        <color theme="1"/>
        <rFont val="Calibri"/>
        <family val="2"/>
        <charset val="238"/>
        <scheme val="minor"/>
      </rPr>
      <t>1</t>
    </r>
  </si>
  <si>
    <r>
      <t>t</t>
    </r>
    <r>
      <rPr>
        <vertAlign val="subscript"/>
        <sz val="11"/>
        <color theme="1"/>
        <rFont val="Calibri"/>
        <family val="2"/>
        <charset val="238"/>
        <scheme val="minor"/>
      </rPr>
      <t>2</t>
    </r>
  </si>
  <si>
    <r>
      <t>b</t>
    </r>
    <r>
      <rPr>
        <vertAlign val="subscript"/>
        <sz val="11"/>
        <color theme="1"/>
        <rFont val="Calibri"/>
        <family val="2"/>
        <charset val="238"/>
        <scheme val="minor"/>
      </rPr>
      <t>0</t>
    </r>
  </si>
  <si>
    <r>
      <t>b</t>
    </r>
    <r>
      <rPr>
        <vertAlign val="subscript"/>
        <sz val="11"/>
        <color theme="1"/>
        <rFont val="Calibri"/>
        <family val="2"/>
        <charset val="238"/>
        <scheme val="minor"/>
      </rPr>
      <t>1</t>
    </r>
  </si>
  <si>
    <r>
      <t>b</t>
    </r>
    <r>
      <rPr>
        <vertAlign val="subscript"/>
        <sz val="11"/>
        <color theme="1"/>
        <rFont val="Calibri"/>
        <family val="2"/>
        <charset val="238"/>
        <scheme val="minor"/>
      </rPr>
      <t>12</t>
    </r>
  </si>
  <si>
    <t>Y=</t>
  </si>
  <si>
    <t>x1</t>
  </si>
  <si>
    <r>
      <t>x</t>
    </r>
    <r>
      <rPr>
        <vertAlign val="subscript"/>
        <sz val="11"/>
        <color theme="1"/>
        <rFont val="Calibri"/>
        <family val="2"/>
        <charset val="238"/>
        <scheme val="minor"/>
      </rPr>
      <t>1</t>
    </r>
    <r>
      <rPr>
        <sz val="11"/>
        <color theme="1"/>
        <rFont val="Calibri"/>
        <family val="2"/>
        <charset val="238"/>
        <scheme val="minor"/>
      </rPr>
      <t>:</t>
    </r>
  </si>
  <si>
    <r>
      <t>x</t>
    </r>
    <r>
      <rPr>
        <vertAlign val="sub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>:</t>
    </r>
  </si>
  <si>
    <t>x2</t>
  </si>
  <si>
    <t>stred=</t>
  </si>
  <si>
    <t>lambda=</t>
  </si>
  <si>
    <t>linearna transformacia:</t>
  </si>
  <si>
    <r>
      <t>b</t>
    </r>
    <r>
      <rPr>
        <vertAlign val="sub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/>
    </r>
  </si>
  <si>
    <t>MNS odhadneme koeficienty transformovanej regresnej funkcie linearneho typu</t>
  </si>
  <si>
    <t>XT=</t>
  </si>
  <si>
    <t>b0+b1*(-1)+b2*(-1)+b12*(-1)*(-1)</t>
  </si>
  <si>
    <t>b0+b1*(-1)+b2*(1)+b12*(-1)*(1)</t>
  </si>
  <si>
    <t>b0+b1*(1)+b2*(-1)+b12*(1)*(-1)</t>
  </si>
  <si>
    <t>b0+b1*(1)+b2*(1)+b12*(1)*(1)</t>
  </si>
  <si>
    <t>I: y1 = f(-1,-1)=</t>
  </si>
  <si>
    <t>II:  y2 = f(-1,1)=</t>
  </si>
  <si>
    <t>III:  y3 = f(1,-1)=</t>
  </si>
  <si>
    <t>IV:   y4 = f(1,1)=</t>
  </si>
  <si>
    <t>XT*Y=</t>
  </si>
  <si>
    <t>b=</t>
  </si>
  <si>
    <r>
      <t>b</t>
    </r>
    <r>
      <rPr>
        <vertAlign val="subscript"/>
        <sz val="11"/>
        <color rgb="FFC00000"/>
        <rFont val="Calibri"/>
        <family val="2"/>
        <charset val="238"/>
        <scheme val="minor"/>
      </rPr>
      <t>0</t>
    </r>
    <r>
      <rPr>
        <sz val="11"/>
        <color rgb="FFC00000"/>
        <rFont val="Calibri"/>
        <family val="2"/>
        <charset val="238"/>
        <scheme val="minor"/>
      </rPr>
      <t>=</t>
    </r>
  </si>
  <si>
    <r>
      <t>b</t>
    </r>
    <r>
      <rPr>
        <vertAlign val="subscript"/>
        <sz val="11"/>
        <color rgb="FFC00000"/>
        <rFont val="Calibri"/>
        <family val="2"/>
        <charset val="238"/>
        <scheme val="minor"/>
      </rPr>
      <t>1</t>
    </r>
    <r>
      <rPr>
        <sz val="11"/>
        <color rgb="FFC00000"/>
        <rFont val="Calibri"/>
        <family val="2"/>
        <charset val="238"/>
        <scheme val="minor"/>
      </rPr>
      <t>=</t>
    </r>
  </si>
  <si>
    <r>
      <t>b</t>
    </r>
    <r>
      <rPr>
        <vertAlign val="subscript"/>
        <sz val="11"/>
        <color rgb="FFC00000"/>
        <rFont val="Calibri"/>
        <family val="2"/>
        <charset val="238"/>
        <scheme val="minor"/>
      </rPr>
      <t>2</t>
    </r>
    <r>
      <rPr>
        <sz val="11"/>
        <color rgb="FFC00000"/>
        <rFont val="Calibri"/>
        <family val="2"/>
        <charset val="238"/>
        <scheme val="minor"/>
      </rPr>
      <t>=</t>
    </r>
  </si>
  <si>
    <r>
      <t>b</t>
    </r>
    <r>
      <rPr>
        <vertAlign val="subscript"/>
        <sz val="11"/>
        <color rgb="FFC00000"/>
        <rFont val="Calibri"/>
        <family val="2"/>
        <charset val="238"/>
        <scheme val="minor"/>
      </rPr>
      <t>12</t>
    </r>
    <r>
      <rPr>
        <sz val="11"/>
        <color rgb="FFC00000"/>
        <rFont val="Calibri"/>
        <family val="2"/>
        <charset val="238"/>
        <scheme val="minor"/>
      </rPr>
      <t>=</t>
    </r>
  </si>
  <si>
    <t>*t1</t>
  </si>
  <si>
    <t xml:space="preserve"> + </t>
  </si>
  <si>
    <t>+</t>
  </si>
  <si>
    <t>*t2</t>
  </si>
  <si>
    <t>*t1*t2</t>
  </si>
  <si>
    <t>ft(t1,t2)=</t>
  </si>
  <si>
    <t>odhad transformovanej regresnej funkcie linearneho typu</t>
  </si>
  <si>
    <r>
      <t>x</t>
    </r>
    <r>
      <rPr>
        <vertAlign val="subscript"/>
        <sz val="11"/>
        <color theme="1"/>
        <rFont val="Calibri"/>
        <family val="2"/>
        <charset val="238"/>
        <scheme val="minor"/>
      </rPr>
      <t>1</t>
    </r>
    <r>
      <rPr>
        <sz val="11"/>
        <color theme="1"/>
        <rFont val="Calibri"/>
        <family val="2"/>
        <charset val="238"/>
        <scheme val="minor"/>
      </rPr>
      <t xml:space="preserve"> - dĺžka pružiny, (od 10 cm do 15 cm), x</t>
    </r>
    <r>
      <rPr>
        <vertAlign val="subscript"/>
        <sz val="11"/>
        <color theme="1"/>
        <rFont val="Calibri"/>
        <family val="2"/>
        <charset val="238"/>
        <scheme val="minor"/>
      </rPr>
      <t xml:space="preserve">2 </t>
    </r>
    <r>
      <rPr>
        <sz val="11"/>
        <color theme="1"/>
        <rFont val="Calibri"/>
        <family val="2"/>
        <charset val="238"/>
        <scheme val="minor"/>
      </rPr>
      <t xml:space="preserve">- hrúbka drôtu (od 5 mm do 7 mm). </t>
    </r>
  </si>
  <si>
    <t>Vypocet pomocou analyzy dat:</t>
  </si>
  <si>
    <r>
      <t>t</t>
    </r>
    <r>
      <rPr>
        <vertAlign val="subscript"/>
        <sz val="11"/>
        <color theme="1"/>
        <rFont val="Calibri"/>
        <family val="2"/>
        <charset val="238"/>
        <scheme val="minor"/>
      </rPr>
      <t>1</t>
    </r>
    <r>
      <rPr>
        <sz val="11"/>
        <color theme="1"/>
        <rFont val="Calibri"/>
        <family val="2"/>
        <charset val="238"/>
        <scheme val="minor"/>
      </rPr>
      <t>*t</t>
    </r>
    <r>
      <rPr>
        <vertAlign val="subscript"/>
        <sz val="11"/>
        <color theme="1"/>
        <rFont val="Calibri"/>
        <family val="2"/>
        <charset val="238"/>
        <scheme val="minor"/>
      </rPr>
      <t>2</t>
    </r>
  </si>
  <si>
    <t>I:</t>
  </si>
  <si>
    <t>II:</t>
  </si>
  <si>
    <t>III:</t>
  </si>
  <si>
    <t>IV:</t>
  </si>
  <si>
    <t>R0^2=</t>
  </si>
  <si>
    <t>R0=</t>
  </si>
  <si>
    <r>
      <t>y</t>
    </r>
    <r>
      <rPr>
        <vertAlign val="subscript"/>
        <sz val="11"/>
        <color theme="1"/>
        <rFont val="Calibri"/>
        <family val="2"/>
        <charset val="238"/>
        <scheme val="minor"/>
      </rPr>
      <t>nam.</t>
    </r>
  </si>
  <si>
    <r>
      <t>y</t>
    </r>
    <r>
      <rPr>
        <vertAlign val="subscript"/>
        <sz val="11"/>
        <color theme="1"/>
        <rFont val="Calibri"/>
        <family val="2"/>
        <charset val="238"/>
        <scheme val="minor"/>
      </rPr>
      <t>model.</t>
    </r>
  </si>
  <si>
    <t>testovacia statistika:</t>
  </si>
  <si>
    <r>
      <t>y</t>
    </r>
    <r>
      <rPr>
        <vertAlign val="subscript"/>
        <sz val="11"/>
        <color theme="1"/>
        <rFont val="Calibri"/>
        <family val="2"/>
        <charset val="238"/>
        <scheme val="minor"/>
      </rPr>
      <t>nam</t>
    </r>
    <r>
      <rPr>
        <sz val="11"/>
        <color theme="1"/>
        <rFont val="Calibri"/>
        <family val="2"/>
        <charset val="238"/>
        <scheme val="minor"/>
      </rPr>
      <t>-y</t>
    </r>
    <r>
      <rPr>
        <vertAlign val="subscript"/>
        <sz val="11"/>
        <color theme="1"/>
        <rFont val="Calibri"/>
        <family val="2"/>
        <charset val="238"/>
        <scheme val="minor"/>
      </rPr>
      <t>model</t>
    </r>
  </si>
  <si>
    <t>kriticka oblast:</t>
  </si>
  <si>
    <t>kvantil Studentovho t rozdelenia:</t>
  </si>
  <si>
    <t xml:space="preserve">H0:b1=0 </t>
  </si>
  <si>
    <t>H1:b1≠0</t>
  </si>
  <si>
    <t>H0:b1=0</t>
  </si>
  <si>
    <t>H0:b2=0</t>
  </si>
  <si>
    <t xml:space="preserve">H0:b2=0  </t>
  </si>
  <si>
    <t xml:space="preserve">H1:b2≠0 </t>
  </si>
  <si>
    <t>H0:b12=0</t>
  </si>
  <si>
    <t xml:space="preserve">H1:b12≠0 </t>
  </si>
  <si>
    <t xml:space="preserve">H0:b12=0  </t>
  </si>
  <si>
    <t>Testovanie statistickej vyznamnosti jednotlivych parametrov (faktorov)</t>
  </si>
  <si>
    <t>, potom H0 zamietame</t>
  </si>
  <si>
    <t>H0:</t>
  </si>
  <si>
    <t>&gt;&lt; H1: existuje aspon jedno</t>
  </si>
  <si>
    <t>Ak</t>
  </si>
  <si>
    <t>Testovanie statistickej vyznamnosti regresneho modelu (ANOVA)</t>
  </si>
  <si>
    <t>odhad koeficientov transformovanej regresnej funkcie:</t>
  </si>
  <si>
    <t>∑:</t>
  </si>
  <si>
    <t>namerané hodnoty:</t>
  </si>
  <si>
    <r>
      <t>Urobili sme po 3 merania v každom naplánovanom bode experimentu typu 2</t>
    </r>
    <r>
      <rPr>
        <vertAlign val="super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>.</t>
    </r>
  </si>
  <si>
    <r>
      <t>x</t>
    </r>
    <r>
      <rPr>
        <vertAlign val="sub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 xml:space="preserve"> - vek pneumatiky (v rokoch)  ( od 5 do 10)</t>
    </r>
  </si>
  <si>
    <r>
      <t>x</t>
    </r>
    <r>
      <rPr>
        <vertAlign val="subscript"/>
        <sz val="11"/>
        <color theme="1"/>
        <rFont val="Calibri"/>
        <family val="2"/>
        <charset val="238"/>
        <scheme val="minor"/>
      </rPr>
      <t>1</t>
    </r>
    <r>
      <rPr>
        <sz val="11"/>
        <color theme="1"/>
        <rFont val="Calibri"/>
        <family val="2"/>
        <charset val="238"/>
        <scheme val="minor"/>
      </rPr>
      <t>-počet najazdených km (v tisíc km) ( od 10 do 70)</t>
    </r>
  </si>
  <si>
    <t>Y - hĺbka dezénu pneumatík v mm závisí od faktorov</t>
  </si>
  <si>
    <t xml:space="preserve">Pr. </t>
  </si>
  <si>
    <t>Y- dĺžka letu (v m) modelu lietadla závisí od faktorov</t>
  </si>
  <si>
    <r>
      <t>x</t>
    </r>
    <r>
      <rPr>
        <vertAlign val="subscript"/>
        <sz val="11"/>
        <color theme="1"/>
        <rFont val="Calibri"/>
        <family val="2"/>
        <charset val="238"/>
        <scheme val="minor"/>
      </rPr>
      <t>1</t>
    </r>
    <r>
      <rPr>
        <sz val="11"/>
        <color theme="1"/>
        <rFont val="Calibri"/>
        <family val="2"/>
        <charset val="238"/>
        <scheme val="minor"/>
      </rPr>
      <t>- šírka krídla v cm (od 5 do 10)</t>
    </r>
  </si>
  <si>
    <r>
      <t>x</t>
    </r>
    <r>
      <rPr>
        <vertAlign val="sub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>- výška vrtule v cm (od 2 do 6)</t>
    </r>
  </si>
  <si>
    <r>
      <t>Vykonali sme 4 merania v každom naplánovanom bode. Uvažujme experimentu typu 2</t>
    </r>
    <r>
      <rPr>
        <vertAlign val="super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>.</t>
    </r>
  </si>
  <si>
    <t xml:space="preserve">namerané hodnoty </t>
  </si>
  <si>
    <r>
      <t>x</t>
    </r>
    <r>
      <rPr>
        <vertAlign val="subscript"/>
        <sz val="11"/>
        <color theme="1"/>
        <rFont val="Calibri"/>
        <family val="2"/>
        <charset val="238"/>
        <scheme val="minor"/>
      </rPr>
      <t>1</t>
    </r>
    <r>
      <rPr>
        <sz val="11"/>
        <color theme="1"/>
        <rFont val="Calibri"/>
        <family val="2"/>
        <charset val="238"/>
        <scheme val="minor"/>
      </rPr>
      <t>-dávka chemického hnojiva v q na ha ( od 5 do 25)</t>
    </r>
  </si>
  <si>
    <r>
      <t>x</t>
    </r>
    <r>
      <rPr>
        <vertAlign val="sub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>- množstvo zrážok v mm na m</t>
    </r>
    <r>
      <rPr>
        <vertAlign val="super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 xml:space="preserve"> (od 60 do 450)</t>
    </r>
  </si>
  <si>
    <r>
      <t>Vykonali sme 4 merania v každom naplánovanom bode. Naplánujte experimentu typu 2</t>
    </r>
    <r>
      <rPr>
        <vertAlign val="super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>.</t>
    </r>
  </si>
  <si>
    <t>namerané hodnoty</t>
  </si>
  <si>
    <t>Y- výnosy v tonách na 1 ha , závisia od faktorov</t>
  </si>
  <si>
    <t>Skúmala sa kvalita horolezeckých lán pomocou nasl. parametrov:</t>
  </si>
  <si>
    <t>Y- predĺženie lana (meraná v dvojmetrovom úseku ) v %-ách</t>
  </si>
  <si>
    <r>
      <t>x</t>
    </r>
    <r>
      <rPr>
        <vertAlign val="subscript"/>
        <sz val="11"/>
        <color theme="1"/>
        <rFont val="Calibri"/>
        <family val="2"/>
        <charset val="238"/>
        <scheme val="minor"/>
      </rPr>
      <t>1</t>
    </r>
    <r>
      <rPr>
        <sz val="11"/>
        <color theme="1"/>
        <rFont val="Calibri"/>
        <family val="2"/>
        <charset val="238"/>
        <scheme val="minor"/>
      </rPr>
      <t xml:space="preserve"> - priemer lana v mm (od 4 do 11)</t>
    </r>
  </si>
  <si>
    <r>
      <t>x</t>
    </r>
    <r>
      <rPr>
        <vertAlign val="sub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>- zaťaženie lana merné v kg (od 35 do 120)</t>
    </r>
  </si>
  <si>
    <r>
      <t>Uvažujte experiment 2</t>
    </r>
    <r>
      <rPr>
        <vertAlign val="super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>. Merali sme v každom bode 4 krát.</t>
    </r>
  </si>
  <si>
    <t>Skúmali sa oceľová lana.</t>
  </si>
  <si>
    <t xml:space="preserve">Y- nosnosť  v KN od </t>
  </si>
  <si>
    <r>
      <t>x</t>
    </r>
    <r>
      <rPr>
        <vertAlign val="sub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>- priemer drôtu (v mm) = z čoho sa skladá (od 0,2 do 0,65)</t>
    </r>
  </si>
  <si>
    <t xml:space="preserve">namerané údaje </t>
  </si>
  <si>
    <t>Y- spokojnosť zamestnávateľa (v %-ách)</t>
  </si>
  <si>
    <r>
      <t>X</t>
    </r>
    <r>
      <rPr>
        <vertAlign val="subscript"/>
        <sz val="11"/>
        <color theme="1"/>
        <rFont val="Calibri"/>
        <family val="2"/>
        <charset val="238"/>
        <scheme val="minor"/>
      </rPr>
      <t>1</t>
    </r>
    <r>
      <rPr>
        <sz val="11"/>
        <color theme="1"/>
        <rFont val="Calibri"/>
        <family val="2"/>
        <charset val="238"/>
        <scheme val="minor"/>
      </rPr>
      <t xml:space="preserve"> -mzda  (v Eurach)  (od 500 do 1900)</t>
    </r>
  </si>
  <si>
    <r>
      <t>x</t>
    </r>
    <r>
      <rPr>
        <vertAlign val="sub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>- vek (v rokoch )  (od 25 do 40)</t>
    </r>
  </si>
  <si>
    <r>
      <t>Experiment typu 2</t>
    </r>
    <r>
      <rPr>
        <vertAlign val="super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>, v každom naplánovanom bode máme po 3 merania.</t>
    </r>
  </si>
  <si>
    <t>Hustota dreva je daná podielom bunkových stien v objemovej jednotke dreva a obsahom vody v dreve.</t>
  </si>
  <si>
    <r>
      <t>Y- rigidita dreva (kg/m</t>
    </r>
    <r>
      <rPr>
        <vertAlign val="super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 xml:space="preserve">) </t>
    </r>
  </si>
  <si>
    <r>
      <t>x</t>
    </r>
    <r>
      <rPr>
        <vertAlign val="subscript"/>
        <sz val="11"/>
        <color theme="1"/>
        <rFont val="Calibri"/>
        <family val="2"/>
        <charset val="238"/>
        <scheme val="minor"/>
      </rPr>
      <t>1</t>
    </r>
    <r>
      <rPr>
        <sz val="11"/>
        <color theme="1"/>
        <rFont val="Calibri"/>
        <family val="2"/>
        <charset val="238"/>
        <scheme val="minor"/>
      </rPr>
      <t xml:space="preserve"> - hustota dreva (kg/m2) ( od 400 do 700)</t>
    </r>
  </si>
  <si>
    <r>
      <t>x</t>
    </r>
    <r>
      <rPr>
        <vertAlign val="sub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 xml:space="preserve"> - elasticita dreva  (kg/m2)   (od 500 do 1100)</t>
    </r>
  </si>
  <si>
    <r>
      <t>Plánovaný je experimentu typu 2</t>
    </r>
    <r>
      <rPr>
        <vertAlign val="super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>. Počet meraní v každom naplánovanom bode je 4.</t>
    </r>
  </si>
  <si>
    <r>
      <t>t</t>
    </r>
    <r>
      <rPr>
        <vertAlign val="subscript"/>
        <sz val="11"/>
        <color theme="1"/>
        <rFont val="Calibri"/>
        <family val="2"/>
        <charset val="238"/>
        <scheme val="minor"/>
      </rPr>
      <t>1</t>
    </r>
    <r>
      <rPr>
        <sz val="11"/>
        <color theme="1"/>
        <rFont val="Calibri"/>
        <family val="2"/>
        <charset val="238"/>
        <scheme val="minor"/>
      </rPr>
      <t>*t</t>
    </r>
    <r>
      <rPr>
        <vertAlign val="sub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>*y</t>
    </r>
    <r>
      <rPr>
        <vertAlign val="subscript"/>
        <sz val="11"/>
        <color theme="1"/>
        <rFont val="Calibri"/>
        <family val="2"/>
        <charset val="238"/>
        <scheme val="minor"/>
      </rPr>
      <t>i</t>
    </r>
  </si>
  <si>
    <r>
      <t>t</t>
    </r>
    <r>
      <rPr>
        <vertAlign val="sub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>*y</t>
    </r>
    <r>
      <rPr>
        <vertAlign val="subscript"/>
        <sz val="11"/>
        <color theme="1"/>
        <rFont val="Calibri"/>
        <family val="2"/>
        <charset val="238"/>
        <scheme val="minor"/>
      </rPr>
      <t>i</t>
    </r>
  </si>
  <si>
    <r>
      <t>t</t>
    </r>
    <r>
      <rPr>
        <vertAlign val="subscript"/>
        <sz val="11"/>
        <color theme="1"/>
        <rFont val="Calibri"/>
        <family val="2"/>
        <charset val="238"/>
        <scheme val="minor"/>
      </rPr>
      <t>1</t>
    </r>
    <r>
      <rPr>
        <sz val="11"/>
        <color theme="1"/>
        <rFont val="Calibri"/>
        <family val="2"/>
        <charset val="238"/>
        <scheme val="minor"/>
      </rPr>
      <t>*y</t>
    </r>
    <r>
      <rPr>
        <vertAlign val="subscript"/>
        <sz val="11"/>
        <color theme="1"/>
        <rFont val="Calibri"/>
        <family val="2"/>
        <charset val="238"/>
        <scheme val="minor"/>
      </rPr>
      <t>i</t>
    </r>
  </si>
  <si>
    <r>
      <t>1*y</t>
    </r>
    <r>
      <rPr>
        <vertAlign val="subscript"/>
        <sz val="11"/>
        <color theme="1"/>
        <rFont val="Calibri"/>
        <family val="2"/>
        <charset val="238"/>
        <scheme val="minor"/>
      </rPr>
      <t>i</t>
    </r>
  </si>
  <si>
    <r>
      <t>x</t>
    </r>
    <r>
      <rPr>
        <vertAlign val="subscript"/>
        <sz val="11"/>
        <color theme="1"/>
        <rFont val="Calibri"/>
        <family val="2"/>
        <charset val="238"/>
        <scheme val="minor"/>
      </rPr>
      <t>1</t>
    </r>
    <r>
      <rPr>
        <sz val="11"/>
        <color theme="1"/>
        <rFont val="Calibri"/>
        <family val="2"/>
        <charset val="238"/>
        <scheme val="minor"/>
      </rPr>
      <t>- priemer lana (v mm) =celé lano  (od 1, do 3,20)</t>
    </r>
  </si>
  <si>
    <t>Y - životnosť spinky závisí od faktorov</t>
  </si>
  <si>
    <r>
      <t>x</t>
    </r>
    <r>
      <rPr>
        <vertAlign val="subscript"/>
        <sz val="11"/>
        <color theme="1"/>
        <rFont val="Calibri"/>
        <family val="2"/>
        <charset val="238"/>
        <scheme val="minor"/>
      </rPr>
      <t>1</t>
    </r>
    <r>
      <rPr>
        <sz val="11"/>
        <color theme="1"/>
        <rFont val="Calibri"/>
        <family val="2"/>
        <charset val="238"/>
        <scheme val="minor"/>
      </rPr>
      <t>-dodávateľ drôtu (firma 1, firma 2)</t>
    </r>
  </si>
  <si>
    <r>
      <t>x</t>
    </r>
    <r>
      <rPr>
        <vertAlign val="sub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 xml:space="preserve"> - veľkosť spinky  (malá a veľká)</t>
    </r>
  </si>
  <si>
    <r>
      <t>x</t>
    </r>
    <r>
      <rPr>
        <vertAlign val="subscript"/>
        <sz val="11"/>
        <color theme="1"/>
        <rFont val="Calibri"/>
        <family val="2"/>
        <charset val="238"/>
        <scheme val="minor"/>
      </rPr>
      <t>3</t>
    </r>
    <r>
      <rPr>
        <sz val="11"/>
        <color theme="1"/>
        <rFont val="Calibri"/>
        <family val="2"/>
        <charset val="238"/>
        <scheme val="minor"/>
      </rPr>
      <t xml:space="preserve"> - tepelné ošetrenie drôtu  (áno, nie)</t>
    </r>
  </si>
  <si>
    <r>
      <t>Urobili sme 2 merania v každom naplánovanom bode experimentu typu 2</t>
    </r>
    <r>
      <rPr>
        <vertAlign val="superscript"/>
        <sz val="11"/>
        <color theme="1"/>
        <rFont val="Calibri"/>
        <family val="2"/>
        <charset val="238"/>
        <scheme val="minor"/>
      </rPr>
      <t>3</t>
    </r>
    <r>
      <rPr>
        <sz val="11"/>
        <color theme="1"/>
        <rFont val="Calibri"/>
        <family val="2"/>
        <charset val="238"/>
        <scheme val="minor"/>
      </rPr>
      <t>.</t>
    </r>
  </si>
  <si>
    <t>Namerané hodnoty sú:</t>
  </si>
  <si>
    <t>dodávateľ</t>
  </si>
  <si>
    <t>veľkosť</t>
  </si>
  <si>
    <t>ohrev</t>
  </si>
  <si>
    <t>ohyb</t>
  </si>
  <si>
    <t>Run  A  B  C</t>
  </si>
  <si>
    <t>firma 1</t>
  </si>
  <si>
    <t>malá</t>
  </si>
  <si>
    <t>nie</t>
  </si>
  <si>
    <t xml:space="preserve">  1  -  -  -</t>
  </si>
  <si>
    <t>firma 2</t>
  </si>
  <si>
    <t xml:space="preserve">  2  +  -  -</t>
  </si>
  <si>
    <t>veľká</t>
  </si>
  <si>
    <t xml:space="preserve">  3  -  +  -</t>
  </si>
  <si>
    <t xml:space="preserve">  4  +  +  -</t>
  </si>
  <si>
    <t>áno</t>
  </si>
  <si>
    <t xml:space="preserve">  5  -  -  +</t>
  </si>
  <si>
    <t xml:space="preserve">  6  +  -  +</t>
  </si>
  <si>
    <t xml:space="preserve">  7  -  +  +</t>
  </si>
  <si>
    <t xml:space="preserve">  8  +  +  +</t>
  </si>
  <si>
    <t xml:space="preserve">  9  -  -  -</t>
  </si>
  <si>
    <t xml:space="preserve"> 10  +  -  -</t>
  </si>
  <si>
    <t xml:space="preserve"> 11  -  +  -</t>
  </si>
  <si>
    <t xml:space="preserve"> 12  +  +  -</t>
  </si>
  <si>
    <t xml:space="preserve"> 13  -  -  +</t>
  </si>
  <si>
    <t xml:space="preserve"> 14  +  -  +</t>
  </si>
  <si>
    <t xml:space="preserve"> 15  -  +  +</t>
  </si>
  <si>
    <t xml:space="preserve"> 16  +  +  +</t>
  </si>
  <si>
    <t>faktor</t>
  </si>
  <si>
    <t>efekt</t>
  </si>
  <si>
    <t>Pi</t>
  </si>
  <si>
    <t>Pareto diagram</t>
  </si>
  <si>
    <t>Y - účinnosť pracieho prášku</t>
  </si>
  <si>
    <r>
      <t>x</t>
    </r>
    <r>
      <rPr>
        <vertAlign val="subscript"/>
        <sz val="11"/>
        <color theme="1"/>
        <rFont val="Calibri"/>
        <family val="2"/>
        <charset val="238"/>
        <scheme val="minor"/>
      </rPr>
      <t>1</t>
    </r>
    <r>
      <rPr>
        <sz val="11"/>
        <color theme="1"/>
        <rFont val="Calibri"/>
        <family val="2"/>
        <charset val="238"/>
        <scheme val="minor"/>
      </rPr>
      <t>-druh pracieho prasku (A 1, A 2)</t>
    </r>
  </si>
  <si>
    <r>
      <t>x</t>
    </r>
    <r>
      <rPr>
        <vertAlign val="sub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 xml:space="preserve"> - teplota vody v °C (40 az 60)</t>
    </r>
  </si>
  <si>
    <r>
      <t>x</t>
    </r>
    <r>
      <rPr>
        <vertAlign val="subscript"/>
        <sz val="11"/>
        <color theme="1"/>
        <rFont val="Calibri"/>
        <family val="2"/>
        <charset val="238"/>
        <scheme val="minor"/>
      </rPr>
      <t>3</t>
    </r>
    <r>
      <rPr>
        <sz val="11"/>
        <color theme="1"/>
        <rFont val="Calibri"/>
        <family val="2"/>
        <charset val="238"/>
        <scheme val="minor"/>
      </rPr>
      <t xml:space="preserve"> - dlžka prania v min (30 az 120)</t>
    </r>
  </si>
  <si>
    <t>výpočet efektov faktorov a interakcií:</t>
  </si>
  <si>
    <t>x3</t>
  </si>
  <si>
    <t>x1*x2</t>
  </si>
  <si>
    <t>x1*x3</t>
  </si>
  <si>
    <t>x2*x3</t>
  </si>
  <si>
    <t>x1*x2*x3</t>
  </si>
  <si>
    <t>A1</t>
  </si>
  <si>
    <t>A2</t>
  </si>
  <si>
    <t>40°C</t>
  </si>
  <si>
    <t>60°C</t>
  </si>
  <si>
    <t>30 min</t>
  </si>
  <si>
    <t>120 min</t>
  </si>
  <si>
    <t>sucet</t>
  </si>
  <si>
    <t>priemer</t>
  </si>
  <si>
    <t>interakcie:</t>
  </si>
  <si>
    <t>Vypocitajte efekty faktorov a ich interakcii.</t>
  </si>
  <si>
    <t>t1*t1</t>
  </si>
  <si>
    <t>t2*t2</t>
  </si>
  <si>
    <t>t1*t2</t>
  </si>
  <si>
    <t>y</t>
  </si>
  <si>
    <t>SUMMARY OUTPUT</t>
  </si>
  <si>
    <t>df</t>
  </si>
  <si>
    <t>SS</t>
  </si>
  <si>
    <t>MS</t>
  </si>
  <si>
    <t>F</t>
  </si>
  <si>
    <t>B=</t>
  </si>
  <si>
    <t>B^(-1)=</t>
  </si>
  <si>
    <t>optimalne hodnoty faktorov (kodovane)</t>
  </si>
  <si>
    <t>x=-0,5*B^(-1)*b</t>
  </si>
  <si>
    <t>x=</t>
  </si>
  <si>
    <t>y=</t>
  </si>
  <si>
    <t>y=79,75+9,83*t1+4,22*t2-8,88*t1^2-5,13*t2^2-7,75*t1*t2</t>
  </si>
  <si>
    <t>t1--&gt;</t>
  </si>
  <si>
    <t xml:space="preserve">y </t>
  </si>
  <si>
    <t>central point</t>
  </si>
  <si>
    <t>namerane hodnoty:</t>
  </si>
  <si>
    <t>y priem</t>
  </si>
  <si>
    <t>yC priem</t>
  </si>
  <si>
    <t>nF=</t>
  </si>
  <si>
    <t>nC=</t>
  </si>
  <si>
    <t>&lt;</t>
  </si>
  <si>
    <t xml:space="preserve"> =F1,4(0,95)</t>
  </si>
  <si>
    <t>SSCPQ=</t>
  </si>
  <si>
    <t>Fkrit</t>
  </si>
  <si>
    <t>t1^2</t>
  </si>
  <si>
    <t>t2^2</t>
  </si>
  <si>
    <t xml:space="preserve">Test krivosti </t>
  </si>
  <si>
    <r>
      <t xml:space="preserve">testujeme </t>
    </r>
    <r>
      <rPr>
        <sz val="11"/>
        <color theme="4"/>
        <rFont val="Calibri"/>
        <family val="2"/>
        <charset val="238"/>
        <scheme val="minor"/>
      </rPr>
      <t xml:space="preserve">samostatny </t>
    </r>
    <r>
      <rPr>
        <sz val="11"/>
        <color theme="1"/>
        <rFont val="Calibri"/>
        <family val="2"/>
        <charset val="238"/>
        <scheme val="minor"/>
      </rPr>
      <t>vplyv parametra t1 na hodnotu f</t>
    </r>
    <r>
      <rPr>
        <vertAlign val="subscript"/>
        <sz val="11"/>
        <color theme="1"/>
        <rFont val="Calibri"/>
        <family val="2"/>
        <charset val="238"/>
        <scheme val="minor"/>
      </rPr>
      <t>t</t>
    </r>
  </si>
  <si>
    <r>
      <t xml:space="preserve">testujeme </t>
    </r>
    <r>
      <rPr>
        <sz val="11"/>
        <color theme="4"/>
        <rFont val="Calibri"/>
        <family val="2"/>
        <charset val="238"/>
        <scheme val="minor"/>
      </rPr>
      <t>samostatny</t>
    </r>
    <r>
      <rPr>
        <sz val="11"/>
        <color theme="1"/>
        <rFont val="Calibri"/>
        <family val="2"/>
        <charset val="238"/>
        <scheme val="minor"/>
      </rPr>
      <t xml:space="preserve"> vplyv parametra t2 na hodnotu f</t>
    </r>
    <r>
      <rPr>
        <vertAlign val="subscript"/>
        <sz val="11"/>
        <color theme="1"/>
        <rFont val="Calibri"/>
        <family val="2"/>
        <charset val="238"/>
        <scheme val="minor"/>
      </rPr>
      <t>t</t>
    </r>
  </si>
  <si>
    <r>
      <t xml:space="preserve">testujeme </t>
    </r>
    <r>
      <rPr>
        <sz val="11"/>
        <color theme="4"/>
        <rFont val="Calibri"/>
        <family val="2"/>
        <charset val="238"/>
        <scheme val="minor"/>
      </rPr>
      <t>spolocny</t>
    </r>
    <r>
      <rPr>
        <sz val="11"/>
        <color theme="1"/>
        <rFont val="Calibri"/>
        <family val="2"/>
        <charset val="238"/>
        <scheme val="minor"/>
      </rPr>
      <t xml:space="preserve"> vplyv (vzajomne posobenie) parametrov t1 a t2 na hodnotu f</t>
    </r>
    <r>
      <rPr>
        <vertAlign val="subscript"/>
        <sz val="11"/>
        <color theme="1"/>
        <rFont val="Calibri"/>
        <family val="2"/>
        <charset val="238"/>
        <scheme val="minor"/>
      </rPr>
      <t>t</t>
    </r>
  </si>
  <si>
    <t>W=(-nekonecno,-2,77)U(2,77;nekonecno)</t>
  </si>
  <si>
    <t>Regresnú funkciu využite na predikciu životnosti pružiny (jej počtu stlačení) s dĺžkou 12 cm a hrúbkou 6 mm.</t>
  </si>
  <si>
    <t>H0: suma b jj=0 (nie je  potrebny kvadraticky model)</t>
  </si>
  <si>
    <r>
      <t>H1: suma b jj</t>
    </r>
    <r>
      <rPr>
        <sz val="11"/>
        <color theme="1"/>
        <rFont val="Calibri"/>
        <family val="2"/>
        <charset val="238"/>
      </rPr>
      <t>≠</t>
    </r>
    <r>
      <rPr>
        <sz val="11"/>
        <color theme="1"/>
        <rFont val="Calibri"/>
        <family val="2"/>
        <charset val="238"/>
        <scheme val="minor"/>
      </rPr>
      <t>0 (je  potrebny kvadraticky model)</t>
    </r>
  </si>
  <si>
    <t xml:space="preserve">Cielom experimentu bolo zvysit vytazok chemickej reakcie Y. </t>
  </si>
  <si>
    <t>Na dvoch urovniach boli skumane tri faktory, ktore maju vplyv na reakciu - teplota, druh katalyzatora a cistota suroviny.</t>
  </si>
  <si>
    <t>A- teplota  (od 60 °C do 70 °C)</t>
  </si>
  <si>
    <t>B - katalyzator (typ K1 a typ K2)</t>
  </si>
  <si>
    <t>C - cistota (95% az 99%)</t>
  </si>
  <si>
    <r>
      <t>Urobili sme 1 meranie v každom naplánovanom bode experimentu typu 2</t>
    </r>
    <r>
      <rPr>
        <vertAlign val="superscript"/>
        <sz val="11"/>
        <color theme="1"/>
        <rFont val="Calibri"/>
        <family val="2"/>
        <charset val="238"/>
        <scheme val="minor"/>
      </rPr>
      <t>3</t>
    </r>
    <r>
      <rPr>
        <sz val="11"/>
        <color theme="1"/>
        <rFont val="Calibri"/>
        <family val="2"/>
        <charset val="238"/>
        <scheme val="minor"/>
      </rPr>
      <t>.</t>
    </r>
  </si>
  <si>
    <t>Pomocou odozvovej tabulky vypocitajte efekty faktorov a efekty interakcii.</t>
  </si>
  <si>
    <t>odozvova tabulka pre stanovenie efektu trojfaktoroveho experimentu</t>
  </si>
  <si>
    <t>cislo  kroku</t>
  </si>
  <si>
    <t>odozva</t>
  </si>
  <si>
    <t xml:space="preserve">faktory </t>
  </si>
  <si>
    <t>interakcie</t>
  </si>
  <si>
    <t>A</t>
  </si>
  <si>
    <t>B</t>
  </si>
  <si>
    <t>C</t>
  </si>
  <si>
    <t>AB</t>
  </si>
  <si>
    <t>AC</t>
  </si>
  <si>
    <t>BC</t>
  </si>
  <si>
    <t>ABC</t>
  </si>
  <si>
    <t>teplota</t>
  </si>
  <si>
    <t>katalyzator</t>
  </si>
  <si>
    <t>cistota</t>
  </si>
  <si>
    <t>60 °C</t>
  </si>
  <si>
    <t>70 °C</t>
  </si>
  <si>
    <t>typ K1</t>
  </si>
  <si>
    <t>typ K2</t>
  </si>
  <si>
    <t>–––––––</t>
  </si>
  <si>
    <t>Interakciafaktorov B a C ma na vysledok chem. procesu väcsi vplyv  ako samotne faktory A a C - je dolezitou súcastou modelu procesu.</t>
  </si>
  <si>
    <t>efekt faktora a efekt interakcii  - priemerne zvysenie (znizenie) hodnoty odozvy, ak sa faktor zmeni z dolnej na hornu uroven</t>
  </si>
  <si>
    <t>Y</t>
  </si>
  <si>
    <t>Urcte pomocou efektov, ktore z faktorov A, B  ovplyvnuju vyraznym sposobom hodnoty vystupnej charakteristiky.</t>
  </si>
  <si>
    <t>ef(A)=</t>
  </si>
  <si>
    <t>ef(A)</t>
  </si>
  <si>
    <t>ef(B)</t>
  </si>
  <si>
    <t>ef(AB)</t>
  </si>
  <si>
    <t>Vzhladom na to, ze niektore faktory nemusia byt samostatne vyznamne, zatial co v sucinnosti s inym faktorom su vyznamne, skumajte okrem vyznamnosti (vplyvu) faktorov i vyznamnost ich interakcii</t>
  </si>
  <si>
    <t>ef(B)=</t>
  </si>
  <si>
    <t>ef(AB)=</t>
  </si>
  <si>
    <r>
      <t xml:space="preserve">t1 </t>
    </r>
    <r>
      <rPr>
        <vertAlign val="superscript"/>
        <sz val="11"/>
        <color theme="1"/>
        <rFont val="Calibri"/>
        <family val="2"/>
        <charset val="238"/>
        <scheme val="minor"/>
      </rPr>
      <t>T</t>
    </r>
    <r>
      <rPr>
        <sz val="11"/>
        <color theme="1"/>
        <rFont val="Calibri"/>
        <family val="2"/>
        <charset val="238"/>
        <scheme val="minor"/>
      </rPr>
      <t>=</t>
    </r>
  </si>
  <si>
    <t>Y =</t>
  </si>
  <si>
    <t>kladna hodnota efektu znamena, ze so zvysovanim urovne faktora hodnota odozvy narasta</t>
  </si>
  <si>
    <t>zaporna hodnota efektu znamena, ze so zvysovanim urovne faktora sa hodnota odozvy znizuje</t>
  </si>
  <si>
    <t>priemerná zmena odozvy pri zmene úrovne faktora z dolnej (-1) na hornú (1) úroveň</t>
  </si>
  <si>
    <t xml:space="preserve">efekt faktora  - </t>
  </si>
  <si>
    <r>
      <t xml:space="preserve">Poznámka: </t>
    </r>
    <r>
      <rPr>
        <sz val="11"/>
        <rFont val="Calibri"/>
        <family val="2"/>
        <charset val="238"/>
        <scheme val="minor"/>
      </rPr>
      <t xml:space="preserve">  </t>
    </r>
  </si>
  <si>
    <r>
      <t>ef(A)=1/4*t1</t>
    </r>
    <r>
      <rPr>
        <vertAlign val="superscript"/>
        <sz val="11"/>
        <color theme="1"/>
        <rFont val="Calibri"/>
        <family val="2"/>
        <charset val="238"/>
        <scheme val="minor"/>
      </rPr>
      <t>T</t>
    </r>
    <r>
      <rPr>
        <sz val="11"/>
        <color theme="1"/>
        <rFont val="Calibri"/>
        <family val="2"/>
        <charset val="238"/>
        <scheme val="minor"/>
      </rPr>
      <t>*Y=</t>
    </r>
  </si>
  <si>
    <t>(1)</t>
  </si>
  <si>
    <t>(2)</t>
  </si>
  <si>
    <t>Y priem =</t>
  </si>
  <si>
    <t>ypriem</t>
  </si>
  <si>
    <t>2^2</t>
  </si>
  <si>
    <t>2^3</t>
  </si>
  <si>
    <t>Y priem</t>
  </si>
  <si>
    <t>pocet stlpcov rovnaky ako pocet faktorov - efekt je podiel cisla v poslednom cislovanom stlpci a delitela n a n/2 - poradie faktorov v tabulle 2^3 je zaväzne</t>
  </si>
  <si>
    <t>(3)</t>
  </si>
  <si>
    <t>a) vypocet efektu ako rozdiel priemerov na hornej a dolnej urovni faktora:</t>
  </si>
  <si>
    <t>b) vypocet efektu cez znamienkovu metodu (sucin riadkoveho vektora urovni faktora a stlpcoveho vektora nameranych hodnot deleny polovicou poctu merani):</t>
  </si>
  <si>
    <t>c) vypocet efektu ako priemer rozdielov (priemer zmien Y pri prechode faktora z dolnej na hornu uroven, pricom ostatne faktory sa nemenia):</t>
  </si>
  <si>
    <t xml:space="preserve">d) Yatesov algoritmus - v stlpci (1) je sucet 1. a 2. riadku, sucet 3. a 4. riadku, sucet 5. a 6. riadku a 7. a 8. riadku,... nasleduje rozdiel v 2. a1. riadku, 4. a 3. riadku, 6. a 5. riadku, 8. a 7. riadku...., </t>
  </si>
  <si>
    <t>e) dvojnasobok regresnych koeficientov</t>
  </si>
  <si>
    <r>
      <t>hornú úroveň faktora A označujeme A</t>
    </r>
    <r>
      <rPr>
        <vertAlign val="superscript"/>
        <sz val="11"/>
        <rFont val="Calibri"/>
        <family val="2"/>
        <charset val="238"/>
        <scheme val="minor"/>
      </rPr>
      <t>+</t>
    </r>
    <r>
      <rPr>
        <sz val="11"/>
        <rFont val="Calibri"/>
        <family val="2"/>
        <charset val="238"/>
        <scheme val="minor"/>
      </rPr>
      <t xml:space="preserve">, resp. pri kódovaných hodnotách 1  </t>
    </r>
  </si>
  <si>
    <t>rozdiel medzi priemernými hodnotami výstupnej charakteristiky na hornej a dolnej úrovni faktora</t>
  </si>
  <si>
    <t>Drevo ako jeden z najstarších stavebných materiálov, má veľmi dobré tepelné a izolačné vlastnosti.  V smere vlákien má väčšiu pevnosť v tlaku ako betón.</t>
  </si>
  <si>
    <t>Budeme vyšetrovať závislosť medzi fyzikálnymi vlastnosťami drevín: medzi hustotou, rigiditou a elasticitou.</t>
  </si>
  <si>
    <t>Hľadáme závislosť rigidity od hustoty a elasticity.</t>
  </si>
  <si>
    <t>f(400;500)= 4882</t>
  </si>
  <si>
    <t>f(400;1100)= 981</t>
  </si>
  <si>
    <t>f(400;500)= 4881</t>
  </si>
  <si>
    <t>f(700;500)= 891</t>
  </si>
  <si>
    <t>f(400;500)= 4900</t>
  </si>
  <si>
    <t>f(700;500)= 815</t>
  </si>
  <si>
    <t>f(700;1100)= 1162</t>
  </si>
  <si>
    <t>f(700;1100)= 1127</t>
  </si>
  <si>
    <t>f(700;1100)= 1100</t>
  </si>
  <si>
    <t>f(700;1100)= 1098</t>
  </si>
  <si>
    <t>f(700;500)= 889</t>
  </si>
  <si>
    <t>f(400;500)= 4880</t>
  </si>
  <si>
    <t>f(400;1100)= 964</t>
  </si>
  <si>
    <t>f(400;1100)= 952</t>
  </si>
  <si>
    <t>f(400;1100)= 942</t>
  </si>
  <si>
    <t>f(700;500)= 864</t>
  </si>
  <si>
    <t>1. Predpokladá sa, že šmyková pevnosť lepidla je ovplyvnená aplikačným tlakom a teplotou</t>
  </si>
  <si>
    <t>A -  tlak (0,8MPa; 1MPa)</t>
  </si>
  <si>
    <t>B - teplota (120°C, 130°C)</t>
  </si>
  <si>
    <t>120 °C</t>
  </si>
  <si>
    <t>130°C</t>
  </si>
  <si>
    <t>0,83 MPa</t>
  </si>
  <si>
    <t>Main effect of A:</t>
  </si>
  <si>
    <t>Main effect of B:</t>
  </si>
  <si>
    <t>Interaction:</t>
  </si>
  <si>
    <t>2.  Bola meraná prítlačná sila vyvinutá vŕtačkou v závislosti na rýchlosti vŕtania a rýchlosti posuvu.</t>
  </si>
  <si>
    <t xml:space="preserve">A - rýchlosť vŕtania </t>
  </si>
  <si>
    <t>B - rýchlosť posuvu</t>
  </si>
  <si>
    <t>2,7; 2,78</t>
  </si>
  <si>
    <t>2,75; 2,86</t>
  </si>
  <si>
    <t>2,83; 2,86</t>
  </si>
  <si>
    <t>2,94; 2,88</t>
  </si>
  <si>
    <t>2,45; 2,49</t>
  </si>
  <si>
    <t>2,85; 2,80</t>
  </si>
  <si>
    <t>f(1;0,2)=0,7; f(3,2;0,2)=5,1;  f(3,2;0,65)=7,5; f(1;0,65)=1,12;</t>
  </si>
  <si>
    <t xml:space="preserve">f(3,2;0,65)=7,4; f(1;0,65)=2; f(1;0,2)=0,63; f(3,2;0,2)=4,7;  </t>
  </si>
  <si>
    <t>f(3,2;0,2)=5,4;  f(3,2;0,65)=7,2; f(3,2;0,2)=4,9;  f(3,2;0,65)=7,3;</t>
  </si>
  <si>
    <t xml:space="preserve">f(1;0,2)=0,71;  f(1;0,65)=1,19; f(1;0,2)=0,65; f(1;0,65)=1,17; </t>
  </si>
  <si>
    <t>f(500;25)= 55</t>
  </si>
  <si>
    <t>f(500;25)= 70</t>
  </si>
  <si>
    <t>f(500;25)= 60</t>
  </si>
  <si>
    <t>f(500;40)= 80</t>
  </si>
  <si>
    <t>f(500;40)= 84</t>
  </si>
  <si>
    <t>f(500;40)= 90</t>
  </si>
  <si>
    <t>f(1900;25)= 110</t>
  </si>
  <si>
    <t>f(1900;25)= 100</t>
  </si>
  <si>
    <t>f(1900;25)= 99</t>
  </si>
  <si>
    <t>f(1900;40)= 120</t>
  </si>
  <si>
    <t>f(1900;40)= 115</t>
  </si>
  <si>
    <t>Run Order</t>
  </si>
  <si>
    <t>Boost</t>
  </si>
  <si>
    <t>Moist</t>
  </si>
  <si>
    <t>Cycle</t>
  </si>
  <si>
    <t>Trial 1</t>
  </si>
  <si>
    <t>Trial 2</t>
  </si>
  <si>
    <t>1. full factorial design</t>
  </si>
  <si>
    <t xml:space="preserve"> 2. fractional factorial design</t>
  </si>
  <si>
    <t>(základná frakcia)</t>
  </si>
  <si>
    <t>run1</t>
  </si>
  <si>
    <t>D</t>
  </si>
  <si>
    <t>E</t>
  </si>
  <si>
    <t>run2</t>
  </si>
  <si>
    <t>E=ABCD</t>
  </si>
  <si>
    <t>(doplnková frakcia)</t>
  </si>
  <si>
    <t>E=-ABCD</t>
  </si>
  <si>
    <t>Regression Statistics</t>
  </si>
  <si>
    <t>Multiple R</t>
  </si>
  <si>
    <t>R Square</t>
  </si>
  <si>
    <t>Adjusted R Square</t>
  </si>
  <si>
    <t>Standard Error</t>
  </si>
  <si>
    <t>Observations</t>
  </si>
  <si>
    <t>ANOVA</t>
  </si>
  <si>
    <t>Significance F</t>
  </si>
  <si>
    <t>Regression</t>
  </si>
  <si>
    <t>Residual</t>
  </si>
  <si>
    <t>Total</t>
  </si>
  <si>
    <t>Coefficients</t>
  </si>
  <si>
    <t>t Stat</t>
  </si>
  <si>
    <t>P-value</t>
  </si>
  <si>
    <t>Lower 95%</t>
  </si>
  <si>
    <t>Upper 95%</t>
  </si>
  <si>
    <t>Intercept</t>
  </si>
  <si>
    <t>run</t>
  </si>
  <si>
    <t xml:space="preserve">Pri regresnom modeli lineárneho typu je potrebné uvažovať </t>
  </si>
  <si>
    <t>interakcií druheho rádu,</t>
  </si>
  <si>
    <t>interakcií tretieho rádu,</t>
  </si>
  <si>
    <t>interakcií štvrtého rádu,</t>
  </si>
  <si>
    <t>interakcií piateho rádu.</t>
  </si>
  <si>
    <t xml:space="preserve">2. Určte definičnú rovnicu: </t>
  </si>
  <si>
    <t xml:space="preserve">1. Určte zvolený generátor: </t>
  </si>
  <si>
    <t xml:space="preserve">3. Určte rozlíšenie: </t>
  </si>
  <si>
    <t>Čiastočný plán experimentu</t>
  </si>
  <si>
    <t>V experimente bolo použitých</t>
  </si>
  <si>
    <t xml:space="preserve">faktorov, z toho </t>
  </si>
  <si>
    <t xml:space="preserve">hlavné a </t>
  </si>
  <si>
    <t>vedľajší.</t>
  </si>
  <si>
    <t xml:space="preserve">4. Nájdite zameniteľné dvojice. </t>
  </si>
  <si>
    <t xml:space="preserve">faktor </t>
  </si>
  <si>
    <t xml:space="preserve">  -</t>
  </si>
  <si>
    <t xml:space="preserve">  +</t>
  </si>
  <si>
    <t>A - pH</t>
  </si>
  <si>
    <t>B - teplota(°C)</t>
  </si>
  <si>
    <t>C - koncentr. (g/l)</t>
  </si>
  <si>
    <t>E -  dok. čas (s)</t>
  </si>
  <si>
    <t>D - dok. teplota (°C)</t>
  </si>
  <si>
    <t>Pomocou efektov faktorov a ich interakcií určte regresný model lineárneho typu.</t>
  </si>
  <si>
    <t xml:space="preserve">- pulzného prúdu(A), </t>
  </si>
  <si>
    <t xml:space="preserve">- doby trvania výboja (µs)  a  </t>
  </si>
  <si>
    <t xml:space="preserve">– koncentrácie hliníkového prášku v petroleji (g/l), pričom  </t>
  </si>
  <si>
    <t>Pri uvažovanom dvojúrovňovom pláne experimentu boli namerané hodnoty odozvy v mg/min:</t>
  </si>
  <si>
    <t xml:space="preserve"> </t>
  </si>
  <si>
    <t xml:space="preserve">-koeficienty transformovanej regresnej funkcie lineárneho typu </t>
  </si>
  <si>
    <t>,</t>
  </si>
  <si>
    <t xml:space="preserve">Pr.    V procese obrábania kompozitného vodivého materiálu pomocou pulzného elektrického výboja bola sledovaná  rýchlosť úberu materiálu (mg/min) v závislosti od faktorov </t>
  </si>
  <si>
    <t>5. Vypočítajte efekty faktorov (dvojíc faktorov a dvojíc interakcií) pre polovičný plán.</t>
  </si>
  <si>
    <t>CPLOT</t>
  </si>
  <si>
    <t>ef(x1)=</t>
  </si>
  <si>
    <t>ef(x2)=</t>
  </si>
  <si>
    <t>ef(x1x2)=</t>
  </si>
  <si>
    <t>vypocet koeficientov pomocou efektov:</t>
  </si>
  <si>
    <r>
      <t>dolnú úroveň faktora A označujeme A</t>
    </r>
    <r>
      <rPr>
        <vertAlign val="superscript"/>
        <sz val="11"/>
        <rFont val="Calibri"/>
        <family val="2"/>
        <charset val="238"/>
        <scheme val="minor"/>
      </rPr>
      <t>-</t>
    </r>
    <r>
      <rPr>
        <sz val="11"/>
        <rFont val="Calibri"/>
        <family val="2"/>
        <charset val="238"/>
        <scheme val="minor"/>
      </rPr>
      <t>, resp. pri kódovaných hodnotách -1</t>
    </r>
  </si>
  <si>
    <r>
      <t>t</t>
    </r>
    <r>
      <rPr>
        <vertAlign val="subscript"/>
        <sz val="11"/>
        <rFont val="Calibri"/>
        <family val="2"/>
        <charset val="238"/>
        <scheme val="minor"/>
      </rPr>
      <t>0</t>
    </r>
    <r>
      <rPr>
        <sz val="11"/>
        <rFont val="Calibri"/>
        <family val="2"/>
        <charset val="238"/>
        <scheme val="minor"/>
      </rPr>
      <t>(b</t>
    </r>
    <r>
      <rPr>
        <vertAlign val="subscript"/>
        <sz val="11"/>
        <rFont val="Calibri"/>
        <family val="2"/>
        <charset val="238"/>
        <scheme val="minor"/>
      </rPr>
      <t>1</t>
    </r>
    <r>
      <rPr>
        <sz val="11"/>
        <rFont val="Calibri"/>
        <family val="2"/>
        <charset val="238"/>
        <scheme val="minor"/>
      </rPr>
      <t>)=</t>
    </r>
  </si>
  <si>
    <r>
      <t>t</t>
    </r>
    <r>
      <rPr>
        <vertAlign val="subscript"/>
        <sz val="11"/>
        <rFont val="Calibri"/>
        <family val="2"/>
        <charset val="238"/>
        <scheme val="minor"/>
      </rPr>
      <t>0</t>
    </r>
    <r>
      <rPr>
        <sz val="11"/>
        <rFont val="Calibri"/>
        <family val="2"/>
        <charset val="238"/>
        <scheme val="minor"/>
      </rPr>
      <t>(b</t>
    </r>
    <r>
      <rPr>
        <vertAlign val="subscript"/>
        <sz val="11"/>
        <rFont val="Calibri"/>
        <family val="2"/>
        <charset val="238"/>
        <scheme val="minor"/>
      </rPr>
      <t>2</t>
    </r>
    <r>
      <rPr>
        <sz val="11"/>
        <rFont val="Calibri"/>
        <family val="2"/>
        <charset val="238"/>
        <scheme val="minor"/>
      </rPr>
      <t>)=</t>
    </r>
  </si>
  <si>
    <r>
      <t>t</t>
    </r>
    <r>
      <rPr>
        <vertAlign val="subscript"/>
        <sz val="11"/>
        <rFont val="Calibri"/>
        <family val="2"/>
        <charset val="238"/>
        <scheme val="minor"/>
      </rPr>
      <t>0</t>
    </r>
    <r>
      <rPr>
        <sz val="11"/>
        <rFont val="Calibri"/>
        <family val="2"/>
        <charset val="238"/>
        <scheme val="minor"/>
      </rPr>
      <t>(b</t>
    </r>
    <r>
      <rPr>
        <vertAlign val="subscript"/>
        <sz val="11"/>
        <rFont val="Calibri"/>
        <family val="2"/>
        <charset val="238"/>
        <scheme val="minor"/>
      </rPr>
      <t>12</t>
    </r>
    <r>
      <rPr>
        <sz val="11"/>
        <rFont val="Calibri"/>
        <family val="2"/>
        <charset val="238"/>
        <scheme val="minor"/>
      </rPr>
      <t>)=</t>
    </r>
  </si>
  <si>
    <r>
      <t>t</t>
    </r>
    <r>
      <rPr>
        <vertAlign val="subscript"/>
        <sz val="11"/>
        <color rgb="FFC00000"/>
        <rFont val="Calibri"/>
        <family val="2"/>
        <charset val="238"/>
        <scheme val="minor"/>
      </rPr>
      <t>1</t>
    </r>
    <r>
      <rPr>
        <sz val="11"/>
        <color rgb="FFC00000"/>
        <rFont val="Calibri"/>
        <family val="2"/>
        <charset val="238"/>
        <scheme val="minor"/>
      </rPr>
      <t>(x1)=(x1-12,5)/2,5</t>
    </r>
  </si>
  <si>
    <r>
      <t>t</t>
    </r>
    <r>
      <rPr>
        <vertAlign val="subscript"/>
        <sz val="11"/>
        <color rgb="FFC00000"/>
        <rFont val="Calibri"/>
        <family val="2"/>
        <charset val="238"/>
        <scheme val="minor"/>
      </rPr>
      <t>2</t>
    </r>
    <r>
      <rPr>
        <sz val="11"/>
        <color rgb="FFC00000"/>
        <rFont val="Calibri"/>
        <family val="2"/>
        <charset val="238"/>
        <scheme val="minor"/>
      </rPr>
      <t>(x2)=(x2-6)/1</t>
    </r>
  </si>
  <si>
    <t>4x8</t>
  </si>
  <si>
    <t>8x1</t>
  </si>
  <si>
    <t>Lower 98,0%</t>
  </si>
  <si>
    <t>Upper 98,0%</t>
  </si>
  <si>
    <t>RESIDUAL OUTPUT</t>
  </si>
  <si>
    <t>Observation</t>
  </si>
  <si>
    <t>Predicted yi</t>
  </si>
  <si>
    <t>Residuals</t>
  </si>
  <si>
    <t>Standard Residuals</t>
  </si>
  <si>
    <t>PROBABILITY OUTPUT</t>
  </si>
  <si>
    <t>Percentile</t>
  </si>
  <si>
    <t>yi</t>
  </si>
  <si>
    <t>t kv 4 (0,025)=</t>
  </si>
  <si>
    <t>t kv 4 (0,975)=</t>
  </si>
  <si>
    <t>delta=</t>
  </si>
  <si>
    <t>F(t0(b1))=</t>
  </si>
  <si>
    <t>1-F(t0(b1))=</t>
  </si>
  <si>
    <t>Na hladine vyznamnosti 0,05 mozno konstatovat, ze koeficient b1 je statisticky vyznamny, t.j.</t>
  </si>
  <si>
    <t>samostane posobenie faktora t1 na hodnotu funkcie yLt je statisticky vyznamne.</t>
  </si>
  <si>
    <t>Dlzka pruziny je dolezita pre zivotnost pruziny.</t>
  </si>
  <si>
    <t>Na hladine vyznamnosti 0,05 mozno konstatovat, ze koeficient b2 je statisticky vyznamny, t.j.</t>
  </si>
  <si>
    <t>samostatne posobenie faktora t2 na hodnotu funkcie yLt je statisticky vyznamne.</t>
  </si>
  <si>
    <t>Hrubka drotu je dolezita pre zivotnost pruziny.</t>
  </si>
  <si>
    <t>Na hladine vyznamnosti 0,05 mozno konstatovat, ze koeficient b12 nie je statisticky vyznamny, t.j.</t>
  </si>
  <si>
    <t>spolocne posobenie faktorov t1 a t2 na hodnotu funkcie yLt nie je statisticky vyznamne.</t>
  </si>
  <si>
    <t>Interakcia dlzky pruziny a hrubky drotu nie je dolezita pre zivotnost pruziny.</t>
  </si>
  <si>
    <t>K krit</t>
  </si>
  <si>
    <r>
      <rPr>
        <sz val="11"/>
        <color rgb="FFFF0000"/>
        <rFont val="Calibri"/>
        <family val="2"/>
        <charset val="238"/>
        <scheme val="minor"/>
      </rPr>
      <t xml:space="preserve">&lt; </t>
    </r>
    <r>
      <rPr>
        <sz val="11"/>
        <color theme="1"/>
        <rFont val="Calibri"/>
        <family val="2"/>
        <charset val="238"/>
        <scheme val="minor"/>
      </rPr>
      <t>0,05</t>
    </r>
  </si>
  <si>
    <r>
      <rPr>
        <sz val="11"/>
        <color rgb="FFFF0000"/>
        <rFont val="Calibri"/>
        <family val="2"/>
        <charset val="238"/>
        <scheme val="minor"/>
      </rPr>
      <t>nepatri</t>
    </r>
    <r>
      <rPr>
        <sz val="11"/>
        <color theme="1"/>
        <rFont val="Calibri"/>
        <family val="2"/>
        <charset val="238"/>
        <scheme val="minor"/>
      </rPr>
      <t xml:space="preserve"> do 95% IS</t>
    </r>
  </si>
  <si>
    <t>zamietame</t>
  </si>
  <si>
    <t>nezamietame</t>
  </si>
  <si>
    <r>
      <rPr>
        <sz val="11"/>
        <color rgb="FFFF0000"/>
        <rFont val="Calibri"/>
        <family val="2"/>
        <charset val="238"/>
        <scheme val="minor"/>
      </rPr>
      <t>patri</t>
    </r>
    <r>
      <rPr>
        <sz val="11"/>
        <color theme="1"/>
        <rFont val="Calibri"/>
        <family val="2"/>
        <charset val="238"/>
        <scheme val="minor"/>
      </rPr>
      <t xml:space="preserve"> do W</t>
    </r>
  </si>
  <si>
    <r>
      <rPr>
        <sz val="11"/>
        <color rgb="FFFF0000"/>
        <rFont val="Calibri"/>
        <family val="2"/>
        <charset val="238"/>
        <scheme val="minor"/>
      </rPr>
      <t xml:space="preserve">nepatri </t>
    </r>
    <r>
      <rPr>
        <sz val="11"/>
        <color theme="1"/>
        <rFont val="Calibri"/>
        <family val="2"/>
        <charset val="238"/>
        <scheme val="minor"/>
      </rPr>
      <t>do W</t>
    </r>
  </si>
  <si>
    <r>
      <rPr>
        <sz val="11"/>
        <color rgb="FFFF0000"/>
        <rFont val="Calibri"/>
        <family val="2"/>
        <charset val="238"/>
        <scheme val="minor"/>
      </rPr>
      <t>&gt;</t>
    </r>
    <r>
      <rPr>
        <sz val="11"/>
        <color theme="1"/>
        <rFont val="Calibri"/>
        <family val="2"/>
        <charset val="238"/>
        <scheme val="minor"/>
      </rPr>
      <t>0,05</t>
    </r>
  </si>
  <si>
    <r>
      <rPr>
        <sz val="11"/>
        <color rgb="FFFF0000"/>
        <rFont val="Calibri"/>
        <family val="2"/>
        <charset val="238"/>
        <scheme val="minor"/>
      </rPr>
      <t>&lt;</t>
    </r>
    <r>
      <rPr>
        <sz val="11"/>
        <color theme="1"/>
        <rFont val="Calibri"/>
        <family val="2"/>
        <charset val="238"/>
        <scheme val="minor"/>
      </rPr>
      <t>0,05</t>
    </r>
  </si>
  <si>
    <r>
      <rPr>
        <sz val="11"/>
        <color rgb="FFFF0000"/>
        <rFont val="Calibri"/>
        <family val="2"/>
        <charset val="238"/>
        <scheme val="minor"/>
      </rPr>
      <t>patri</t>
    </r>
    <r>
      <rPr>
        <sz val="11"/>
        <color theme="1"/>
        <rFont val="Calibri"/>
        <family val="2"/>
        <charset val="238"/>
        <scheme val="minor"/>
      </rPr>
      <t xml:space="preserve"> do 95% IS</t>
    </r>
  </si>
  <si>
    <t>F0=</t>
  </si>
  <si>
    <r>
      <t>F</t>
    </r>
    <r>
      <rPr>
        <vertAlign val="superscript"/>
        <sz val="11"/>
        <color theme="1"/>
        <rFont val="Calibri"/>
        <family val="2"/>
        <charset val="238"/>
        <scheme val="minor"/>
      </rPr>
      <t xml:space="preserve"> kv</t>
    </r>
    <r>
      <rPr>
        <vertAlign val="subscript"/>
        <sz val="11"/>
        <color theme="1"/>
        <rFont val="Calibri"/>
        <family val="2"/>
        <charset val="238"/>
        <scheme val="minor"/>
      </rPr>
      <t xml:space="preserve"> 3;4</t>
    </r>
    <r>
      <rPr>
        <sz val="11"/>
        <color theme="1"/>
        <rFont val="Calibri"/>
        <family val="2"/>
        <charset val="238"/>
        <scheme val="minor"/>
      </rPr>
      <t>(0,95)=</t>
    </r>
  </si>
  <si>
    <r>
      <t xml:space="preserve">t </t>
    </r>
    <r>
      <rPr>
        <vertAlign val="superscript"/>
        <sz val="11"/>
        <color theme="1"/>
        <rFont val="Calibri"/>
        <family val="2"/>
        <charset val="238"/>
      </rPr>
      <t>kv</t>
    </r>
    <r>
      <rPr>
        <sz val="11"/>
        <color theme="1"/>
        <rFont val="Calibri"/>
        <family val="2"/>
        <charset val="238"/>
      </rPr>
      <t xml:space="preserve"> </t>
    </r>
    <r>
      <rPr>
        <vertAlign val="subscript"/>
        <sz val="11"/>
        <color theme="1"/>
        <rFont val="Calibri"/>
        <family val="2"/>
        <charset val="238"/>
      </rPr>
      <t>4</t>
    </r>
    <r>
      <rPr>
        <sz val="11"/>
        <color theme="1"/>
        <rFont val="Calibri"/>
        <family val="2"/>
        <charset val="238"/>
      </rPr>
      <t>(0,975)=</t>
    </r>
  </si>
  <si>
    <t>W=(-nekonecno; -2,77)U(2,77; nekonecno)</t>
  </si>
  <si>
    <t>W=(6,59; nekonecno)</t>
  </si>
  <si>
    <t>patri do W</t>
  </si>
  <si>
    <t>H1: existuje aspon jedno</t>
  </si>
  <si>
    <t>p=</t>
  </si>
  <si>
    <t>&lt;0,05=alfa</t>
  </si>
  <si>
    <t>Na hladine vyznamnosti 0,05 mozno prijat hypotezu, ze regresny model linearneho typu je statisticky vyznamny.</t>
  </si>
  <si>
    <t>Zaver testovania  pre t-test:</t>
  </si>
  <si>
    <t>(dlzka pruziny je dolezity faktor pre zivotnost pruziny)</t>
  </si>
  <si>
    <t>Samostatny vplyv faktora t1 na hodnotu transformovanej regresnej funkcie je statisticky vyznamny, t.j. nemozno ho zanedbat.</t>
  </si>
  <si>
    <t>Na hladine vyznamnosti 0,05 mozno konstatovat, ze regresny koeficient b1 je statisticky vyznamny.</t>
  </si>
  <si>
    <t>Na hladine vyznamnosti 0,05 mozno konstatovat, ze regresny koeficient b2 je statisticky vyznamny.</t>
  </si>
  <si>
    <t>Na hladine vyznamnosti 0,05 mozno konstatovat, ze regresny koeficient b12 nie je statisticky vyznamny.</t>
  </si>
  <si>
    <t>t3</t>
  </si>
  <si>
    <t>t1*t3</t>
  </si>
  <si>
    <t>t2*t3</t>
  </si>
  <si>
    <t>t1*t2*t3</t>
  </si>
  <si>
    <t>Lower 95,0%</t>
  </si>
  <si>
    <t>Upper 95,0%</t>
  </si>
  <si>
    <t xml:space="preserve"> =Y</t>
  </si>
  <si>
    <r>
      <rPr>
        <sz val="11"/>
        <color rgb="FFFF0000"/>
        <rFont val="Calibri"/>
        <family val="2"/>
        <charset val="238"/>
        <scheme val="minor"/>
      </rPr>
      <t>16</t>
    </r>
    <r>
      <rPr>
        <sz val="11"/>
        <color theme="1"/>
        <rFont val="Calibri"/>
        <family val="2"/>
        <charset val="238"/>
        <scheme val="minor"/>
      </rPr>
      <t>x</t>
    </r>
    <r>
      <rPr>
        <sz val="11"/>
        <color rgb="FF92D050"/>
        <rFont val="Calibri"/>
        <family val="2"/>
        <charset val="238"/>
        <scheme val="minor"/>
      </rPr>
      <t>1</t>
    </r>
  </si>
  <si>
    <t>MNŠ:</t>
  </si>
  <si>
    <t>b0</t>
  </si>
  <si>
    <t>b1</t>
  </si>
  <si>
    <t>b2</t>
  </si>
  <si>
    <t>b3</t>
  </si>
  <si>
    <t>b12</t>
  </si>
  <si>
    <t>b13</t>
  </si>
  <si>
    <t>b23</t>
  </si>
  <si>
    <t>b123</t>
  </si>
  <si>
    <t xml:space="preserve"> =X</t>
  </si>
  <si>
    <r>
      <rPr>
        <sz val="11"/>
        <color rgb="FF92D050"/>
        <rFont val="Calibri"/>
        <family val="2"/>
        <charset val="238"/>
        <scheme val="minor"/>
      </rPr>
      <t>8</t>
    </r>
    <r>
      <rPr>
        <sz val="11"/>
        <color theme="1"/>
        <rFont val="Calibri"/>
        <family val="2"/>
        <charset val="238"/>
        <scheme val="minor"/>
      </rPr>
      <t>x</t>
    </r>
    <r>
      <rPr>
        <sz val="11"/>
        <color rgb="FFFF0000"/>
        <rFont val="Calibri"/>
        <family val="2"/>
        <charset val="238"/>
        <scheme val="minor"/>
      </rPr>
      <t>16</t>
    </r>
  </si>
  <si>
    <r>
      <rPr>
        <sz val="11"/>
        <rFont val="Calibri"/>
        <family val="2"/>
        <charset val="238"/>
        <scheme val="minor"/>
      </rPr>
      <t>16</t>
    </r>
    <r>
      <rPr>
        <sz val="11"/>
        <color theme="1"/>
        <rFont val="Calibri"/>
        <family val="2"/>
        <charset val="238"/>
        <scheme val="minor"/>
      </rPr>
      <t>x8</t>
    </r>
  </si>
  <si>
    <t>bodove odhahy koeficientov</t>
  </si>
  <si>
    <t>b0=</t>
  </si>
  <si>
    <t>efekty faktorov a interakcii</t>
  </si>
  <si>
    <t>efekty/2</t>
  </si>
  <si>
    <t>B0=</t>
  </si>
  <si>
    <t>b1=</t>
  </si>
  <si>
    <t>B1=</t>
  </si>
  <si>
    <t>b2=</t>
  </si>
  <si>
    <t>B2=</t>
  </si>
  <si>
    <t>b3=</t>
  </si>
  <si>
    <t>ef(x3)=</t>
  </si>
  <si>
    <t>B3=</t>
  </si>
  <si>
    <t>b12=</t>
  </si>
  <si>
    <t>ef(x1*x2)=</t>
  </si>
  <si>
    <t>B12=</t>
  </si>
  <si>
    <t>b13=</t>
  </si>
  <si>
    <t>ef(x1*x3)=</t>
  </si>
  <si>
    <t>B13=</t>
  </si>
  <si>
    <t>b23=</t>
  </si>
  <si>
    <t>ef(x2*x3)=</t>
  </si>
  <si>
    <t>B23=</t>
  </si>
  <si>
    <t>b123=</t>
  </si>
  <si>
    <t>ef(x1*x2*x3)=</t>
  </si>
  <si>
    <t>B123=</t>
  </si>
  <si>
    <t>Regresna analyza_cez analyticke nastroje</t>
  </si>
  <si>
    <t>yLt(t1,t2,t3)=</t>
  </si>
  <si>
    <t>*t2+</t>
  </si>
  <si>
    <t>*t3+</t>
  </si>
  <si>
    <t>*t1*t2+</t>
  </si>
  <si>
    <t>*t1*t3</t>
  </si>
  <si>
    <t>*t2*t3</t>
  </si>
  <si>
    <t>*t1*t2*t3</t>
  </si>
  <si>
    <t>efekt faktora x1 pri konst. urovniach x2</t>
  </si>
  <si>
    <t>efekt faktora x2 pri konst. urovniach x1</t>
  </si>
  <si>
    <t>je pritomna interakcia medzi pracim praskom a teplotou prania</t>
  </si>
  <si>
    <t>cervena usecka zobrazuje efekt faktora x1_pracieho prasku pri 60°C</t>
  </si>
  <si>
    <t>cervena usecka zobrazuje efekt faktora x2_teploty prania pri pouziti pracieho prasku A2</t>
  </si>
  <si>
    <t>modra usecka zobrazuje efekt faktora x1_pracieho prasku pri 40°C</t>
  </si>
  <si>
    <t>modra usecka zobrazuje efekt faktora x2_teploty prania pri pouziti pracieho prasku A1</t>
  </si>
  <si>
    <t>ak budeme prat s pracim praskom A1 pri maximalizacii odozvy volime 40°C</t>
  </si>
  <si>
    <t>ak budeme prat pri 40°C pri maximalizacii odozvy volime praci prasok A2</t>
  </si>
  <si>
    <t>ak budeme prat s pracim praskom A2 pri maximalizacii odozvy volime 60°C</t>
  </si>
  <si>
    <t>ak budeme prat pri 60°C pri maximalizacii odozvy volime praci prasok A2</t>
  </si>
  <si>
    <t>pri maximalizacii odozvy volime praci prasok A2 a teplotu 60°C</t>
  </si>
  <si>
    <t>vzdy vyperieme lepsie s pracim praskom A2</t>
  </si>
  <si>
    <t>pri 40°C nie je rozdiel odozvy taky vyrazny ako pri 60°C</t>
  </si>
  <si>
    <t>0,015 (mm/min)</t>
  </si>
  <si>
    <t>0,06 (mm/min)</t>
  </si>
  <si>
    <t>Pri zobrazovani interacie efektov potrebujeme vypocitat priemerne hodnoty odozvy:</t>
  </si>
  <si>
    <t>3.  Bola meraná prítlačná sila vyvinutá vŕtačkou v závislosti na rýchlosti vŕtania a rýchlosti posuvu.</t>
  </si>
  <si>
    <t>factorial points</t>
  </si>
  <si>
    <t>W=(7,71, nekonecno)</t>
  </si>
  <si>
    <t>&gt;0,05=alfa, t.j. H0 nezamietame</t>
  </si>
  <si>
    <t>yt(t1,t2)=</t>
  </si>
  <si>
    <t>*t1+</t>
  </si>
  <si>
    <t>*t1^2+</t>
  </si>
  <si>
    <t>*t2^2</t>
  </si>
  <si>
    <t>Hladame optimalne riesenie - globalne maximum:</t>
  </si>
  <si>
    <t>SSE=SSLF+SSPE</t>
  </si>
  <si>
    <t>p-value</t>
  </si>
  <si>
    <t>Model</t>
  </si>
  <si>
    <t>Error</t>
  </si>
  <si>
    <t>LOF</t>
  </si>
  <si>
    <t>PE</t>
  </si>
  <si>
    <r>
      <t>H0: SSLF=SSPE &gt;&lt; H1: SSLF</t>
    </r>
    <r>
      <rPr>
        <sz val="11"/>
        <color theme="1"/>
        <rFont val="Calibri"/>
        <family val="2"/>
        <charset val="238"/>
      </rPr>
      <t>≠SSPE</t>
    </r>
  </si>
  <si>
    <t>F0=2,75&lt;Fkrit=9,013455 t.j. H0 nezamietame (polozka SSLF nie je vyznamna, preto je linearny model vyhovujuci)</t>
  </si>
  <si>
    <t>p=0,217&gt;0,05=alfa</t>
  </si>
  <si>
    <t>y(t1,t2,t3)=</t>
  </si>
  <si>
    <t>*t3</t>
  </si>
  <si>
    <t>Rozlozte SSE pre uplny kvadraticky model a urobte test lack of fit</t>
  </si>
  <si>
    <t>regresna analyza:</t>
  </si>
  <si>
    <t>F0</t>
  </si>
  <si>
    <t>p</t>
  </si>
  <si>
    <t>F0=0,32&lt;Fkrit=9,28 t.j. H0 nezamietame (polozka SSLF nie je vyznamna, preto je model dostatocny-nie je potrebny zlozitejsi model)</t>
  </si>
  <si>
    <t>p=0,81&gt;0,05=alfa</t>
  </si>
  <si>
    <t>Y(t1,t2)=</t>
  </si>
  <si>
    <t>*t1^2</t>
  </si>
  <si>
    <t>Minitab:</t>
  </si>
  <si>
    <r>
      <t>a)</t>
    </r>
    <r>
      <rPr>
        <sz val="12"/>
        <color theme="1"/>
        <rFont val="Times New Roman"/>
        <family val="1"/>
        <charset val="238"/>
      </rPr>
      <t xml:space="preserve">      Odhadnite MNŠ </t>
    </r>
  </si>
  <si>
    <t xml:space="preserve">b)      Na hladine významnosti 0,01 rozhodnite, ktoré z faktorov a interakcií nie sú štatisticky významné a možno ich vylúčiť, ak má zostať model hierarchický. </t>
  </si>
  <si>
    <r>
      <t xml:space="preserve">           </t>
    </r>
    <r>
      <rPr>
        <sz val="11"/>
        <color theme="1"/>
        <rFont val="Times New Roman"/>
        <family val="1"/>
        <charset val="238"/>
      </rPr>
      <t xml:space="preserve">Napíšte bodový odhad novej transformovanej regresnej funkcie  lineárneho typu </t>
    </r>
  </si>
  <si>
    <r>
      <t xml:space="preserve">   </t>
    </r>
    <r>
      <rPr>
        <sz val="11"/>
        <color theme="1"/>
        <rFont val="Times New Roman"/>
        <family val="1"/>
        <charset val="238"/>
      </rPr>
      <t xml:space="preserve"> a regresnej funkcie  lineárneho typu</t>
    </r>
    <r>
      <rPr>
        <sz val="11"/>
        <color theme="1"/>
        <rFont val="Calibri"/>
        <family val="2"/>
        <charset val="238"/>
        <scheme val="minor"/>
      </rPr>
      <t xml:space="preserve"> </t>
    </r>
  </si>
  <si>
    <t xml:space="preserve">         ktorý vznikne po vylúčení štatisticky nevýznamných členov. </t>
  </si>
  <si>
    <t xml:space="preserve">c)     Na hladine významnosti </t>
  </si>
  <si>
    <r>
      <t xml:space="preserve">                 </t>
    </r>
    <r>
      <rPr>
        <sz val="11"/>
        <color theme="1"/>
        <rFont val="Calibri"/>
        <family val="2"/>
        <charset val="238"/>
        <scheme val="minor"/>
      </rPr>
      <t xml:space="preserve"> testujte celkovú štatistickú významnosť redukovaného regresného modelu lineárneho typu. </t>
    </r>
  </si>
  <si>
    <r>
      <t>d)</t>
    </r>
    <r>
      <rPr>
        <sz val="11"/>
        <color theme="1"/>
        <rFont val="Times New Roman"/>
        <family val="1"/>
        <charset val="238"/>
      </rPr>
      <t xml:space="preserve">     Určte, či je samostatné pôsobenie pulzného prúdu  na hodnotu tejto regresnej funkcie lineárneho typu štatisticky významné. Testujte na hladine významnosti </t>
    </r>
  </si>
  <si>
    <r>
      <t>e)</t>
    </r>
    <r>
      <rPr>
        <sz val="11"/>
        <color theme="1"/>
        <rFont val="Times New Roman"/>
        <family val="1"/>
        <charset val="238"/>
      </rPr>
      <t xml:space="preserve">     Zobrazte efekt faktora pulzný prúd pri oboch úrovniach doby trvania výboja (interaction plot).    </t>
    </r>
  </si>
  <si>
    <r>
      <t>f)</t>
    </r>
    <r>
      <rPr>
        <sz val="11"/>
        <color theme="1"/>
        <rFont val="Times New Roman"/>
        <family val="1"/>
        <charset val="238"/>
      </rPr>
      <t xml:space="preserve">     Model použite na predikciu rýchlosti úberu materiálu pri nastavení faktorov na hodnoty 6A, 60 µs a 2g/l. </t>
    </r>
  </si>
  <si>
    <t>s</t>
  </si>
  <si>
    <t>lambda</t>
  </si>
  <si>
    <t>b) Vystup analytickych nastrojov:</t>
  </si>
  <si>
    <t>Z modelu mozno vylucit faktor t3 a vsetky interakcie s tymto faktorom (p-hodnoty su vacsie ako hladina vyznamnosti 0,01)</t>
  </si>
  <si>
    <t xml:space="preserve"> +5+1=32 bodov, v ktorych musime urobit meranie</t>
  </si>
  <si>
    <t>Boli zvolené 2 replikácie.</t>
  </si>
  <si>
    <t>Alias Structure</t>
  </si>
  <si>
    <t>I + ABCDE</t>
  </si>
  <si>
    <t>A + BCDE</t>
  </si>
  <si>
    <t>B + ACDE</t>
  </si>
  <si>
    <t>I=ABCDE</t>
  </si>
  <si>
    <t>(Pocet definicnych rovnic je 2^1-1=1.)</t>
  </si>
  <si>
    <t>C + ABDE</t>
  </si>
  <si>
    <t>(dlzka slova)</t>
  </si>
  <si>
    <t>D + ABCE</t>
  </si>
  <si>
    <t>(Pocet zamenitelnych dvojic je 2^1=2.)</t>
  </si>
  <si>
    <t>E + ABCD</t>
  </si>
  <si>
    <t>AB + CDE</t>
  </si>
  <si>
    <t>AC + BDE</t>
  </si>
  <si>
    <t>AD + BCE</t>
  </si>
  <si>
    <t>AE + BCD</t>
  </si>
  <si>
    <t>BC + ADE</t>
  </si>
  <si>
    <t>BD + ACE</t>
  </si>
  <si>
    <t>BE + ACD</t>
  </si>
  <si>
    <t>CD + ABE</t>
  </si>
  <si>
    <t>CE + ABD</t>
  </si>
  <si>
    <t>DE + ABC</t>
  </si>
  <si>
    <t>Zaver:</t>
  </si>
  <si>
    <t>Normálny pravdepodobnostny graf pre efekty:</t>
  </si>
  <si>
    <t>efekty:</t>
  </si>
  <si>
    <t>koeficienty:</t>
  </si>
  <si>
    <t>Absolutne hodnoty efektov su usporiadané zostupne podla velkosti.</t>
  </si>
  <si>
    <t>abs (efekt)</t>
  </si>
  <si>
    <t>nezavisle premenne: t1, t2, t3, t1*t2, t1*t3, t2*t3, t1*t2*t3</t>
  </si>
  <si>
    <t>yLt(x1,x2,x3)=</t>
  </si>
  <si>
    <t>*x1+</t>
  </si>
  <si>
    <t>*x2+</t>
  </si>
  <si>
    <t>*x3+</t>
  </si>
  <si>
    <t>*x1*x2+</t>
  </si>
  <si>
    <t>*x1*x3</t>
  </si>
  <si>
    <t>*x1*x2*x3</t>
  </si>
  <si>
    <t>*x2*x3</t>
  </si>
  <si>
    <t xml:space="preserve">Vsetky faktory a vsetky ich interakcie mozno povazovat na hladine vyznamnosti 0,05 za signifikantne </t>
  </si>
  <si>
    <t>(vsetky p hodnoty su mensie ako alfa=0,05).</t>
  </si>
  <si>
    <t>F0 nepatri W</t>
  </si>
  <si>
    <t xml:space="preserve">testovacia statistika: </t>
  </si>
  <si>
    <t>1 MPa</t>
  </si>
  <si>
    <t>Minimalny pocet merani pri experimente 2^5 pri reg. modeli lin. typu:</t>
  </si>
  <si>
    <t>zakladna frakcia</t>
  </si>
  <si>
    <t>doplnkova frakcia</t>
  </si>
  <si>
    <t>Factor</t>
  </si>
  <si>
    <t>Name</t>
  </si>
  <si>
    <t>Aliases</t>
  </si>
  <si>
    <t>Design Summary</t>
  </si>
  <si>
    <t>Factors:</t>
  </si>
  <si>
    <t>Base Design:</t>
  </si>
  <si>
    <t>5; 16</t>
  </si>
  <si>
    <t>Resolution:</t>
  </si>
  <si>
    <t>V</t>
  </si>
  <si>
    <t>Runs:</t>
  </si>
  <si>
    <t>Replicates:</t>
  </si>
  <si>
    <t>Fraction:</t>
  </si>
  <si>
    <t>Blocks:</t>
  </si>
  <si>
    <t>Center pts (total):</t>
  </si>
  <si>
    <t>ROVNAKE VYSLEDKY PRI EXPERIMENTE 2^5 AJ 2^(5-1) - vyznamne su faktory B,C,D</t>
  </si>
  <si>
    <t>(SATUROVANY PLAN)</t>
  </si>
  <si>
    <t>Porovnanie poctu merani pri uplnom a polovicnom plane experimentu:</t>
  </si>
  <si>
    <t>2^5</t>
  </si>
  <si>
    <t>2^(5-1)</t>
  </si>
  <si>
    <t>Na hladine vvznamnosti 0,05 hodnodte kvalitu linearneho regresneho modelu testom Lack of fit.</t>
  </si>
  <si>
    <t>krit hodnota=</t>
  </si>
  <si>
    <t>b) Vystup analytickych nastrojov po vyluceni faktora t3 a interakcii s nim:</t>
  </si>
  <si>
    <t>porovnanie upraveneho R^2 pred a po vyluceni statisticky nevyznamnych clenov z regresnoho modelu</t>
  </si>
  <si>
    <t>Pr. Bolo skúmané, ako závisí Y- množstvo farbiva od faktorov: pH, teploty, koncetrácie, dokončovacej teploty a času.</t>
  </si>
  <si>
    <t>x1=</t>
  </si>
  <si>
    <t>x2=</t>
  </si>
  <si>
    <t>x3=</t>
  </si>
  <si>
    <t xml:space="preserve"> µs</t>
  </si>
  <si>
    <t>g/l</t>
  </si>
  <si>
    <t>t1=</t>
  </si>
  <si>
    <t>t2=</t>
  </si>
  <si>
    <t>t3=</t>
  </si>
  <si>
    <t>predikcia</t>
  </si>
  <si>
    <t>je predikovana hodnota pre zvolene urovne faktorov</t>
  </si>
  <si>
    <t>po vyluceni clenov, ktore nie su signifikantne (pri zachovani hierarchickeho modelu ponechavame aj cleny predstavujuce linearny vplyv t1 i t2 hoci su statisticky nevyznamne)</t>
  </si>
  <si>
    <t xml:space="preserve">alfa= </t>
  </si>
  <si>
    <t>Na hladine vyznamnosti 0,05 mozno prijat tvrdenie, ze nie je potrebne do regresneho modelu zaradovat kvadraticke cleny (nepotrebujeme uplny kvadraticky model)</t>
  </si>
  <si>
    <t>H0: b11+b22=0  nezamietame (prijimame) - nepotrebujeme uplny kvadraticky model, staci nam model bez kvadratických členov</t>
  </si>
  <si>
    <t>H1: b11+b22 nerovna sa 0  zamietame</t>
  </si>
  <si>
    <t>uplny kvadraticky model je dany predpisom</t>
  </si>
  <si>
    <t>(vypocet pre experiment bez replikacii vo faktorialnych bodoch)</t>
  </si>
  <si>
    <t>zobrazenie p-hodnoty</t>
  </si>
  <si>
    <t>Porovnanie p-hodnoty s alfou + porovnanie F0 a kritickej oblasti W</t>
  </si>
  <si>
    <t>(vypocet pre experiment s replikaciami vo faktorialnych bodoch)</t>
  </si>
  <si>
    <t>PE=</t>
  </si>
  <si>
    <t>dfPE=</t>
  </si>
  <si>
    <t xml:space="preserve"> =F1,8(0,95)</t>
  </si>
  <si>
    <t>Backward Elimination of Terms</t>
  </si>
  <si>
    <t>Model Summary</t>
  </si>
  <si>
    <t>α to remove = 0,05</t>
  </si>
  <si>
    <t>S</t>
  </si>
  <si>
    <t>R-sq</t>
  </si>
  <si>
    <t>R-sq(adj)</t>
  </si>
  <si>
    <t>R-sq(pred)</t>
  </si>
  <si>
    <t>The initial model was saturated. The stepwise procedure removed the following terms in order</t>
  </si>
  <si>
    <t xml:space="preserve">     to obtain sufficient degrees of freedom to begin: koncentracia*dokonc cas;</t>
  </si>
  <si>
    <t xml:space="preserve">     pH*koncentracia*dokonc cas; teplota*koncentracia*dokonc cas; koncentracia*dokonc</t>
  </si>
  <si>
    <t xml:space="preserve">     teplota*dokonc cas; pH*teplota*koncentracia*dokonc cas; pH*koncentracia*dokonc teplota*dokonc</t>
  </si>
  <si>
    <t xml:space="preserve">     cas; teplota*koncentracia*dokonc teplota*dokonc cas; pH*teplota*koncentracia*dokonc</t>
  </si>
  <si>
    <t xml:space="preserve">     teplota*dokonc cas</t>
  </si>
  <si>
    <t>Coded Coefficients</t>
  </si>
  <si>
    <t>Term</t>
  </si>
  <si>
    <t>Effect</t>
  </si>
  <si>
    <t>Coef</t>
  </si>
  <si>
    <t>SE Coef</t>
  </si>
  <si>
    <t>T-Value</t>
  </si>
  <si>
    <t>P-Value</t>
  </si>
  <si>
    <t>VIF</t>
  </si>
  <si>
    <t>Constant</t>
  </si>
  <si>
    <t>koncentracia</t>
  </si>
  <si>
    <t>dokonc teplota</t>
  </si>
  <si>
    <t>dokonc cas</t>
  </si>
  <si>
    <t>teplota*koncentracia</t>
  </si>
  <si>
    <t>teplota*dokonc teplota</t>
  </si>
  <si>
    <t>teplota*dokonc cas</t>
  </si>
  <si>
    <t>dokonc teplota*dokonc cas</t>
  </si>
  <si>
    <t>teplota*dokonc teplota*dokonc cas</t>
  </si>
  <si>
    <t>Analysis of Variance</t>
  </si>
  <si>
    <t>Source</t>
  </si>
  <si>
    <t>DF</t>
  </si>
  <si>
    <t>Adj SS</t>
  </si>
  <si>
    <t>Adj MS</t>
  </si>
  <si>
    <t>F-Value</t>
  </si>
  <si>
    <t xml:space="preserve">  Linear</t>
  </si>
  <si>
    <t xml:space="preserve">    teplota</t>
  </si>
  <si>
    <t xml:space="preserve">    koncentracia</t>
  </si>
  <si>
    <t xml:space="preserve">    dokonc teplota</t>
  </si>
  <si>
    <t xml:space="preserve">    dokonc cas</t>
  </si>
  <si>
    <t xml:space="preserve">  2-Way Interactions</t>
  </si>
  <si>
    <t xml:space="preserve">    teplota*koncentracia</t>
  </si>
  <si>
    <t xml:space="preserve">    teplota*dokonc teplota</t>
  </si>
  <si>
    <t xml:space="preserve">    teplota*dokonc cas</t>
  </si>
  <si>
    <t xml:space="preserve">    dokonc teplota*dokonc cas</t>
  </si>
  <si>
    <t xml:space="preserve">  3-Way Interactions</t>
  </si>
  <si>
    <t xml:space="preserve">    teplota*dokonc teplota*dokonc cas</t>
  </si>
  <si>
    <t>Regression Equation in Uncoded Units</t>
  </si>
  <si>
    <t>=</t>
  </si>
  <si>
    <t>1501 - 18,17 teplota + 23,25 koncentracia - 8,50 dokonc teplota - 22,56 dokonc cas</t>
  </si>
  <si>
    <t>- 0,3500 teplota*koncentracia + 0,1040 teplota*dokonc teplota + 0,2650 teplota*dokonc cas</t>
  </si>
  <si>
    <t>+ 0,1275 dokonc teplota*dokonc cas - 0,001500 teplota*dokonc teplota*dokonc cas</t>
  </si>
  <si>
    <t>Parameters</t>
  </si>
  <si>
    <t>Response</t>
  </si>
  <si>
    <t>Goal</t>
  </si>
  <si>
    <t>Lower</t>
  </si>
  <si>
    <t>Target</t>
  </si>
  <si>
    <t>Upper</t>
  </si>
  <si>
    <t>Weight</t>
  </si>
  <si>
    <t>Importance</t>
  </si>
  <si>
    <t>dokonc</t>
  </si>
  <si>
    <t>Composite</t>
  </si>
  <si>
    <t>Solutions</t>
  </si>
  <si>
    <t>Fit</t>
  </si>
  <si>
    <t>Desirability</t>
  </si>
  <si>
    <t>Riesenie v Minitabe (je mozne iba graficke riesenie, pretoze nemame replikacie)</t>
  </si>
  <si>
    <t>Charakteristiky modelu po odstraneni nevyznamnych clenov (R^2, upravene R^2 a R^2 tykajuce sa predikcie)</t>
  </si>
  <si>
    <t>Na odstranenie nevyznamnych clenov regresneho modelu bola pouzita spätna eliminacna metoda (alfa=0,05)</t>
  </si>
  <si>
    <t xml:space="preserve">vystup Minitabu  cast ANOVA mozno pouzit na testovanie statistickej vyznamnosti prinosu k-tej vysvetlujucej premennej a pri teste statistickej vyznamnosti regresneho modelu </t>
  </si>
  <si>
    <t>tabulku s bodovym odhadmi koeficientov regresneho modelu pouzivame pri t-testoch o nulovosti  daneho regresneho koeficientu</t>
  </si>
  <si>
    <t>vybrany vrstevnicovy graf:</t>
  </si>
  <si>
    <t>Po odstraneni nevyznamnych clenov je mozna statisticka analyza.</t>
  </si>
  <si>
    <t>Vypocet hladaneho optimalneho riesenia _ zvolena cielova hodnota  9,5</t>
  </si>
  <si>
    <t>regresna rovnica v kodovanych jednotkach:</t>
  </si>
  <si>
    <t>pocet stlaceni pruziny=69-11t1+8.5t2-1.5t1*t2</t>
  </si>
  <si>
    <t>pocet stlaceni pruziny=69-11*(x1-12.5)/2.5+8.5*(x2-6)-1.5*(x1-12.5)(x2-6)/2.5</t>
  </si>
  <si>
    <t>Predikcia</t>
  </si>
  <si>
    <t>kodované premenné</t>
  </si>
  <si>
    <t>predikovaná hodnota:</t>
  </si>
  <si>
    <t>bodové odhady koeficientov v rovnici s nekódovanými premennými</t>
  </si>
  <si>
    <t>bodové odhady koeficientov v rovnici s kódovanými premennými</t>
  </si>
  <si>
    <t>CPLOT:</t>
  </si>
  <si>
    <t>kvantitívne premenné dosadíme v pôvodných jednotkách, kvalitatívne ako kódované úrovne</t>
  </si>
  <si>
    <t>Porovnajte výsledok predikcie pre rovnicu v kódovaných a nekódovaných premenných.</t>
  </si>
  <si>
    <t>Zobrazenie odozvovej plochy:</t>
  </si>
  <si>
    <t>Vrstevnicové grafy:</t>
  </si>
  <si>
    <r>
      <t>x</t>
    </r>
    <r>
      <rPr>
        <vertAlign val="subscript"/>
        <sz val="11"/>
        <color theme="1"/>
        <rFont val="Calibri"/>
        <family val="2"/>
        <charset val="238"/>
        <scheme val="minor"/>
      </rPr>
      <t>1</t>
    </r>
    <r>
      <rPr>
        <sz val="11"/>
        <color theme="1"/>
        <rFont val="Calibri"/>
        <family val="2"/>
        <charset val="238"/>
        <scheme val="minor"/>
      </rPr>
      <t xml:space="preserve">-druh pracieho prášku (A1, A2) - </t>
    </r>
    <r>
      <rPr>
        <sz val="11"/>
        <color rgb="FFFF0000"/>
        <rFont val="Calibri"/>
        <family val="2"/>
        <charset val="238"/>
        <scheme val="minor"/>
      </rPr>
      <t>prací prášok je kvalitatívna premenná</t>
    </r>
    <r>
      <rPr>
        <sz val="11"/>
        <color theme="1"/>
        <rFont val="Calibri"/>
        <family val="2"/>
        <charset val="238"/>
        <scheme val="minor"/>
      </rPr>
      <t>!</t>
    </r>
  </si>
  <si>
    <t>regresna rovnica v nekodovanych jednotkach (bez úpravy):</t>
  </si>
  <si>
    <t>Kým začneme hľadať predpis uplného kvadratického modelu, overíme, či je potrebný (testom krivosti, testom lack-of-fit a pomocou ANOVA).</t>
  </si>
  <si>
    <t>praci prasok</t>
  </si>
  <si>
    <t>teplota vody</t>
  </si>
  <si>
    <t>cas prania</t>
  </si>
  <si>
    <t>ucinnost prania</t>
  </si>
  <si>
    <t>Modelu nechýba kvadratický člen v každom faktore zvlášť.</t>
  </si>
  <si>
    <t>Testom krivosti testujeme prítomnosť kvadratického tvaru, nie všeobecnú nelinearitu!</t>
  </si>
  <si>
    <t>Riešenie:</t>
  </si>
  <si>
    <t>2) reziduá - normalita, heteroskedasticita, systematické vzory (S alebo U tvar)</t>
  </si>
  <si>
    <t>3) Box-Cox transformácia</t>
  </si>
  <si>
    <t>Testom LOF testujeme celkové odchýlenie modelu od reality (porovnávame chybu modelu s čistou chybou)</t>
  </si>
  <si>
    <r>
      <t>(transformácia, nelinearita niekde inde ako v strede - skombinované kvadratické členy, napr. A</t>
    </r>
    <r>
      <rPr>
        <vertAlign val="super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>B...)</t>
    </r>
  </si>
  <si>
    <t>Normal Probability Plot</t>
  </si>
  <si>
    <t>Reziduá sú takmer lineárne, bez výrazných odchýlok. → Normalita je v poriadku.</t>
  </si>
  <si>
    <t>Histogram</t>
  </si>
  <si>
    <t>Versus Fits</t>
  </si>
  <si>
    <t>Versus Order</t>
  </si>
  <si>
    <t>4) F pre LOF=MS_LOF/MS_PureError - ak je PureError veľmi malá, test LOF bude takmer vždy významný (meranie má malú variabilitu, umelo malá čistá chyba - každá odchýlka spôsobí veľké LOF v teste)</t>
  </si>
  <si>
    <t>1) kvadratický model (Response surface design) - CCD</t>
  </si>
  <si>
    <t>Normálne rozdelenie nevyplýva z grafu (pri 0,5 chýbajúci stĺpec a relatívne nesymetrické rozdelenie)</t>
  </si>
  <si>
    <r>
      <t xml:space="preserve">Štandardizované rezidá sú umiestnené v intervale </t>
    </r>
    <r>
      <rPr>
        <sz val="11"/>
        <color theme="1"/>
        <rFont val="Calibri"/>
        <family val="2"/>
        <charset val="238"/>
      </rPr>
      <t>±2 (nemáme žiadne extrémne hodnoty).</t>
    </r>
  </si>
  <si>
    <t>Nelinearita nie je typu "jednoduché kvadratické zakrivenie".</t>
  </si>
  <si>
    <t>Rezidá sú náhodné, bez trendu.</t>
  </si>
  <si>
    <t>Úsečky zobrazujú efekt faktora B pri konštantnej úrovni faktora A</t>
  </si>
  <si>
    <t>Úsečky zobrazujú efekt faktora A pri konštantnej úrovni faktora 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</si>
</sst>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41" x14ac:knownFonts="1">
    <font>
      <sz val="11"/>
      <color theme="1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vertAlign val="subscript"/>
      <sz val="11"/>
      <color theme="1"/>
      <name val="Calibri"/>
      <family val="2"/>
      <charset val="238"/>
      <scheme val="minor"/>
    </font>
    <font>
      <vertAlign val="superscript"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b/>
      <sz val="9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sz val="11"/>
      <name val="Calibri"/>
      <family val="2"/>
      <charset val="238"/>
      <scheme val="minor"/>
    </font>
    <font>
      <vertAlign val="subscript"/>
      <sz val="11"/>
      <name val="Calibri"/>
      <family val="2"/>
      <charset val="238"/>
      <scheme val="minor"/>
    </font>
    <font>
      <sz val="11"/>
      <color rgb="FFC00000"/>
      <name val="Calibri"/>
      <family val="2"/>
      <charset val="238"/>
      <scheme val="minor"/>
    </font>
    <font>
      <vertAlign val="subscript"/>
      <sz val="11"/>
      <color rgb="FFC00000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sz val="8"/>
      <color indexed="81"/>
      <name val="Tahoma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theme="4" tint="-0.249977111117893"/>
      <name val="Calibri"/>
      <family val="2"/>
      <charset val="238"/>
      <scheme val="minor"/>
    </font>
    <font>
      <b/>
      <sz val="8"/>
      <color indexed="81"/>
      <name val="Segoe UI"/>
      <family val="2"/>
      <charset val="238"/>
    </font>
    <font>
      <sz val="11"/>
      <color rgb="FF000000"/>
      <name val="Calibri"/>
      <family val="2"/>
      <charset val="238"/>
      <scheme val="minor"/>
    </font>
    <font>
      <sz val="11"/>
      <color rgb="FF0070C0"/>
      <name val="Calibri"/>
      <family val="2"/>
      <charset val="238"/>
      <scheme val="minor"/>
    </font>
    <font>
      <sz val="11"/>
      <color theme="3"/>
      <name val="Calibri"/>
      <family val="2"/>
      <charset val="238"/>
      <scheme val="minor"/>
    </font>
    <font>
      <sz val="11"/>
      <color rgb="FF00B050"/>
      <name val="Calibri"/>
      <family val="2"/>
      <charset val="238"/>
      <scheme val="minor"/>
    </font>
    <font>
      <sz val="14"/>
      <color theme="3"/>
      <name val="Calibri"/>
      <family val="2"/>
      <charset val="238"/>
      <scheme val="minor"/>
    </font>
    <font>
      <sz val="11"/>
      <color theme="4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vertAlign val="superscript"/>
      <sz val="11"/>
      <name val="Calibri"/>
      <family val="2"/>
      <charset val="238"/>
      <scheme val="minor"/>
    </font>
    <font>
      <sz val="12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9"/>
      <color indexed="81"/>
      <name val="Segoe UI"/>
      <family val="2"/>
      <charset val="238"/>
    </font>
    <font>
      <vertAlign val="subscript"/>
      <sz val="11"/>
      <color theme="1"/>
      <name val="Calibri"/>
      <family val="2"/>
      <charset val="238"/>
    </font>
    <font>
      <vertAlign val="superscript"/>
      <sz val="11"/>
      <color theme="1"/>
      <name val="Calibri"/>
      <family val="2"/>
      <charset val="238"/>
    </font>
    <font>
      <sz val="11"/>
      <color rgb="FF92D050"/>
      <name val="Calibri"/>
      <family val="2"/>
      <charset val="238"/>
      <scheme val="minor"/>
    </font>
    <font>
      <b/>
      <sz val="11"/>
      <color theme="4"/>
      <name val="Calibri"/>
      <family val="2"/>
      <charset val="238"/>
      <scheme val="minor"/>
    </font>
    <font>
      <sz val="20"/>
      <color rgb="FFFF0000"/>
      <name val="Calibri"/>
      <family val="2"/>
      <charset val="238"/>
      <scheme val="minor"/>
    </font>
    <font>
      <sz val="11"/>
      <color theme="5"/>
      <name val="Calibri"/>
      <family val="2"/>
      <charset val="238"/>
      <scheme val="minor"/>
    </font>
    <font>
      <sz val="11"/>
      <color theme="6"/>
      <name val="Calibri"/>
      <family val="2"/>
      <charset val="238"/>
      <scheme val="minor"/>
    </font>
    <font>
      <b/>
      <sz val="11"/>
      <color rgb="FF00B05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9"/>
      <color indexed="81"/>
      <name val="Segoe UI"/>
      <family val="2"/>
      <charset val="238"/>
    </font>
  </fonts>
  <fills count="41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5E4E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FFEED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BDD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B7F0F3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6565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E2E2E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5353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9D3DB"/>
        <bgColor indexed="64"/>
      </patternFill>
    </fill>
    <fill>
      <patternFill patternType="solid">
        <fgColor rgb="FFFFF3CD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9FFD9"/>
        <bgColor indexed="64"/>
      </patternFill>
    </fill>
    <fill>
      <patternFill patternType="solid">
        <fgColor rgb="FFBEC5FA"/>
        <bgColor indexed="64"/>
      </patternFill>
    </fill>
    <fill>
      <patternFill patternType="solid">
        <fgColor rgb="FFD8FF6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C00000"/>
      </left>
      <right style="thin">
        <color rgb="FFC00000"/>
      </right>
      <top style="thin">
        <color rgb="FFC00000"/>
      </top>
      <bottom/>
      <diagonal/>
    </border>
    <border>
      <left style="thin">
        <color rgb="FFC00000"/>
      </left>
      <right style="thin">
        <color rgb="FFC00000"/>
      </right>
      <top/>
      <bottom style="thin">
        <color rgb="FFC00000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rgb="FFFF0000"/>
      </right>
      <top/>
      <bottom/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1">
    <xf numFmtId="0" fontId="0" fillId="0" borderId="0"/>
  </cellStyleXfs>
  <cellXfs count="442">
    <xf numFmtId="0" fontId="0" fillId="0" borderId="0" xfId="0"/>
    <xf numFmtId="9" fontId="0" fillId="2" borderId="0" xfId="0" applyNumberFormat="1" applyFill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0" fillId="0" borderId="3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right"/>
    </xf>
    <xf numFmtId="0" fontId="5" fillId="0" borderId="12" xfId="0" applyFont="1" applyBorder="1" applyAlignment="1">
      <alignment horizontal="right"/>
    </xf>
    <xf numFmtId="0" fontId="0" fillId="0" borderId="0" xfId="0" applyBorder="1"/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2" borderId="14" xfId="0" applyFill="1" applyBorder="1" applyAlignment="1">
      <alignment horizontal="left"/>
    </xf>
    <xf numFmtId="0" fontId="0" fillId="0" borderId="0" xfId="0" applyBorder="1" applyAlignment="1">
      <alignment horizontal="right"/>
    </xf>
    <xf numFmtId="0" fontId="0" fillId="2" borderId="13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9" fontId="0" fillId="0" borderId="0" xfId="0" applyNumberFormat="1" applyFill="1" applyAlignment="1">
      <alignment horizontal="left"/>
    </xf>
    <xf numFmtId="0" fontId="0" fillId="2" borderId="14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0" fillId="2" borderId="10" xfId="0" applyFill="1" applyBorder="1" applyAlignment="1">
      <alignment horizontal="left"/>
    </xf>
    <xf numFmtId="0" fontId="10" fillId="0" borderId="0" xfId="0" applyFont="1"/>
    <xf numFmtId="0" fontId="10" fillId="2" borderId="0" xfId="0" applyFont="1" applyFill="1"/>
    <xf numFmtId="0" fontId="0" fillId="2" borderId="0" xfId="0" applyFill="1"/>
    <xf numFmtId="0" fontId="0" fillId="2" borderId="1" xfId="0" applyFill="1" applyBorder="1"/>
    <xf numFmtId="0" fontId="0" fillId="2" borderId="4" xfId="0" applyFill="1" applyBorder="1" applyAlignment="1">
      <alignment horizontal="center"/>
    </xf>
    <xf numFmtId="0" fontId="0" fillId="2" borderId="5" xfId="0" applyFill="1" applyBorder="1"/>
    <xf numFmtId="0" fontId="0" fillId="2" borderId="8" xfId="0" applyFill="1" applyBorder="1"/>
    <xf numFmtId="0" fontId="0" fillId="2" borderId="11" xfId="0" applyFill="1" applyBorder="1" applyAlignment="1">
      <alignment horizontal="center"/>
    </xf>
    <xf numFmtId="0" fontId="0" fillId="2" borderId="4" xfId="0" applyFill="1" applyBorder="1"/>
    <xf numFmtId="0" fontId="0" fillId="2" borderId="2" xfId="0" applyFill="1" applyBorder="1"/>
    <xf numFmtId="0" fontId="0" fillId="2" borderId="0" xfId="0" applyFill="1" applyBorder="1"/>
    <xf numFmtId="0" fontId="0" fillId="2" borderId="6" xfId="0" applyFill="1" applyBorder="1"/>
    <xf numFmtId="0" fontId="0" fillId="2" borderId="11" xfId="0" applyFill="1" applyBorder="1"/>
    <xf numFmtId="0" fontId="0" fillId="2" borderId="9" xfId="0" applyFill="1" applyBorder="1"/>
    <xf numFmtId="0" fontId="0" fillId="2" borderId="3" xfId="0" applyFill="1" applyBorder="1" applyAlignment="1">
      <alignment horizontal="left"/>
    </xf>
    <xf numFmtId="0" fontId="0" fillId="2" borderId="7" xfId="0" applyFill="1" applyBorder="1" applyAlignment="1">
      <alignment horizontal="left"/>
    </xf>
    <xf numFmtId="0" fontId="10" fillId="0" borderId="0" xfId="0" applyFont="1" applyAlignment="1">
      <alignment horizontal="right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center"/>
    </xf>
    <xf numFmtId="0" fontId="0" fillId="0" borderId="15" xfId="0" applyBorder="1" applyAlignment="1">
      <alignment horizontal="center"/>
    </xf>
    <xf numFmtId="0" fontId="0" fillId="0" borderId="0" xfId="0" applyFill="1" applyBorder="1" applyAlignment="1"/>
    <xf numFmtId="0" fontId="1" fillId="0" borderId="0" xfId="0" applyFont="1"/>
    <xf numFmtId="0" fontId="0" fillId="2" borderId="3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0" borderId="0" xfId="0" applyFill="1"/>
    <xf numFmtId="0" fontId="0" fillId="2" borderId="14" xfId="0" applyFill="1" applyBorder="1"/>
    <xf numFmtId="0" fontId="0" fillId="0" borderId="0" xfId="0" applyFill="1" applyBorder="1"/>
    <xf numFmtId="0" fontId="8" fillId="0" borderId="0" xfId="0" applyFont="1" applyAlignment="1">
      <alignment horizontal="right"/>
    </xf>
    <xf numFmtId="0" fontId="12" fillId="0" borderId="0" xfId="0" applyFont="1" applyFill="1" applyBorder="1" applyAlignment="1">
      <alignment horizontal="centerContinuous"/>
    </xf>
    <xf numFmtId="0" fontId="12" fillId="0" borderId="0" xfId="0" applyFont="1" applyFill="1" applyBorder="1" applyAlignment="1">
      <alignment horizontal="center"/>
    </xf>
    <xf numFmtId="0" fontId="10" fillId="0" borderId="16" xfId="0" applyFont="1" applyBorder="1" applyAlignment="1">
      <alignment horizontal="left"/>
    </xf>
    <xf numFmtId="0" fontId="10" fillId="2" borderId="17" xfId="0" applyFont="1" applyFill="1" applyBorder="1" applyAlignment="1">
      <alignment horizontal="left"/>
    </xf>
    <xf numFmtId="0" fontId="0" fillId="4" borderId="12" xfId="0" applyFill="1" applyBorder="1" applyAlignment="1">
      <alignment horizontal="center"/>
    </xf>
    <xf numFmtId="9" fontId="0" fillId="3" borderId="0" xfId="0" applyNumberFormat="1" applyFill="1" applyAlignment="1">
      <alignment horizontal="left"/>
    </xf>
    <xf numFmtId="9" fontId="0" fillId="3" borderId="0" xfId="0" applyNumberFormat="1" applyFill="1"/>
    <xf numFmtId="0" fontId="14" fillId="0" borderId="11" xfId="0" applyFont="1" applyBorder="1"/>
    <xf numFmtId="0" fontId="14" fillId="0" borderId="0" xfId="0" applyFont="1" applyFill="1" applyBorder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center"/>
    </xf>
    <xf numFmtId="0" fontId="2" fillId="0" borderId="0" xfId="0" applyFont="1" applyFill="1" applyBorder="1" applyAlignment="1"/>
    <xf numFmtId="0" fontId="15" fillId="0" borderId="0" xfId="0" applyFont="1"/>
    <xf numFmtId="0" fontId="16" fillId="0" borderId="0" xfId="0" applyFont="1"/>
    <xf numFmtId="0" fontId="0" fillId="0" borderId="14" xfId="0" applyBorder="1"/>
    <xf numFmtId="0" fontId="18" fillId="0" borderId="0" xfId="0" applyFont="1"/>
    <xf numFmtId="0" fontId="19" fillId="0" borderId="0" xfId="0" applyFont="1" applyBorder="1"/>
    <xf numFmtId="0" fontId="19" fillId="0" borderId="0" xfId="0" applyFont="1"/>
    <xf numFmtId="164" fontId="0" fillId="2" borderId="5" xfId="0" applyNumberFormat="1" applyFill="1" applyBorder="1" applyAlignment="1">
      <alignment horizontal="center"/>
    </xf>
    <xf numFmtId="164" fontId="0" fillId="2" borderId="10" xfId="0" applyNumberFormat="1" applyFill="1" applyBorder="1" applyAlignment="1">
      <alignment horizontal="center"/>
    </xf>
    <xf numFmtId="164" fontId="0" fillId="2" borderId="6" xfId="0" applyNumberFormat="1" applyFill="1" applyBorder="1" applyAlignment="1">
      <alignment horizontal="center"/>
    </xf>
    <xf numFmtId="164" fontId="0" fillId="2" borderId="0" xfId="0" applyNumberFormat="1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" xfId="0" applyBorder="1"/>
    <xf numFmtId="0" fontId="0" fillId="0" borderId="2" xfId="0" applyBorder="1"/>
    <xf numFmtId="0" fontId="0" fillId="0" borderId="8" xfId="0" applyBorder="1"/>
    <xf numFmtId="0" fontId="0" fillId="0" borderId="9" xfId="0" applyBorder="1"/>
    <xf numFmtId="0" fontId="2" fillId="0" borderId="0" xfId="0" applyFont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11" xfId="0" applyBorder="1"/>
    <xf numFmtId="0" fontId="21" fillId="2" borderId="0" xfId="0" applyFont="1" applyFill="1"/>
    <xf numFmtId="0" fontId="21" fillId="2" borderId="4" xfId="0" applyFont="1" applyFill="1" applyBorder="1"/>
    <xf numFmtId="0" fontId="8" fillId="0" borderId="0" xfId="0" applyFont="1"/>
    <xf numFmtId="0" fontId="0" fillId="2" borderId="3" xfId="0" applyFill="1" applyBorder="1"/>
    <xf numFmtId="0" fontId="0" fillId="2" borderId="10" xfId="0" applyFill="1" applyBorder="1"/>
    <xf numFmtId="0" fontId="22" fillId="0" borderId="0" xfId="0" applyFont="1"/>
    <xf numFmtId="0" fontId="5" fillId="0" borderId="0" xfId="0" applyFont="1" applyFill="1" applyBorder="1"/>
    <xf numFmtId="0" fontId="0" fillId="0" borderId="0" xfId="0" applyBorder="1" applyAlignment="1">
      <alignment horizontal="left"/>
    </xf>
    <xf numFmtId="0" fontId="0" fillId="0" borderId="0" xfId="0" applyFill="1" applyBorder="1" applyAlignment="1">
      <alignment horizontal="right"/>
    </xf>
    <xf numFmtId="0" fontId="21" fillId="0" borderId="0" xfId="0" applyFont="1" applyFill="1" applyBorder="1"/>
    <xf numFmtId="0" fontId="15" fillId="0" borderId="0" xfId="0" applyFont="1" applyFill="1" applyBorder="1" applyAlignment="1">
      <alignment horizontal="center"/>
    </xf>
    <xf numFmtId="0" fontId="24" fillId="0" borderId="0" xfId="0" applyFont="1"/>
    <xf numFmtId="9" fontId="0" fillId="0" borderId="3" xfId="0" applyNumberFormat="1" applyBorder="1" applyAlignment="1">
      <alignment horizontal="center"/>
    </xf>
    <xf numFmtId="9" fontId="0" fillId="0" borderId="6" xfId="0" applyNumberFormat="1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0" fontId="0" fillId="5" borderId="14" xfId="0" applyFill="1" applyBorder="1" applyAlignment="1">
      <alignment horizontal="center"/>
    </xf>
    <xf numFmtId="0" fontId="0" fillId="6" borderId="14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164" fontId="0" fillId="2" borderId="14" xfId="0" applyNumberFormat="1" applyFill="1" applyBorder="1" applyAlignment="1">
      <alignment horizontal="center"/>
    </xf>
    <xf numFmtId="0" fontId="20" fillId="0" borderId="0" xfId="0" applyFont="1"/>
    <xf numFmtId="0" fontId="20" fillId="0" borderId="0" xfId="0" applyFont="1" applyAlignment="1">
      <alignment horizontal="right"/>
    </xf>
    <xf numFmtId="0" fontId="0" fillId="2" borderId="0" xfId="0" applyFill="1" applyAlignment="1">
      <alignment horizontal="left"/>
    </xf>
    <xf numFmtId="0" fontId="0" fillId="2" borderId="15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20" fillId="0" borderId="0" xfId="0" applyFont="1" applyAlignment="1">
      <alignment horizontal="left"/>
    </xf>
    <xf numFmtId="0" fontId="0" fillId="0" borderId="0" xfId="0" applyNumberFormat="1" applyAlignment="1">
      <alignment horizontal="center"/>
    </xf>
    <xf numFmtId="49" fontId="0" fillId="0" borderId="0" xfId="0" applyNumberFormat="1" applyBorder="1" applyAlignment="1">
      <alignment horizontal="center"/>
    </xf>
    <xf numFmtId="0" fontId="0" fillId="0" borderId="5" xfId="0" applyBorder="1" applyAlignment="1">
      <alignment horizontal="right"/>
    </xf>
    <xf numFmtId="0" fontId="0" fillId="0" borderId="6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8" fillId="0" borderId="0" xfId="0" applyFont="1" applyFill="1" applyBorder="1" applyAlignment="1"/>
    <xf numFmtId="0" fontId="2" fillId="0" borderId="0" xfId="0" applyFont="1" applyBorder="1"/>
    <xf numFmtId="0" fontId="0" fillId="2" borderId="0" xfId="0" applyNumberFormat="1" applyFill="1" applyAlignment="1">
      <alignment horizontal="center"/>
    </xf>
    <xf numFmtId="2" fontId="0" fillId="2" borderId="0" xfId="0" applyNumberFormat="1" applyFill="1"/>
    <xf numFmtId="1" fontId="0" fillId="0" borderId="0" xfId="0" applyNumberFormat="1" applyAlignment="1">
      <alignment horizontal="center"/>
    </xf>
    <xf numFmtId="0" fontId="15" fillId="0" borderId="0" xfId="0" applyFont="1" applyAlignment="1">
      <alignment horizontal="left"/>
    </xf>
    <xf numFmtId="0" fontId="0" fillId="7" borderId="0" xfId="0" applyFill="1" applyAlignment="1">
      <alignment horizontal="center"/>
    </xf>
    <xf numFmtId="0" fontId="0" fillId="7" borderId="1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8" borderId="0" xfId="0" applyFill="1" applyAlignment="1">
      <alignment horizontal="center"/>
    </xf>
    <xf numFmtId="0" fontId="0" fillId="8" borderId="5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0" fontId="0" fillId="9" borderId="0" xfId="0" applyFill="1" applyAlignment="1">
      <alignment horizontal="center"/>
    </xf>
    <xf numFmtId="0" fontId="0" fillId="9" borderId="5" xfId="0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0" fontId="0" fillId="10" borderId="0" xfId="0" applyFill="1" applyAlignment="1">
      <alignment horizontal="center"/>
    </xf>
    <xf numFmtId="0" fontId="0" fillId="10" borderId="8" xfId="0" applyFill="1" applyBorder="1" applyAlignment="1">
      <alignment horizontal="center"/>
    </xf>
    <xf numFmtId="0" fontId="0" fillId="10" borderId="9" xfId="0" applyFill="1" applyBorder="1" applyAlignment="1">
      <alignment horizontal="center"/>
    </xf>
    <xf numFmtId="0" fontId="0" fillId="10" borderId="6" xfId="0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2" borderId="0" xfId="0" applyFill="1" applyAlignment="1">
      <alignment horizontal="center"/>
    </xf>
    <xf numFmtId="0" fontId="0" fillId="12" borderId="5" xfId="0" applyFill="1" applyBorder="1" applyAlignment="1">
      <alignment horizontal="center"/>
    </xf>
    <xf numFmtId="0" fontId="0" fillId="12" borderId="0" xfId="0" applyFill="1" applyBorder="1" applyAlignment="1">
      <alignment horizontal="center"/>
    </xf>
    <xf numFmtId="0" fontId="0" fillId="12" borderId="6" xfId="0" applyFill="1" applyBorder="1" applyAlignment="1">
      <alignment horizontal="center"/>
    </xf>
    <xf numFmtId="0" fontId="0" fillId="13" borderId="0" xfId="0" applyFill="1" applyAlignment="1">
      <alignment horizontal="center"/>
    </xf>
    <xf numFmtId="0" fontId="0" fillId="13" borderId="5" xfId="0" applyFill="1" applyBorder="1" applyAlignment="1">
      <alignment horizontal="center"/>
    </xf>
    <xf numFmtId="0" fontId="0" fillId="13" borderId="0" xfId="0" applyFill="1" applyBorder="1" applyAlignment="1">
      <alignment horizontal="center"/>
    </xf>
    <xf numFmtId="0" fontId="0" fillId="13" borderId="6" xfId="0" applyFill="1" applyBorder="1" applyAlignment="1">
      <alignment horizontal="center"/>
    </xf>
    <xf numFmtId="0" fontId="0" fillId="14" borderId="0" xfId="0" applyFill="1" applyAlignment="1">
      <alignment horizontal="center"/>
    </xf>
    <xf numFmtId="0" fontId="0" fillId="15" borderId="0" xfId="0" applyFill="1" applyAlignment="1">
      <alignment horizontal="center"/>
    </xf>
    <xf numFmtId="0" fontId="0" fillId="15" borderId="5" xfId="0" applyFill="1" applyBorder="1" applyAlignment="1">
      <alignment horizontal="center"/>
    </xf>
    <xf numFmtId="0" fontId="0" fillId="15" borderId="0" xfId="0" applyFill="1" applyBorder="1" applyAlignment="1">
      <alignment horizontal="center"/>
    </xf>
    <xf numFmtId="0" fontId="0" fillId="15" borderId="6" xfId="0" applyFill="1" applyBorder="1" applyAlignment="1">
      <alignment horizontal="center"/>
    </xf>
    <xf numFmtId="0" fontId="0" fillId="16" borderId="0" xfId="0" applyFill="1" applyAlignment="1">
      <alignment horizontal="center"/>
    </xf>
    <xf numFmtId="0" fontId="0" fillId="17" borderId="0" xfId="0" applyFill="1" applyAlignment="1">
      <alignment horizontal="center"/>
    </xf>
    <xf numFmtId="0" fontId="0" fillId="17" borderId="8" xfId="0" applyFill="1" applyBorder="1" applyAlignment="1">
      <alignment horizontal="center"/>
    </xf>
    <xf numFmtId="0" fontId="0" fillId="17" borderId="11" xfId="0" applyFill="1" applyBorder="1" applyAlignment="1">
      <alignment horizontal="center"/>
    </xf>
    <xf numFmtId="0" fontId="0" fillId="17" borderId="9" xfId="0" applyFill="1" applyBorder="1" applyAlignment="1">
      <alignment horizontal="center"/>
    </xf>
    <xf numFmtId="0" fontId="0" fillId="17" borderId="6" xfId="0" applyFill="1" applyBorder="1" applyAlignment="1">
      <alignment horizontal="center"/>
    </xf>
    <xf numFmtId="0" fontId="0" fillId="18" borderId="0" xfId="0" applyFill="1" applyAlignment="1">
      <alignment horizontal="center"/>
    </xf>
    <xf numFmtId="0" fontId="0" fillId="18" borderId="5" xfId="0" applyFill="1" applyBorder="1" applyAlignment="1">
      <alignment horizontal="center"/>
    </xf>
    <xf numFmtId="0" fontId="0" fillId="18" borderId="0" xfId="0" applyFill="1" applyBorder="1" applyAlignment="1">
      <alignment horizontal="center"/>
    </xf>
    <xf numFmtId="0" fontId="0" fillId="18" borderId="6" xfId="0" applyFill="1" applyBorder="1" applyAlignment="1">
      <alignment horizontal="center"/>
    </xf>
    <xf numFmtId="0" fontId="0" fillId="19" borderId="0" xfId="0" applyFill="1" applyAlignment="1">
      <alignment horizontal="center"/>
    </xf>
    <xf numFmtId="0" fontId="0" fillId="19" borderId="5" xfId="0" applyFill="1" applyBorder="1" applyAlignment="1">
      <alignment horizontal="center"/>
    </xf>
    <xf numFmtId="0" fontId="0" fillId="19" borderId="0" xfId="0" applyFill="1" applyBorder="1" applyAlignment="1">
      <alignment horizontal="center"/>
    </xf>
    <xf numFmtId="0" fontId="0" fillId="19" borderId="6" xfId="0" applyFill="1" applyBorder="1" applyAlignment="1">
      <alignment horizontal="center"/>
    </xf>
    <xf numFmtId="0" fontId="0" fillId="20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0" fillId="21" borderId="5" xfId="0" applyFill="1" applyBorder="1" applyAlignment="1">
      <alignment horizontal="center"/>
    </xf>
    <xf numFmtId="0" fontId="0" fillId="21" borderId="0" xfId="0" applyFill="1" applyBorder="1" applyAlignment="1">
      <alignment horizontal="center"/>
    </xf>
    <xf numFmtId="0" fontId="0" fillId="21" borderId="6" xfId="0" applyFill="1" applyBorder="1" applyAlignment="1">
      <alignment horizontal="center"/>
    </xf>
    <xf numFmtId="0" fontId="0" fillId="22" borderId="0" xfId="0" applyFill="1" applyAlignment="1">
      <alignment horizontal="center"/>
    </xf>
    <xf numFmtId="0" fontId="0" fillId="23" borderId="0" xfId="0" applyFill="1" applyAlignment="1">
      <alignment horizontal="center"/>
    </xf>
    <xf numFmtId="0" fontId="0" fillId="23" borderId="5" xfId="0" applyFill="1" applyBorder="1" applyAlignment="1">
      <alignment horizontal="center"/>
    </xf>
    <xf numFmtId="0" fontId="0" fillId="23" borderId="0" xfId="0" applyFill="1" applyBorder="1" applyAlignment="1">
      <alignment horizontal="center"/>
    </xf>
    <xf numFmtId="0" fontId="0" fillId="23" borderId="6" xfId="0" applyFill="1" applyBorder="1" applyAlignment="1">
      <alignment horizontal="center"/>
    </xf>
    <xf numFmtId="0" fontId="0" fillId="24" borderId="0" xfId="0" applyFill="1" applyAlignment="1">
      <alignment horizontal="center"/>
    </xf>
    <xf numFmtId="0" fontId="0" fillId="24" borderId="5" xfId="0" applyFill="1" applyBorder="1" applyAlignment="1">
      <alignment horizontal="center"/>
    </xf>
    <xf numFmtId="0" fontId="0" fillId="24" borderId="0" xfId="0" applyFill="1" applyBorder="1" applyAlignment="1">
      <alignment horizontal="center"/>
    </xf>
    <xf numFmtId="0" fontId="0" fillId="24" borderId="6" xfId="0" applyFill="1" applyBorder="1" applyAlignment="1">
      <alignment horizontal="center"/>
    </xf>
    <xf numFmtId="0" fontId="0" fillId="25" borderId="0" xfId="0" applyFill="1" applyAlignment="1">
      <alignment horizontal="center"/>
    </xf>
    <xf numFmtId="0" fontId="0" fillId="26" borderId="0" xfId="0" applyFill="1" applyAlignment="1">
      <alignment horizontal="center"/>
    </xf>
    <xf numFmtId="0" fontId="0" fillId="26" borderId="5" xfId="0" applyFill="1" applyBorder="1" applyAlignment="1">
      <alignment horizontal="center"/>
    </xf>
    <xf numFmtId="0" fontId="0" fillId="26" borderId="0" xfId="0" applyFill="1" applyBorder="1" applyAlignment="1">
      <alignment horizontal="center"/>
    </xf>
    <xf numFmtId="0" fontId="0" fillId="26" borderId="6" xfId="0" applyFill="1" applyBorder="1" applyAlignment="1">
      <alignment horizontal="center"/>
    </xf>
    <xf numFmtId="0" fontId="0" fillId="27" borderId="0" xfId="0" applyFill="1" applyAlignment="1">
      <alignment horizontal="center"/>
    </xf>
    <xf numFmtId="0" fontId="0" fillId="27" borderId="5" xfId="0" applyFill="1" applyBorder="1" applyAlignment="1">
      <alignment horizontal="center"/>
    </xf>
    <xf numFmtId="0" fontId="0" fillId="27" borderId="0" xfId="0" applyFill="1" applyBorder="1" applyAlignment="1">
      <alignment horizontal="center"/>
    </xf>
    <xf numFmtId="0" fontId="0" fillId="27" borderId="6" xfId="0" applyFill="1" applyBorder="1" applyAlignment="1">
      <alignment horizontal="center"/>
    </xf>
    <xf numFmtId="0" fontId="0" fillId="28" borderId="0" xfId="0" applyFill="1" applyAlignment="1">
      <alignment horizontal="center"/>
    </xf>
    <xf numFmtId="0" fontId="0" fillId="28" borderId="8" xfId="0" applyFill="1" applyBorder="1" applyAlignment="1">
      <alignment horizontal="center"/>
    </xf>
    <xf numFmtId="0" fontId="0" fillId="28" borderId="11" xfId="0" applyFill="1" applyBorder="1" applyAlignment="1">
      <alignment horizontal="center"/>
    </xf>
    <xf numFmtId="0" fontId="0" fillId="28" borderId="9" xfId="0" applyFill="1" applyBorder="1" applyAlignment="1">
      <alignment horizontal="center"/>
    </xf>
    <xf numFmtId="0" fontId="0" fillId="29" borderId="0" xfId="0" applyFill="1" applyAlignment="1">
      <alignment horizontal="center"/>
    </xf>
    <xf numFmtId="0" fontId="0" fillId="30" borderId="0" xfId="0" applyFill="1" applyAlignment="1">
      <alignment horizontal="center"/>
    </xf>
    <xf numFmtId="0" fontId="0" fillId="31" borderId="0" xfId="0" applyFill="1" applyAlignment="1">
      <alignment horizontal="center"/>
    </xf>
    <xf numFmtId="0" fontId="0" fillId="32" borderId="0" xfId="0" applyFill="1" applyAlignment="1">
      <alignment horizontal="center"/>
    </xf>
    <xf numFmtId="0" fontId="0" fillId="33" borderId="0" xfId="0" applyFill="1" applyAlignment="1">
      <alignment horizontal="center"/>
    </xf>
    <xf numFmtId="0" fontId="0" fillId="34" borderId="0" xfId="0" applyFill="1" applyAlignment="1">
      <alignment horizontal="center"/>
    </xf>
    <xf numFmtId="0" fontId="0" fillId="35" borderId="0" xfId="0" applyFill="1" applyAlignment="1">
      <alignment horizontal="center"/>
    </xf>
    <xf numFmtId="0" fontId="12" fillId="0" borderId="18" xfId="0" applyFont="1" applyFill="1" applyBorder="1" applyAlignment="1">
      <alignment horizontal="centerContinuous"/>
    </xf>
    <xf numFmtId="0" fontId="0" fillId="0" borderId="19" xfId="0" applyFill="1" applyBorder="1" applyAlignment="1"/>
    <xf numFmtId="0" fontId="12" fillId="0" borderId="18" xfId="0" applyFont="1" applyFill="1" applyBorder="1" applyAlignment="1">
      <alignment horizontal="center"/>
    </xf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12" fillId="0" borderId="25" xfId="0" applyFont="1" applyFill="1" applyBorder="1" applyAlignment="1">
      <alignment horizontal="centerContinuous"/>
    </xf>
    <xf numFmtId="0" fontId="0" fillId="0" borderId="23" xfId="0" applyFill="1" applyBorder="1" applyAlignment="1"/>
    <xf numFmtId="0" fontId="0" fillId="0" borderId="26" xfId="0" applyFill="1" applyBorder="1" applyAlignment="1"/>
    <xf numFmtId="0" fontId="12" fillId="0" borderId="25" xfId="0" applyFont="1" applyFill="1" applyBorder="1" applyAlignment="1">
      <alignment horizontal="center"/>
    </xf>
    <xf numFmtId="0" fontId="12" fillId="0" borderId="27" xfId="0" applyFont="1" applyFill="1" applyBorder="1" applyAlignment="1">
      <alignment horizontal="center"/>
    </xf>
    <xf numFmtId="0" fontId="0" fillId="0" borderId="24" xfId="0" applyFill="1" applyBorder="1" applyAlignment="1"/>
    <xf numFmtId="0" fontId="0" fillId="0" borderId="28" xfId="0" applyFill="1" applyBorder="1" applyAlignment="1"/>
    <xf numFmtId="0" fontId="2" fillId="0" borderId="19" xfId="0" applyFont="1" applyFill="1" applyBorder="1" applyAlignment="1"/>
    <xf numFmtId="0" fontId="0" fillId="0" borderId="12" xfId="0" applyBorder="1"/>
    <xf numFmtId="0" fontId="27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0" fillId="0" borderId="0" xfId="0" applyFont="1"/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5" xfId="0" applyBorder="1" applyAlignment="1">
      <alignment horizontal="left"/>
    </xf>
    <xf numFmtId="0" fontId="0" fillId="4" borderId="8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Alignment="1">
      <alignment horizontal="left"/>
    </xf>
    <xf numFmtId="0" fontId="0" fillId="2" borderId="8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8" borderId="0" xfId="0" applyFill="1" applyBorder="1" applyAlignment="1"/>
    <xf numFmtId="0" fontId="0" fillId="0" borderId="0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11" xfId="0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9" xfId="0" applyBorder="1" applyAlignment="1">
      <alignment horizontal="center"/>
    </xf>
    <xf numFmtId="164" fontId="0" fillId="2" borderId="8" xfId="0" applyNumberForma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10" fillId="0" borderId="0" xfId="0" applyFont="1" applyBorder="1" applyAlignment="1">
      <alignment horizontal="right"/>
    </xf>
    <xf numFmtId="0" fontId="0" fillId="0" borderId="4" xfId="0" applyFill="1" applyBorder="1" applyAlignment="1">
      <alignment horizontal="center"/>
    </xf>
    <xf numFmtId="0" fontId="10" fillId="0" borderId="6" xfId="0" applyFont="1" applyBorder="1" applyAlignment="1">
      <alignment horizontal="left"/>
    </xf>
    <xf numFmtId="0" fontId="0" fillId="0" borderId="29" xfId="0" applyBorder="1"/>
    <xf numFmtId="0" fontId="0" fillId="0" borderId="30" xfId="0" applyBorder="1"/>
    <xf numFmtId="0" fontId="0" fillId="0" borderId="31" xfId="0" applyBorder="1"/>
    <xf numFmtId="0" fontId="2" fillId="0" borderId="31" xfId="0" applyFont="1" applyBorder="1"/>
    <xf numFmtId="0" fontId="2" fillId="0" borderId="29" xfId="0" applyFont="1" applyBorder="1"/>
    <xf numFmtId="0" fontId="2" fillId="0" borderId="32" xfId="0" applyFont="1" applyBorder="1"/>
    <xf numFmtId="0" fontId="0" fillId="2" borderId="13" xfId="0" applyFill="1" applyBorder="1"/>
    <xf numFmtId="0" fontId="5" fillId="0" borderId="6" xfId="0" applyFont="1" applyBorder="1" applyAlignment="1">
      <alignment horizontal="right"/>
    </xf>
    <xf numFmtId="0" fontId="21" fillId="0" borderId="0" xfId="0" applyFont="1"/>
    <xf numFmtId="0" fontId="21" fillId="0" borderId="0" xfId="0" applyFont="1" applyFill="1" applyBorder="1" applyAlignment="1"/>
    <xf numFmtId="0" fontId="10" fillId="0" borderId="0" xfId="0" applyFont="1" applyFill="1" applyBorder="1" applyAlignment="1"/>
    <xf numFmtId="0" fontId="0" fillId="36" borderId="0" xfId="0" applyFill="1"/>
    <xf numFmtId="0" fontId="23" fillId="0" borderId="0" xfId="0" applyFont="1" applyBorder="1" applyAlignment="1">
      <alignment horizontal="center"/>
    </xf>
    <xf numFmtId="0" fontId="2" fillId="36" borderId="0" xfId="0" applyFont="1" applyFill="1" applyBorder="1" applyAlignment="1"/>
    <xf numFmtId="0" fontId="2" fillId="8" borderId="0" xfId="0" applyFont="1" applyFill="1" applyBorder="1" applyAlignment="1"/>
    <xf numFmtId="0" fontId="2" fillId="9" borderId="0" xfId="0" applyFont="1" applyFill="1" applyBorder="1" applyAlignment="1"/>
    <xf numFmtId="0" fontId="15" fillId="0" borderId="0" xfId="0" applyFont="1" applyFill="1" applyBorder="1" applyAlignment="1"/>
    <xf numFmtId="0" fontId="15" fillId="0" borderId="19" xfId="0" applyFont="1" applyFill="1" applyBorder="1" applyAlignment="1"/>
    <xf numFmtId="0" fontId="0" fillId="9" borderId="14" xfId="0" applyFill="1" applyBorder="1"/>
    <xf numFmtId="0" fontId="0" fillId="8" borderId="14" xfId="0" applyFill="1" applyBorder="1"/>
    <xf numFmtId="0" fontId="0" fillId="37" borderId="0" xfId="0" applyFill="1"/>
    <xf numFmtId="0" fontId="0" fillId="8" borderId="0" xfId="0" applyFill="1"/>
    <xf numFmtId="0" fontId="0" fillId="9" borderId="0" xfId="0" applyFill="1"/>
    <xf numFmtId="0" fontId="0" fillId="9" borderId="0" xfId="0" applyFill="1" applyAlignment="1">
      <alignment horizontal="right"/>
    </xf>
    <xf numFmtId="0" fontId="0" fillId="8" borderId="0" xfId="0" applyFill="1" applyAlignment="1">
      <alignment horizontal="right"/>
    </xf>
    <xf numFmtId="0" fontId="0" fillId="39" borderId="0" xfId="0" applyFill="1"/>
    <xf numFmtId="0" fontId="0" fillId="0" borderId="0" xfId="0" applyFill="1" applyBorder="1" applyAlignment="1">
      <alignment horizontal="left"/>
    </xf>
    <xf numFmtId="0" fontId="0" fillId="0" borderId="5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23" fillId="0" borderId="1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8" xfId="0" applyFont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33" fillId="0" borderId="3" xfId="0" applyFont="1" applyFill="1" applyBorder="1" applyAlignment="1">
      <alignment horizontal="left"/>
    </xf>
    <xf numFmtId="0" fontId="0" fillId="0" borderId="11" xfId="0" applyFill="1" applyBorder="1" applyAlignment="1">
      <alignment horizontal="right"/>
    </xf>
    <xf numFmtId="0" fontId="0" fillId="0" borderId="11" xfId="0" applyFill="1" applyBorder="1" applyAlignment="1"/>
    <xf numFmtId="0" fontId="23" fillId="0" borderId="7" xfId="0" applyFont="1" applyFill="1" applyBorder="1" applyAlignment="1">
      <alignment horizontal="left"/>
    </xf>
    <xf numFmtId="0" fontId="19" fillId="0" borderId="0" xfId="0" applyFont="1" applyBorder="1" applyAlignment="1">
      <alignment horizontal="left"/>
    </xf>
    <xf numFmtId="0" fontId="32" fillId="0" borderId="0" xfId="0" applyFont="1" applyBorder="1"/>
    <xf numFmtId="0" fontId="23" fillId="0" borderId="10" xfId="0" applyFont="1" applyFill="1" applyBorder="1" applyAlignment="1">
      <alignment horizontal="left"/>
    </xf>
    <xf numFmtId="0" fontId="33" fillId="2" borderId="4" xfId="0" applyFont="1" applyFill="1" applyBorder="1" applyAlignment="1">
      <alignment horizontal="center"/>
    </xf>
    <xf numFmtId="0" fontId="33" fillId="0" borderId="0" xfId="0" applyFont="1" applyFill="1" applyBorder="1" applyAlignment="1"/>
    <xf numFmtId="0" fontId="23" fillId="0" borderId="0" xfId="0" applyFont="1" applyFill="1" applyBorder="1" applyAlignment="1"/>
    <xf numFmtId="0" fontId="23" fillId="0" borderId="19" xfId="0" applyFont="1" applyFill="1" applyBorder="1" applyAlignment="1"/>
    <xf numFmtId="0" fontId="23" fillId="0" borderId="0" xfId="0" applyFont="1" applyFill="1" applyBorder="1" applyAlignment="1">
      <alignment horizontal="right"/>
    </xf>
    <xf numFmtId="0" fontId="23" fillId="0" borderId="0" xfId="0" applyFont="1"/>
    <xf numFmtId="0" fontId="0" fillId="0" borderId="2" xfId="0" applyFill="1" applyBorder="1" applyAlignment="1">
      <alignment horizontal="center"/>
    </xf>
    <xf numFmtId="164" fontId="0" fillId="2" borderId="7" xfId="0" applyNumberFormat="1" applyFill="1" applyBorder="1" applyAlignment="1">
      <alignment horizontal="center"/>
    </xf>
    <xf numFmtId="0" fontId="34" fillId="0" borderId="0" xfId="0" applyFont="1" applyFill="1" applyBorder="1"/>
    <xf numFmtId="0" fontId="0" fillId="2" borderId="14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left"/>
    </xf>
    <xf numFmtId="0" fontId="0" fillId="0" borderId="0" xfId="0" applyFont="1" applyFill="1" applyBorder="1"/>
    <xf numFmtId="0" fontId="21" fillId="2" borderId="0" xfId="0" applyFont="1" applyFill="1" applyBorder="1"/>
    <xf numFmtId="0" fontId="35" fillId="0" borderId="5" xfId="0" applyFont="1" applyBorder="1" applyAlignment="1">
      <alignment horizontal="center"/>
    </xf>
    <xf numFmtId="0" fontId="35" fillId="0" borderId="0" xfId="0" applyFont="1" applyBorder="1" applyAlignment="1">
      <alignment horizontal="center"/>
    </xf>
    <xf numFmtId="0" fontId="23" fillId="0" borderId="11" xfId="0" applyFont="1" applyBorder="1" applyAlignment="1">
      <alignment horizontal="center"/>
    </xf>
    <xf numFmtId="0" fontId="35" fillId="0" borderId="0" xfId="0" applyFont="1" applyFill="1" applyBorder="1" applyAlignment="1"/>
    <xf numFmtId="0" fontId="35" fillId="0" borderId="19" xfId="0" applyFont="1" applyFill="1" applyBorder="1" applyAlignment="1"/>
    <xf numFmtId="0" fontId="23" fillId="0" borderId="0" xfId="0" applyFont="1" applyAlignment="1">
      <alignment horizontal="center"/>
    </xf>
    <xf numFmtId="0" fontId="35" fillId="0" borderId="0" xfId="0" applyFont="1"/>
    <xf numFmtId="0" fontId="0" fillId="39" borderId="0" xfId="0" applyFill="1" applyBorder="1" applyAlignment="1"/>
    <xf numFmtId="0" fontId="35" fillId="39" borderId="0" xfId="0" applyFont="1" applyFill="1" applyBorder="1" applyAlignment="1"/>
    <xf numFmtId="0" fontId="35" fillId="2" borderId="0" xfId="0" applyFont="1" applyFill="1"/>
    <xf numFmtId="0" fontId="36" fillId="0" borderId="0" xfId="0" applyFont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39" borderId="0" xfId="0" applyFont="1" applyFill="1" applyBorder="1" applyAlignment="1"/>
    <xf numFmtId="0" fontId="2" fillId="2" borderId="0" xfId="0" applyFont="1" applyFill="1"/>
    <xf numFmtId="0" fontId="8" fillId="0" borderId="19" xfId="0" applyFont="1" applyFill="1" applyBorder="1" applyAlignment="1"/>
    <xf numFmtId="0" fontId="28" fillId="0" borderId="0" xfId="0" applyFont="1"/>
    <xf numFmtId="0" fontId="0" fillId="3" borderId="1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0" fillId="40" borderId="2" xfId="0" applyFill="1" applyBorder="1" applyAlignment="1">
      <alignment horizontal="center"/>
    </xf>
    <xf numFmtId="0" fontId="0" fillId="9" borderId="0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40" borderId="6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8" borderId="6" xfId="0" applyFill="1" applyBorder="1" applyAlignment="1">
      <alignment horizontal="center"/>
    </xf>
    <xf numFmtId="0" fontId="0" fillId="38" borderId="9" xfId="0" applyFill="1" applyBorder="1" applyAlignment="1">
      <alignment horizontal="center"/>
    </xf>
    <xf numFmtId="1" fontId="23" fillId="0" borderId="1" xfId="0" applyNumberFormat="1" applyFont="1" applyBorder="1" applyAlignment="1">
      <alignment horizontal="center"/>
    </xf>
    <xf numFmtId="1" fontId="23" fillId="0" borderId="4" xfId="0" applyNumberFormat="1" applyFont="1" applyBorder="1" applyAlignment="1">
      <alignment horizontal="center"/>
    </xf>
    <xf numFmtId="1" fontId="0" fillId="0" borderId="2" xfId="0" applyNumberFormat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1" fontId="23" fillId="0" borderId="5" xfId="0" applyNumberFormat="1" applyFont="1" applyFill="1" applyBorder="1" applyAlignment="1">
      <alignment horizontal="center"/>
    </xf>
    <xf numFmtId="1" fontId="23" fillId="0" borderId="0" xfId="0" applyNumberFormat="1" applyFont="1" applyBorder="1" applyAlignment="1">
      <alignment horizontal="center"/>
    </xf>
    <xf numFmtId="1" fontId="0" fillId="0" borderId="6" xfId="0" applyNumberFormat="1" applyBorder="1" applyAlignment="1">
      <alignment horizontal="center"/>
    </xf>
    <xf numFmtId="1" fontId="23" fillId="0" borderId="0" xfId="0" applyNumberFormat="1" applyFont="1" applyFill="1" applyBorder="1" applyAlignment="1">
      <alignment horizontal="center"/>
    </xf>
    <xf numFmtId="1" fontId="0" fillId="0" borderId="5" xfId="0" applyNumberFormat="1" applyBorder="1" applyAlignment="1">
      <alignment horizontal="center"/>
    </xf>
    <xf numFmtId="1" fontId="0" fillId="0" borderId="6" xfId="0" applyNumberFormat="1" applyFill="1" applyBorder="1" applyAlignment="1">
      <alignment horizontal="center"/>
    </xf>
    <xf numFmtId="1" fontId="0" fillId="0" borderId="5" xfId="0" applyNumberFormat="1" applyFill="1" applyBorder="1" applyAlignment="1">
      <alignment horizontal="center"/>
    </xf>
    <xf numFmtId="1" fontId="0" fillId="0" borderId="8" xfId="0" applyNumberFormat="1" applyFill="1" applyBorder="1" applyAlignment="1">
      <alignment horizontal="center"/>
    </xf>
    <xf numFmtId="1" fontId="0" fillId="0" borderId="11" xfId="0" applyNumberFormat="1" applyFill="1" applyBorder="1" applyAlignment="1">
      <alignment horizontal="center"/>
    </xf>
    <xf numFmtId="1" fontId="0" fillId="0" borderId="9" xfId="0" applyNumberFormat="1" applyFill="1" applyBorder="1" applyAlignment="1">
      <alignment horizontal="center"/>
    </xf>
    <xf numFmtId="1" fontId="0" fillId="0" borderId="0" xfId="0" applyNumberFormat="1" applyFill="1" applyBorder="1" applyAlignment="1">
      <alignment horizontal="center"/>
    </xf>
    <xf numFmtId="0" fontId="37" fillId="0" borderId="0" xfId="0" applyFont="1" applyBorder="1" applyAlignment="1">
      <alignment horizontal="left"/>
    </xf>
    <xf numFmtId="0" fontId="21" fillId="0" borderId="0" xfId="0" applyFont="1" applyBorder="1" applyAlignment="1">
      <alignment horizontal="left"/>
    </xf>
    <xf numFmtId="0" fontId="21" fillId="0" borderId="0" xfId="0" applyFont="1" applyFill="1" applyBorder="1" applyAlignment="1">
      <alignment horizontal="right"/>
    </xf>
    <xf numFmtId="0" fontId="0" fillId="0" borderId="0" xfId="0" applyAlignment="1">
      <alignment horizontal="left"/>
    </xf>
    <xf numFmtId="0" fontId="0" fillId="0" borderId="2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0" xfId="0" applyBorder="1" applyAlignment="1">
      <alignment horizontal="center" vertical="center"/>
    </xf>
    <xf numFmtId="16" fontId="0" fillId="0" borderId="0" xfId="0" applyNumberFormat="1"/>
    <xf numFmtId="0" fontId="38" fillId="0" borderId="0" xfId="0" applyFont="1" applyFill="1" applyBorder="1" applyAlignment="1"/>
    <xf numFmtId="0" fontId="2" fillId="0" borderId="0" xfId="0" applyFont="1" applyAlignment="1">
      <alignment horizontal="left"/>
    </xf>
    <xf numFmtId="0" fontId="0" fillId="0" borderId="1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5" xfId="0" applyBorder="1" applyAlignment="1">
      <alignment horizontal="center"/>
    </xf>
    <xf numFmtId="0" fontId="39" fillId="0" borderId="0" xfId="0" applyFont="1"/>
    <xf numFmtId="0" fontId="2" fillId="0" borderId="0" xfId="0" applyFont="1" applyFill="1" applyBorder="1" applyAlignment="1">
      <alignment horizontal="right"/>
    </xf>
    <xf numFmtId="0" fontId="0" fillId="0" borderId="13" xfId="0" applyBorder="1"/>
    <xf numFmtId="10" fontId="0" fillId="0" borderId="11" xfId="0" applyNumberFormat="1" applyBorder="1"/>
    <xf numFmtId="0" fontId="2" fillId="0" borderId="11" xfId="0" applyFont="1" applyBorder="1"/>
    <xf numFmtId="0" fontId="33" fillId="0" borderId="7" xfId="0" applyFont="1" applyFill="1" applyBorder="1" applyAlignment="1">
      <alignment horizontal="left"/>
    </xf>
    <xf numFmtId="0" fontId="33" fillId="0" borderId="10" xfId="0" applyFont="1" applyFill="1" applyBorder="1" applyAlignment="1">
      <alignment horizontal="left"/>
    </xf>
    <xf numFmtId="0" fontId="0" fillId="0" borderId="0" xfId="0" applyFill="1" applyBorder="1" applyAlignment="1">
      <alignment horizontal="right" wrapText="1"/>
    </xf>
    <xf numFmtId="0" fontId="37" fillId="0" borderId="3" xfId="0" applyFont="1" applyBorder="1" applyAlignment="1">
      <alignment horizontal="left"/>
    </xf>
    <xf numFmtId="0" fontId="37" fillId="0" borderId="7" xfId="0" applyFont="1" applyBorder="1" applyAlignment="1">
      <alignment horizontal="left"/>
    </xf>
    <xf numFmtId="0" fontId="37" fillId="0" borderId="10" xfId="0" applyFont="1" applyBorder="1" applyAlignment="1">
      <alignment horizontal="left"/>
    </xf>
    <xf numFmtId="0" fontId="0" fillId="0" borderId="33" xfId="0" applyBorder="1"/>
    <xf numFmtId="0" fontId="0" fillId="0" borderId="0" xfId="0" applyAlignment="1">
      <alignment wrapText="1"/>
    </xf>
    <xf numFmtId="0" fontId="0" fillId="0" borderId="34" xfId="0" applyBorder="1"/>
    <xf numFmtId="0" fontId="0" fillId="0" borderId="0" xfId="0" applyAlignment="1">
      <alignment horizontal="left"/>
    </xf>
    <xf numFmtId="0" fontId="0" fillId="0" borderId="11" xfId="0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9" xfId="0" applyBorder="1" applyAlignment="1">
      <alignment horizontal="center"/>
    </xf>
    <xf numFmtId="164" fontId="0" fillId="2" borderId="8" xfId="0" applyNumberForma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3" xfId="0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0" fillId="0" borderId="15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4" xfId="0" applyFill="1" applyBorder="1" applyAlignment="1">
      <alignment horizontal="center"/>
    </xf>
    <xf numFmtId="164" fontId="0" fillId="2" borderId="12" xfId="0" applyNumberFormat="1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14" fillId="0" borderId="0" xfId="0" applyFont="1" applyAlignment="1">
      <alignment wrapText="1"/>
    </xf>
    <xf numFmtId="0" fontId="14" fillId="9" borderId="1" xfId="0" applyFont="1" applyFill="1" applyBorder="1"/>
    <xf numFmtId="0" fontId="14" fillId="9" borderId="4" xfId="0" applyFont="1" applyFill="1" applyBorder="1"/>
    <xf numFmtId="0" fontId="14" fillId="9" borderId="2" xfId="0" applyFont="1" applyFill="1" applyBorder="1"/>
    <xf numFmtId="0" fontId="14" fillId="9" borderId="5" xfId="0" applyFont="1" applyFill="1" applyBorder="1"/>
    <xf numFmtId="0" fontId="14" fillId="9" borderId="0" xfId="0" applyFont="1" applyFill="1" applyBorder="1"/>
    <xf numFmtId="0" fontId="14" fillId="9" borderId="6" xfId="0" applyFont="1" applyFill="1" applyBorder="1"/>
    <xf numFmtId="0" fontId="14" fillId="9" borderId="8" xfId="0" applyFont="1" applyFill="1" applyBorder="1"/>
    <xf numFmtId="0" fontId="14" fillId="9" borderId="11" xfId="0" applyFont="1" applyFill="1" applyBorder="1"/>
    <xf numFmtId="0" fontId="14" fillId="9" borderId="9" xfId="0" applyFont="1" applyFill="1" applyBorder="1"/>
    <xf numFmtId="0" fontId="0" fillId="0" borderId="0" xfId="0" applyAlignment="1">
      <alignment horizontal="left" vertical="center" indent="1"/>
    </xf>
    <xf numFmtId="0" fontId="0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0" fillId="0" borderId="0" xfId="0" applyFont="1" applyAlignment="1">
      <alignment horizontal="left" vertical="center" indent="1"/>
    </xf>
  </cellXfs>
  <cellStyles count="1">
    <cellStyle name="Normálna" xfId="0" builtinId="0"/>
  </cellStyles>
  <dxfs count="0"/>
  <tableStyles count="0" defaultTableStyle="TableStyleMedium2" defaultPivotStyle="PivotStyleLight16"/>
  <colors>
    <mruColors>
      <color rgb="FFF5E4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7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/>
              <a:t>t1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'pruzina_vypocet cez analyzu dat'!$C$15:$C$22</c:f>
              <c:numCache>
                <c:formatCode>General</c:formatCode>
                <c:ptCount val="8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</c:numCache>
            </c:numRef>
          </c:xVal>
          <c:yVal>
            <c:numRef>
              <c:f>'pruzina_vypocet cez analyzu dat'!$C$54:$C$61</c:f>
              <c:numCache>
                <c:formatCode>General</c:formatCode>
                <c:ptCount val="8"/>
                <c:pt idx="0">
                  <c:v>7</c:v>
                </c:pt>
                <c:pt idx="1">
                  <c:v>-7</c:v>
                </c:pt>
                <c:pt idx="2">
                  <c:v>8</c:v>
                </c:pt>
                <c:pt idx="3">
                  <c:v>-8</c:v>
                </c:pt>
                <c:pt idx="4">
                  <c:v>-1</c:v>
                </c:pt>
                <c:pt idx="5">
                  <c:v>1</c:v>
                </c:pt>
                <c:pt idx="6">
                  <c:v>4</c:v>
                </c:pt>
                <c:pt idx="7">
                  <c:v>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AD7-4B28-8876-6407C49E8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9352176"/>
        <c:axId val="659352592"/>
      </c:scatterChart>
      <c:valAx>
        <c:axId val="659352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sk-SK"/>
                  <a:t>t1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9352592"/>
        <c:crosses val="autoZero"/>
        <c:crossBetween val="midCat"/>
      </c:valAx>
      <c:valAx>
        <c:axId val="6593525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sk-SK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935217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E</a:t>
            </a:r>
            <a:r>
              <a:rPr lang="en-US"/>
              <a:t>fekt </a:t>
            </a:r>
            <a:r>
              <a:rPr lang="sk-SK"/>
              <a:t>interakcie </a:t>
            </a:r>
            <a:r>
              <a:rPr lang="en-US"/>
              <a:t>faktor</a:t>
            </a:r>
            <a:r>
              <a:rPr lang="sk-SK"/>
              <a:t>ov</a:t>
            </a:r>
            <a:r>
              <a:rPr lang="sk-SK" baseline="0"/>
              <a:t> A,</a:t>
            </a:r>
            <a:r>
              <a:rPr lang="sk-SK"/>
              <a:t>B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'[1]efekt '!$F$24:$G$24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'[1]efekt '!$F$25:$G$25</c:f>
              <c:numCache>
                <c:formatCode>General</c:formatCode>
                <c:ptCount val="2"/>
                <c:pt idx="0">
                  <c:v>88</c:v>
                </c:pt>
                <c:pt idx="1">
                  <c:v>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25E-4C09-ADA9-54C1204F2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3660207"/>
        <c:axId val="1708076639"/>
      </c:scatterChart>
      <c:valAx>
        <c:axId val="18136602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AB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708076639"/>
        <c:crosses val="autoZero"/>
        <c:crossBetween val="midCat"/>
      </c:valAx>
      <c:valAx>
        <c:axId val="17080766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 priem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81366020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 teplota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yVal>
            <c:numRef>
              <c:f>'[2]vyp. efektov-odozvova tabulka'!$C$24:$D$24</c:f>
              <c:numCache>
                <c:formatCode>General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3A7-4931-BB12-9F627FA72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362688"/>
        <c:axId val="193363264"/>
      </c:scatterChart>
      <c:valAx>
        <c:axId val="193362688"/>
        <c:scaling>
          <c:orientation val="minMax"/>
        </c:scaling>
        <c:delete val="1"/>
        <c:axPos val="b"/>
        <c:majorTickMark val="out"/>
        <c:minorTickMark val="none"/>
        <c:tickLblPos val="nextTo"/>
        <c:crossAx val="193363264"/>
        <c:crosses val="autoZero"/>
        <c:crossBetween val="midCat"/>
      </c:valAx>
      <c:valAx>
        <c:axId val="193363264"/>
        <c:scaling>
          <c:orientation val="minMax"/>
          <c:max val="45"/>
          <c:min val="3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336268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</a:t>
            </a:r>
            <a:r>
              <a:rPr lang="sk-SK"/>
              <a:t> katalyzator</a:t>
            </a:r>
            <a:endParaRPr lang="en-US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yVal>
            <c:numRef>
              <c:f>'[2]vyp. efektov-odozvova tabulka'!$E$24:$F$24</c:f>
              <c:numCache>
                <c:formatCode>General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BDE-4F80-A3FD-1E0A27726C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010560"/>
        <c:axId val="197011136"/>
      </c:scatterChart>
      <c:valAx>
        <c:axId val="197010560"/>
        <c:scaling>
          <c:orientation val="minMax"/>
        </c:scaling>
        <c:delete val="1"/>
        <c:axPos val="b"/>
        <c:majorTickMark val="out"/>
        <c:minorTickMark val="none"/>
        <c:tickLblPos val="nextTo"/>
        <c:crossAx val="197011136"/>
        <c:crosses val="autoZero"/>
        <c:crossBetween val="midCat"/>
      </c:valAx>
      <c:valAx>
        <c:axId val="197011136"/>
        <c:scaling>
          <c:orientation val="minMax"/>
          <c:max val="45"/>
          <c:min val="3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701056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/>
              <a:t>C cistota</a:t>
            </a:r>
            <a:endParaRPr lang="en-US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yVal>
            <c:numRef>
              <c:f>'[2]vyp. efektov-odozvova tabulka'!$G$24:$H$24</c:f>
              <c:numCache>
                <c:formatCode>General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7B6-4869-8801-0D7B29EDF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012864"/>
        <c:axId val="197013440"/>
      </c:scatterChart>
      <c:valAx>
        <c:axId val="197012864"/>
        <c:scaling>
          <c:orientation val="minMax"/>
        </c:scaling>
        <c:delete val="1"/>
        <c:axPos val="b"/>
        <c:majorTickMark val="out"/>
        <c:minorTickMark val="none"/>
        <c:tickLblPos val="nextTo"/>
        <c:crossAx val="197013440"/>
        <c:crosses val="autoZero"/>
        <c:crossBetween val="midCat"/>
      </c:valAx>
      <c:valAx>
        <c:axId val="197013440"/>
        <c:scaling>
          <c:orientation val="minMax"/>
          <c:max val="45"/>
          <c:min val="3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701286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/>
              <a:t>AB</a:t>
            </a:r>
            <a:endParaRPr lang="en-US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'[2]vyp. efektov-odozvova tabulka'!$I$24:$J$24</c:f>
              <c:strCache>
                <c:ptCount val="1"/>
              </c:strCache>
            </c:strRef>
          </c:tx>
          <c:yVal>
            <c:numRef>
              <c:f>'[2]vyp. efektov-odozvova tabulka'!$G$24:$H$24</c:f>
              <c:numCache>
                <c:formatCode>General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586-47AD-9594-13B946879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015168"/>
        <c:axId val="197015744"/>
      </c:scatterChart>
      <c:valAx>
        <c:axId val="197015168"/>
        <c:scaling>
          <c:orientation val="minMax"/>
        </c:scaling>
        <c:delete val="1"/>
        <c:axPos val="b"/>
        <c:majorTickMark val="out"/>
        <c:minorTickMark val="none"/>
        <c:tickLblPos val="nextTo"/>
        <c:crossAx val="197015744"/>
        <c:crosses val="autoZero"/>
        <c:crossBetween val="midCat"/>
      </c:valAx>
      <c:valAx>
        <c:axId val="197015744"/>
        <c:scaling>
          <c:orientation val="minMax"/>
          <c:max val="45"/>
          <c:min val="3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701516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/>
              <a:t>AC</a:t>
            </a:r>
            <a:endParaRPr lang="en-US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yVal>
            <c:numRef>
              <c:f>'[2]vyp. efektov-odozvova tabulka'!$K$24:$L$24</c:f>
              <c:numCache>
                <c:formatCode>General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F88-4A10-8B8D-090AE335A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394432"/>
        <c:axId val="197395008"/>
      </c:scatterChart>
      <c:valAx>
        <c:axId val="197394432"/>
        <c:scaling>
          <c:orientation val="minMax"/>
        </c:scaling>
        <c:delete val="1"/>
        <c:axPos val="b"/>
        <c:majorTickMark val="out"/>
        <c:minorTickMark val="none"/>
        <c:tickLblPos val="nextTo"/>
        <c:crossAx val="197395008"/>
        <c:crosses val="autoZero"/>
        <c:crossBetween val="midCat"/>
      </c:valAx>
      <c:valAx>
        <c:axId val="197395008"/>
        <c:scaling>
          <c:orientation val="minMax"/>
          <c:max val="45"/>
          <c:min val="3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739443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/>
              <a:t>BC</a:t>
            </a:r>
            <a:endParaRPr lang="en-US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'[2]vyp. efektov-odozvova tabulka'!$M$24:$N$24</c:f>
              <c:strCache>
                <c:ptCount val="1"/>
              </c:strCache>
            </c:strRef>
          </c:tx>
          <c:yVal>
            <c:numRef>
              <c:f>'[2]vyp. efektov-odozvova tabulka'!$M$24:$N$24</c:f>
              <c:numCache>
                <c:formatCode>General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C41-4725-911A-9595356A3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396736"/>
        <c:axId val="197397312"/>
      </c:scatterChart>
      <c:valAx>
        <c:axId val="197396736"/>
        <c:scaling>
          <c:orientation val="minMax"/>
        </c:scaling>
        <c:delete val="1"/>
        <c:axPos val="b"/>
        <c:majorTickMark val="out"/>
        <c:minorTickMark val="none"/>
        <c:tickLblPos val="nextTo"/>
        <c:crossAx val="197397312"/>
        <c:crosses val="autoZero"/>
        <c:crossBetween val="midCat"/>
      </c:valAx>
      <c:valAx>
        <c:axId val="197397312"/>
        <c:scaling>
          <c:orientation val="minMax"/>
          <c:max val="45"/>
          <c:min val="3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739673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/>
              <a:t>ABC</a:t>
            </a:r>
            <a:endParaRPr lang="en-US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'[2]vyp. efektov-odozvova tabulka'!$O$24:$P$24</c:f>
              <c:strCache>
                <c:ptCount val="1"/>
              </c:strCache>
            </c:strRef>
          </c:tx>
          <c:yVal>
            <c:numRef>
              <c:f>'[2]vyp. efektov-odozvova tabulka'!$G$24:$H$24</c:f>
              <c:numCache>
                <c:formatCode>General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9B8-4CCA-A4E4-3A5ADDB13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399040"/>
        <c:axId val="197399616"/>
      </c:scatterChart>
      <c:valAx>
        <c:axId val="197399040"/>
        <c:scaling>
          <c:orientation val="minMax"/>
        </c:scaling>
        <c:delete val="1"/>
        <c:axPos val="b"/>
        <c:majorTickMark val="out"/>
        <c:minorTickMark val="none"/>
        <c:tickLblPos val="nextTo"/>
        <c:crossAx val="197399616"/>
        <c:crosses val="autoZero"/>
        <c:crossBetween val="midCat"/>
      </c:valAx>
      <c:valAx>
        <c:axId val="197399616"/>
        <c:scaling>
          <c:orientation val="minMax"/>
          <c:max val="45"/>
          <c:min val="3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739904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 teplota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yVal>
            <c:numRef>
              <c:f>'[3]vyp. efektov-odozvova tabulka'!$C$24:$D$24</c:f>
              <c:numCache>
                <c:formatCode>General</c:formatCode>
                <c:ptCount val="2"/>
                <c:pt idx="0">
                  <c:v>39.274999999999999</c:v>
                </c:pt>
                <c:pt idx="1">
                  <c:v>35.799999999999997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20-4535-B3FF-0FF0A9432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401344"/>
        <c:axId val="197401920"/>
      </c:scatterChart>
      <c:valAx>
        <c:axId val="197401344"/>
        <c:scaling>
          <c:orientation val="minMax"/>
        </c:scaling>
        <c:delete val="1"/>
        <c:axPos val="b"/>
        <c:majorTickMark val="out"/>
        <c:minorTickMark val="none"/>
        <c:tickLblPos val="nextTo"/>
        <c:crossAx val="197401920"/>
        <c:crosses val="autoZero"/>
        <c:crossBetween val="midCat"/>
      </c:valAx>
      <c:valAx>
        <c:axId val="197401920"/>
        <c:scaling>
          <c:orientation val="minMax"/>
          <c:max val="45"/>
          <c:min val="3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740134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</a:t>
            </a:r>
            <a:r>
              <a:rPr lang="sk-SK"/>
              <a:t> katalyzator</a:t>
            </a:r>
            <a:endParaRPr lang="en-US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yVal>
            <c:numRef>
              <c:f>'[3]vyp. efektov-odozvova tabulka'!$E$24:$F$24</c:f>
              <c:numCache>
                <c:formatCode>General</c:formatCode>
                <c:ptCount val="2"/>
                <c:pt idx="0">
                  <c:v>30.975000000000001</c:v>
                </c:pt>
                <c:pt idx="1">
                  <c:v>44.1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58D-4E3D-BB51-407FA0BAC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215360"/>
        <c:axId val="197215936"/>
      </c:scatterChart>
      <c:valAx>
        <c:axId val="197215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97215936"/>
        <c:crosses val="autoZero"/>
        <c:crossBetween val="midCat"/>
      </c:valAx>
      <c:valAx>
        <c:axId val="197215936"/>
        <c:scaling>
          <c:orientation val="minMax"/>
          <c:max val="45"/>
          <c:min val="3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721536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/>
              <a:t>t2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'pruzina_vypocet cez analyzu dat'!$D$15:$D$22</c:f>
              <c:numCache>
                <c:formatCode>General</c:formatCode>
                <c:ptCount val="8"/>
                <c:pt idx="0">
                  <c:v>-1</c:v>
                </c:pt>
                <c:pt idx="1">
                  <c:v>-1</c:v>
                </c:pt>
                <c:pt idx="2">
                  <c:v>1</c:v>
                </c:pt>
                <c:pt idx="3">
                  <c:v>1</c:v>
                </c:pt>
                <c:pt idx="4">
                  <c:v>-1</c:v>
                </c:pt>
                <c:pt idx="5">
                  <c:v>-1</c:v>
                </c:pt>
                <c:pt idx="6">
                  <c:v>1</c:v>
                </c:pt>
                <c:pt idx="7">
                  <c:v>1</c:v>
                </c:pt>
              </c:numCache>
            </c:numRef>
          </c:xVal>
          <c:yVal>
            <c:numRef>
              <c:f>'pruzina_vypocet cez analyzu dat'!$C$54:$C$61</c:f>
              <c:numCache>
                <c:formatCode>General</c:formatCode>
                <c:ptCount val="8"/>
                <c:pt idx="0">
                  <c:v>7</c:v>
                </c:pt>
                <c:pt idx="1">
                  <c:v>-7</c:v>
                </c:pt>
                <c:pt idx="2">
                  <c:v>8</c:v>
                </c:pt>
                <c:pt idx="3">
                  <c:v>-8</c:v>
                </c:pt>
                <c:pt idx="4">
                  <c:v>-1</c:v>
                </c:pt>
                <c:pt idx="5">
                  <c:v>1</c:v>
                </c:pt>
                <c:pt idx="6">
                  <c:v>4</c:v>
                </c:pt>
                <c:pt idx="7">
                  <c:v>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61A-4A2B-9135-93117C1E9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9355504"/>
        <c:axId val="659353008"/>
      </c:scatterChart>
      <c:valAx>
        <c:axId val="659355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sk-SK"/>
                  <a:t>t2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9353008"/>
        <c:crosses val="autoZero"/>
        <c:crossBetween val="midCat"/>
      </c:valAx>
      <c:valAx>
        <c:axId val="6593530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sk-SK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935550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/>
              <a:t>C cistota</a:t>
            </a:r>
            <a:endParaRPr lang="en-US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yVal>
            <c:numRef>
              <c:f>'[3]vyp. efektov-odozvova tabulka'!$G$24:$H$24</c:f>
              <c:numCache>
                <c:formatCode>General</c:formatCode>
                <c:ptCount val="2"/>
                <c:pt idx="0">
                  <c:v>35.6</c:v>
                </c:pt>
                <c:pt idx="1">
                  <c:v>39.475000000000001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532-45D4-95D6-FC7C5920E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217664"/>
        <c:axId val="197218240"/>
      </c:scatterChart>
      <c:valAx>
        <c:axId val="197217664"/>
        <c:scaling>
          <c:orientation val="minMax"/>
        </c:scaling>
        <c:delete val="1"/>
        <c:axPos val="b"/>
        <c:majorTickMark val="out"/>
        <c:minorTickMark val="none"/>
        <c:tickLblPos val="nextTo"/>
        <c:crossAx val="197218240"/>
        <c:crosses val="autoZero"/>
        <c:crossBetween val="midCat"/>
      </c:valAx>
      <c:valAx>
        <c:axId val="197218240"/>
        <c:scaling>
          <c:orientation val="minMax"/>
          <c:max val="45"/>
          <c:min val="3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721766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/>
              <a:t>AB</a:t>
            </a:r>
            <a:endParaRPr lang="en-US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'[3]vyp. efektov-odozvova tabulka'!$I$24:$J$24</c:f>
              <c:strCache>
                <c:ptCount val="1"/>
                <c:pt idx="0">
                  <c:v>36,7 38,375</c:v>
                </c:pt>
              </c:strCache>
            </c:strRef>
          </c:tx>
          <c:yVal>
            <c:numRef>
              <c:f>'[3]vyp. efektov-odozvova tabulka'!$G$24:$H$24</c:f>
              <c:numCache>
                <c:formatCode>General</c:formatCode>
                <c:ptCount val="2"/>
                <c:pt idx="0">
                  <c:v>35.6</c:v>
                </c:pt>
                <c:pt idx="1">
                  <c:v>39.475000000000001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D4E-45A3-9B96-C33EB4ADE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219968"/>
        <c:axId val="197220544"/>
      </c:scatterChart>
      <c:valAx>
        <c:axId val="197219968"/>
        <c:scaling>
          <c:orientation val="minMax"/>
        </c:scaling>
        <c:delete val="1"/>
        <c:axPos val="b"/>
        <c:majorTickMark val="out"/>
        <c:minorTickMark val="none"/>
        <c:tickLblPos val="nextTo"/>
        <c:crossAx val="197220544"/>
        <c:crosses val="autoZero"/>
        <c:crossBetween val="midCat"/>
      </c:valAx>
      <c:valAx>
        <c:axId val="197220544"/>
        <c:scaling>
          <c:orientation val="minMax"/>
          <c:max val="45"/>
          <c:min val="3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721996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/>
              <a:t>AC</a:t>
            </a:r>
            <a:endParaRPr lang="en-US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yVal>
            <c:numRef>
              <c:f>'[3]vyp. efektov-odozvova tabulka'!$K$24:$L$24</c:f>
              <c:numCache>
                <c:formatCode>General</c:formatCode>
                <c:ptCount val="2"/>
                <c:pt idx="0">
                  <c:v>38.225000000000001</c:v>
                </c:pt>
                <c:pt idx="1">
                  <c:v>36.85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789-45DC-8D2D-8820E37D8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861376"/>
        <c:axId val="197861952"/>
      </c:scatterChart>
      <c:valAx>
        <c:axId val="197861376"/>
        <c:scaling>
          <c:orientation val="minMax"/>
        </c:scaling>
        <c:delete val="1"/>
        <c:axPos val="b"/>
        <c:majorTickMark val="out"/>
        <c:minorTickMark val="none"/>
        <c:tickLblPos val="nextTo"/>
        <c:crossAx val="197861952"/>
        <c:crosses val="autoZero"/>
        <c:crossBetween val="midCat"/>
      </c:valAx>
      <c:valAx>
        <c:axId val="197861952"/>
        <c:scaling>
          <c:orientation val="minMax"/>
          <c:max val="45"/>
          <c:min val="3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786137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/>
              <a:t>BC</a:t>
            </a:r>
            <a:endParaRPr lang="en-US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'[3]vyp. efektov-odozvova tabulka'!$M$24:$N$24</c:f>
              <c:strCache>
                <c:ptCount val="1"/>
                <c:pt idx="0">
                  <c:v>42,125 32,95</c:v>
                </c:pt>
              </c:strCache>
            </c:strRef>
          </c:tx>
          <c:yVal>
            <c:numRef>
              <c:f>'[3]vyp. efektov-odozvova tabulka'!$M$24:$N$24</c:f>
              <c:numCache>
                <c:formatCode>General</c:formatCode>
                <c:ptCount val="2"/>
                <c:pt idx="0">
                  <c:v>42.125</c:v>
                </c:pt>
                <c:pt idx="1">
                  <c:v>32.950000000000003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76A-43BB-90B2-572B160D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863680"/>
        <c:axId val="197864256"/>
      </c:scatterChart>
      <c:valAx>
        <c:axId val="197863680"/>
        <c:scaling>
          <c:orientation val="minMax"/>
        </c:scaling>
        <c:delete val="1"/>
        <c:axPos val="b"/>
        <c:majorTickMark val="out"/>
        <c:minorTickMark val="none"/>
        <c:tickLblPos val="nextTo"/>
        <c:crossAx val="197864256"/>
        <c:crosses val="autoZero"/>
        <c:crossBetween val="midCat"/>
      </c:valAx>
      <c:valAx>
        <c:axId val="197864256"/>
        <c:scaling>
          <c:orientation val="minMax"/>
          <c:max val="45"/>
          <c:min val="3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786368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/>
              <a:t>ABC</a:t>
            </a:r>
            <a:endParaRPr lang="en-US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'[3]vyp. efektov-odozvova tabulka'!$O$24:$P$24</c:f>
              <c:strCache>
                <c:ptCount val="1"/>
                <c:pt idx="0">
                  <c:v>37,4 37,675</c:v>
                </c:pt>
              </c:strCache>
            </c:strRef>
          </c:tx>
          <c:yVal>
            <c:numRef>
              <c:f>'[3]vyp. efektov-odozvova tabulka'!$G$24:$H$24</c:f>
              <c:numCache>
                <c:formatCode>General</c:formatCode>
                <c:ptCount val="2"/>
                <c:pt idx="0">
                  <c:v>35.6</c:v>
                </c:pt>
                <c:pt idx="1">
                  <c:v>39.475000000000001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509-4DBB-8B86-829FD6527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865984"/>
        <c:axId val="197866560"/>
      </c:scatterChart>
      <c:valAx>
        <c:axId val="197865984"/>
        <c:scaling>
          <c:orientation val="minMax"/>
        </c:scaling>
        <c:delete val="1"/>
        <c:axPos val="b"/>
        <c:majorTickMark val="out"/>
        <c:minorTickMark val="none"/>
        <c:tickLblPos val="nextTo"/>
        <c:crossAx val="197866560"/>
        <c:crosses val="autoZero"/>
        <c:crossBetween val="midCat"/>
      </c:valAx>
      <c:valAx>
        <c:axId val="197866560"/>
        <c:scaling>
          <c:orientation val="minMax"/>
          <c:max val="45"/>
          <c:min val="3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786598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 teplota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yVal>
            <c:numRef>
              <c:f>'[2]vyp. efektov-odozvova tabulka'!$C$24:$D$24</c:f>
              <c:numCache>
                <c:formatCode>General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6BE-4250-992E-158CC9CC1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642816"/>
        <c:axId val="48643392"/>
      </c:scatterChart>
      <c:valAx>
        <c:axId val="48642816"/>
        <c:scaling>
          <c:orientation val="minMax"/>
        </c:scaling>
        <c:delete val="1"/>
        <c:axPos val="b"/>
        <c:majorTickMark val="out"/>
        <c:minorTickMark val="none"/>
        <c:tickLblPos val="nextTo"/>
        <c:crossAx val="48643392"/>
        <c:crosses val="autoZero"/>
        <c:crossBetween val="midCat"/>
      </c:valAx>
      <c:valAx>
        <c:axId val="48643392"/>
        <c:scaling>
          <c:orientation val="minMax"/>
          <c:max val="45"/>
          <c:min val="3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864281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</a:t>
            </a:r>
            <a:r>
              <a:rPr lang="sk-SK"/>
              <a:t> katalyzator</a:t>
            </a:r>
            <a:endParaRPr lang="en-US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yVal>
            <c:numRef>
              <c:f>'[2]vyp. efektov-odozvova tabulka'!$E$24:$F$24</c:f>
              <c:numCache>
                <c:formatCode>General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538-40C1-A18B-71A2A3A60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661632"/>
        <c:axId val="48662208"/>
      </c:scatterChart>
      <c:valAx>
        <c:axId val="48661632"/>
        <c:scaling>
          <c:orientation val="minMax"/>
        </c:scaling>
        <c:delete val="1"/>
        <c:axPos val="b"/>
        <c:majorTickMark val="out"/>
        <c:minorTickMark val="none"/>
        <c:tickLblPos val="nextTo"/>
        <c:crossAx val="48662208"/>
        <c:crosses val="autoZero"/>
        <c:crossBetween val="midCat"/>
      </c:valAx>
      <c:valAx>
        <c:axId val="48662208"/>
        <c:scaling>
          <c:orientation val="minMax"/>
          <c:max val="45"/>
          <c:min val="3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866163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/>
              <a:t>C cistota</a:t>
            </a:r>
            <a:endParaRPr lang="en-US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yVal>
            <c:numRef>
              <c:f>'[2]vyp. efektov-odozvova tabulka'!$G$24:$H$24</c:f>
              <c:numCache>
                <c:formatCode>General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B0D-4E27-A8BD-6A4150995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663936"/>
        <c:axId val="48664512"/>
      </c:scatterChart>
      <c:valAx>
        <c:axId val="48663936"/>
        <c:scaling>
          <c:orientation val="minMax"/>
        </c:scaling>
        <c:delete val="1"/>
        <c:axPos val="b"/>
        <c:majorTickMark val="out"/>
        <c:minorTickMark val="none"/>
        <c:tickLblPos val="nextTo"/>
        <c:crossAx val="48664512"/>
        <c:crosses val="autoZero"/>
        <c:crossBetween val="midCat"/>
      </c:valAx>
      <c:valAx>
        <c:axId val="48664512"/>
        <c:scaling>
          <c:orientation val="minMax"/>
          <c:max val="45"/>
          <c:min val="3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866393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/>
              <a:t>AB</a:t>
            </a:r>
            <a:endParaRPr lang="en-US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'[2]vyp. efektov-odozvova tabulka'!$I$24:$J$24</c:f>
              <c:strCache>
                <c:ptCount val="1"/>
              </c:strCache>
            </c:strRef>
          </c:tx>
          <c:yVal>
            <c:numRef>
              <c:f>'[2]vyp. efektov-odozvova tabulka'!$G$24:$H$24</c:f>
              <c:numCache>
                <c:formatCode>General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DF8-4F6B-A7ED-8838EC72C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666240"/>
        <c:axId val="48666816"/>
      </c:scatterChart>
      <c:valAx>
        <c:axId val="48666240"/>
        <c:scaling>
          <c:orientation val="minMax"/>
        </c:scaling>
        <c:delete val="1"/>
        <c:axPos val="b"/>
        <c:majorTickMark val="out"/>
        <c:minorTickMark val="none"/>
        <c:tickLblPos val="nextTo"/>
        <c:crossAx val="48666816"/>
        <c:crosses val="autoZero"/>
        <c:crossBetween val="midCat"/>
      </c:valAx>
      <c:valAx>
        <c:axId val="48666816"/>
        <c:scaling>
          <c:orientation val="minMax"/>
          <c:max val="45"/>
          <c:min val="3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866624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/>
              <a:t>AC</a:t>
            </a:r>
            <a:endParaRPr lang="en-US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yVal>
            <c:numRef>
              <c:f>'[2]vyp. efektov-odozvova tabulka'!$K$24:$L$24</c:f>
              <c:numCache>
                <c:formatCode>General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6E-4C46-9473-1CED68E30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512192"/>
        <c:axId val="149512768"/>
      </c:scatterChart>
      <c:valAx>
        <c:axId val="149512192"/>
        <c:scaling>
          <c:orientation val="minMax"/>
        </c:scaling>
        <c:delete val="1"/>
        <c:axPos val="b"/>
        <c:majorTickMark val="out"/>
        <c:minorTickMark val="none"/>
        <c:tickLblPos val="nextTo"/>
        <c:crossAx val="149512768"/>
        <c:crosses val="autoZero"/>
        <c:crossBetween val="midCat"/>
      </c:valAx>
      <c:valAx>
        <c:axId val="149512768"/>
        <c:scaling>
          <c:orientation val="minMax"/>
          <c:max val="45"/>
          <c:min val="3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95121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/>
              <a:t>t1*t2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'pruzina_vypocet cez analyzu dat'!$E$15:$E$22</c:f>
              <c:numCache>
                <c:formatCode>General</c:formatCode>
                <c:ptCount val="8"/>
                <c:pt idx="0">
                  <c:v>1</c:v>
                </c:pt>
                <c:pt idx="1">
                  <c:v>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1</c:v>
                </c:pt>
                <c:pt idx="7">
                  <c:v>1</c:v>
                </c:pt>
              </c:numCache>
            </c:numRef>
          </c:xVal>
          <c:yVal>
            <c:numRef>
              <c:f>'pruzina_vypocet cez analyzu dat'!$C$54:$C$61</c:f>
              <c:numCache>
                <c:formatCode>General</c:formatCode>
                <c:ptCount val="8"/>
                <c:pt idx="0">
                  <c:v>7</c:v>
                </c:pt>
                <c:pt idx="1">
                  <c:v>-7</c:v>
                </c:pt>
                <c:pt idx="2">
                  <c:v>8</c:v>
                </c:pt>
                <c:pt idx="3">
                  <c:v>-8</c:v>
                </c:pt>
                <c:pt idx="4">
                  <c:v>-1</c:v>
                </c:pt>
                <c:pt idx="5">
                  <c:v>1</c:v>
                </c:pt>
                <c:pt idx="6">
                  <c:v>4</c:v>
                </c:pt>
                <c:pt idx="7">
                  <c:v>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AAA-4A31-9E99-D77894242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1051408"/>
        <c:axId val="621049744"/>
      </c:scatterChart>
      <c:valAx>
        <c:axId val="621051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sk-SK"/>
                  <a:t>t1*t2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21049744"/>
        <c:crosses val="autoZero"/>
        <c:crossBetween val="midCat"/>
      </c:valAx>
      <c:valAx>
        <c:axId val="6210497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sk-SK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2105140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/>
              <a:t>BC</a:t>
            </a:r>
            <a:endParaRPr lang="en-US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'[2]vyp. efektov-odozvova tabulka'!$M$24:$N$24</c:f>
              <c:strCache>
                <c:ptCount val="1"/>
              </c:strCache>
            </c:strRef>
          </c:tx>
          <c:yVal>
            <c:numRef>
              <c:f>'[2]vyp. efektov-odozvova tabulka'!$M$24:$N$24</c:f>
              <c:numCache>
                <c:formatCode>General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13D-463B-8608-211128793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514496"/>
        <c:axId val="149515072"/>
      </c:scatterChart>
      <c:valAx>
        <c:axId val="149514496"/>
        <c:scaling>
          <c:orientation val="minMax"/>
        </c:scaling>
        <c:delete val="1"/>
        <c:axPos val="b"/>
        <c:majorTickMark val="out"/>
        <c:minorTickMark val="none"/>
        <c:tickLblPos val="nextTo"/>
        <c:crossAx val="149515072"/>
        <c:crosses val="autoZero"/>
        <c:crossBetween val="midCat"/>
      </c:valAx>
      <c:valAx>
        <c:axId val="149515072"/>
        <c:scaling>
          <c:orientation val="minMax"/>
          <c:max val="45"/>
          <c:min val="3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951449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/>
              <a:t>ABC</a:t>
            </a:r>
            <a:endParaRPr lang="en-US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'[2]vyp. efektov-odozvova tabulka'!$O$24:$P$24</c:f>
              <c:strCache>
                <c:ptCount val="1"/>
              </c:strCache>
            </c:strRef>
          </c:tx>
          <c:yVal>
            <c:numRef>
              <c:f>'[2]vyp. efektov-odozvova tabulka'!$G$24:$H$24</c:f>
              <c:numCache>
                <c:formatCode>General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499-498D-B28F-1DDEBFFB2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516800"/>
        <c:axId val="149517376"/>
      </c:scatterChart>
      <c:valAx>
        <c:axId val="149516800"/>
        <c:scaling>
          <c:orientation val="minMax"/>
        </c:scaling>
        <c:delete val="1"/>
        <c:axPos val="b"/>
        <c:majorTickMark val="out"/>
        <c:minorTickMark val="none"/>
        <c:tickLblPos val="nextTo"/>
        <c:crossAx val="149517376"/>
        <c:crosses val="autoZero"/>
        <c:crossBetween val="midCat"/>
      </c:valAx>
      <c:valAx>
        <c:axId val="149517376"/>
        <c:scaling>
          <c:orientation val="minMax"/>
          <c:max val="45"/>
          <c:min val="3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951680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 teplota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yVal>
            <c:numRef>
              <c:f>'[3]vyp. efektov-odozvova tabulka'!$C$24:$D$24</c:f>
              <c:numCache>
                <c:formatCode>General</c:formatCode>
                <c:ptCount val="2"/>
                <c:pt idx="0">
                  <c:v>39.274999999999999</c:v>
                </c:pt>
                <c:pt idx="1">
                  <c:v>35.799999999999997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403-4CE5-A63E-B70846EDE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519104"/>
        <c:axId val="149519680"/>
      </c:scatterChart>
      <c:valAx>
        <c:axId val="149519104"/>
        <c:scaling>
          <c:orientation val="minMax"/>
        </c:scaling>
        <c:delete val="1"/>
        <c:axPos val="b"/>
        <c:majorTickMark val="out"/>
        <c:minorTickMark val="none"/>
        <c:tickLblPos val="nextTo"/>
        <c:crossAx val="149519680"/>
        <c:crosses val="autoZero"/>
        <c:crossBetween val="midCat"/>
      </c:valAx>
      <c:valAx>
        <c:axId val="149519680"/>
        <c:scaling>
          <c:orientation val="minMax"/>
          <c:max val="45"/>
          <c:min val="3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951910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</a:t>
            </a:r>
            <a:r>
              <a:rPr lang="sk-SK"/>
              <a:t> katalyzator</a:t>
            </a:r>
            <a:endParaRPr lang="en-US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yVal>
            <c:numRef>
              <c:f>'[3]vyp. efektov-odozvova tabulka'!$E$24:$F$24</c:f>
              <c:numCache>
                <c:formatCode>General</c:formatCode>
                <c:ptCount val="2"/>
                <c:pt idx="0">
                  <c:v>30.975000000000001</c:v>
                </c:pt>
                <c:pt idx="1">
                  <c:v>44.1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D05-4651-B4F7-F1E6F7603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517632"/>
        <c:axId val="170518208"/>
      </c:scatterChart>
      <c:valAx>
        <c:axId val="170517632"/>
        <c:scaling>
          <c:orientation val="minMax"/>
        </c:scaling>
        <c:delete val="1"/>
        <c:axPos val="b"/>
        <c:majorTickMark val="out"/>
        <c:minorTickMark val="none"/>
        <c:tickLblPos val="nextTo"/>
        <c:crossAx val="170518208"/>
        <c:crosses val="autoZero"/>
        <c:crossBetween val="midCat"/>
      </c:valAx>
      <c:valAx>
        <c:axId val="170518208"/>
        <c:scaling>
          <c:orientation val="minMax"/>
          <c:max val="45"/>
          <c:min val="3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051763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/>
              <a:t>C cistota</a:t>
            </a:r>
            <a:endParaRPr lang="en-US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yVal>
            <c:numRef>
              <c:f>'[3]vyp. efektov-odozvova tabulka'!$G$24:$H$24</c:f>
              <c:numCache>
                <c:formatCode>General</c:formatCode>
                <c:ptCount val="2"/>
                <c:pt idx="0">
                  <c:v>35.6</c:v>
                </c:pt>
                <c:pt idx="1">
                  <c:v>39.475000000000001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694-4CB0-A28F-C3103AAFC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519936"/>
        <c:axId val="170520512"/>
      </c:scatterChart>
      <c:valAx>
        <c:axId val="170519936"/>
        <c:scaling>
          <c:orientation val="minMax"/>
        </c:scaling>
        <c:delete val="1"/>
        <c:axPos val="b"/>
        <c:majorTickMark val="out"/>
        <c:minorTickMark val="none"/>
        <c:tickLblPos val="nextTo"/>
        <c:crossAx val="170520512"/>
        <c:crosses val="autoZero"/>
        <c:crossBetween val="midCat"/>
      </c:valAx>
      <c:valAx>
        <c:axId val="170520512"/>
        <c:scaling>
          <c:orientation val="minMax"/>
          <c:max val="45"/>
          <c:min val="3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051993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/>
              <a:t>AB</a:t>
            </a:r>
            <a:endParaRPr lang="en-US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'[3]vyp. efektov-odozvova tabulka'!$I$24:$J$24</c:f>
              <c:strCache>
                <c:ptCount val="1"/>
                <c:pt idx="0">
                  <c:v>36,7 38,375</c:v>
                </c:pt>
              </c:strCache>
            </c:strRef>
          </c:tx>
          <c:yVal>
            <c:numRef>
              <c:f>'[3]vyp. efektov-odozvova tabulka'!$G$24:$H$24</c:f>
              <c:numCache>
                <c:formatCode>General</c:formatCode>
                <c:ptCount val="2"/>
                <c:pt idx="0">
                  <c:v>35.6</c:v>
                </c:pt>
                <c:pt idx="1">
                  <c:v>39.475000000000001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E78-4449-A6FD-00A76415C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522240"/>
        <c:axId val="170522816"/>
      </c:scatterChart>
      <c:valAx>
        <c:axId val="170522240"/>
        <c:scaling>
          <c:orientation val="minMax"/>
        </c:scaling>
        <c:delete val="1"/>
        <c:axPos val="b"/>
        <c:majorTickMark val="out"/>
        <c:minorTickMark val="none"/>
        <c:tickLblPos val="nextTo"/>
        <c:crossAx val="170522816"/>
        <c:crosses val="autoZero"/>
        <c:crossBetween val="midCat"/>
      </c:valAx>
      <c:valAx>
        <c:axId val="170522816"/>
        <c:scaling>
          <c:orientation val="minMax"/>
          <c:max val="45"/>
          <c:min val="3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052224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/>
              <a:t>AC</a:t>
            </a:r>
            <a:endParaRPr lang="en-US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yVal>
            <c:numRef>
              <c:f>'[3]vyp. efektov-odozvova tabulka'!$K$24:$L$24</c:f>
              <c:numCache>
                <c:formatCode>General</c:formatCode>
                <c:ptCount val="2"/>
                <c:pt idx="0">
                  <c:v>38.225000000000001</c:v>
                </c:pt>
                <c:pt idx="1">
                  <c:v>36.85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F08-465F-9A02-270ECE426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047232"/>
        <c:axId val="174047808"/>
      </c:scatterChart>
      <c:valAx>
        <c:axId val="174047232"/>
        <c:scaling>
          <c:orientation val="minMax"/>
        </c:scaling>
        <c:delete val="1"/>
        <c:axPos val="b"/>
        <c:majorTickMark val="out"/>
        <c:minorTickMark val="none"/>
        <c:tickLblPos val="nextTo"/>
        <c:crossAx val="174047808"/>
        <c:crosses val="autoZero"/>
        <c:crossBetween val="midCat"/>
      </c:valAx>
      <c:valAx>
        <c:axId val="174047808"/>
        <c:scaling>
          <c:orientation val="minMax"/>
          <c:max val="45"/>
          <c:min val="3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404723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/>
              <a:t>BC</a:t>
            </a:r>
            <a:endParaRPr lang="en-US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'[3]vyp. efektov-odozvova tabulka'!$M$24:$N$24</c:f>
              <c:strCache>
                <c:ptCount val="1"/>
                <c:pt idx="0">
                  <c:v>42,125 32,95</c:v>
                </c:pt>
              </c:strCache>
            </c:strRef>
          </c:tx>
          <c:yVal>
            <c:numRef>
              <c:f>'[3]vyp. efektov-odozvova tabulka'!$M$24:$N$24</c:f>
              <c:numCache>
                <c:formatCode>General</c:formatCode>
                <c:ptCount val="2"/>
                <c:pt idx="0">
                  <c:v>42.125</c:v>
                </c:pt>
                <c:pt idx="1">
                  <c:v>32.950000000000003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E3A-4F63-BCDD-689C35CEA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049536"/>
        <c:axId val="174050112"/>
      </c:scatterChart>
      <c:valAx>
        <c:axId val="174049536"/>
        <c:scaling>
          <c:orientation val="minMax"/>
        </c:scaling>
        <c:delete val="1"/>
        <c:axPos val="b"/>
        <c:majorTickMark val="out"/>
        <c:minorTickMark val="none"/>
        <c:tickLblPos val="nextTo"/>
        <c:crossAx val="174050112"/>
        <c:crosses val="autoZero"/>
        <c:crossBetween val="midCat"/>
      </c:valAx>
      <c:valAx>
        <c:axId val="174050112"/>
        <c:scaling>
          <c:orientation val="minMax"/>
          <c:max val="45"/>
          <c:min val="3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404953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/>
              <a:t>ABC</a:t>
            </a:r>
            <a:endParaRPr lang="en-US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'[3]vyp. efektov-odozvova tabulka'!$O$24:$P$24</c:f>
              <c:strCache>
                <c:ptCount val="1"/>
                <c:pt idx="0">
                  <c:v>37,4 37,675</c:v>
                </c:pt>
              </c:strCache>
            </c:strRef>
          </c:tx>
          <c:yVal>
            <c:numRef>
              <c:f>'[3]vyp. efektov-odozvova tabulka'!$G$24:$H$24</c:f>
              <c:numCache>
                <c:formatCode>General</c:formatCode>
                <c:ptCount val="2"/>
                <c:pt idx="0">
                  <c:v>35.6</c:v>
                </c:pt>
                <c:pt idx="1">
                  <c:v>39.475000000000001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337-4C63-B930-76A167974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051840"/>
        <c:axId val="174052416"/>
      </c:scatterChart>
      <c:valAx>
        <c:axId val="174051840"/>
        <c:scaling>
          <c:orientation val="minMax"/>
        </c:scaling>
        <c:delete val="1"/>
        <c:axPos val="b"/>
        <c:majorTickMark val="out"/>
        <c:minorTickMark val="none"/>
        <c:tickLblPos val="nextTo"/>
        <c:crossAx val="174052416"/>
        <c:crosses val="autoZero"/>
        <c:crossBetween val="midCat"/>
      </c:valAx>
      <c:valAx>
        <c:axId val="174052416"/>
        <c:scaling>
          <c:orientation val="minMax"/>
          <c:max val="45"/>
          <c:min val="3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405184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[4]spinky!$B$76:$H$76</c:f>
              <c:numCache>
                <c:formatCode>General</c:formatCode>
                <c:ptCount val="7"/>
                <c:pt idx="0">
                  <c:v>-5.1250000000000009</c:v>
                </c:pt>
                <c:pt idx="1">
                  <c:v>-1.6249999999999996</c:v>
                </c:pt>
                <c:pt idx="2">
                  <c:v>-0.87500000000000022</c:v>
                </c:pt>
                <c:pt idx="3">
                  <c:v>1.1250000000000011</c:v>
                </c:pt>
                <c:pt idx="4">
                  <c:v>1.3750000000000002</c:v>
                </c:pt>
                <c:pt idx="5">
                  <c:v>1.6249999999999987</c:v>
                </c:pt>
                <c:pt idx="6">
                  <c:v>8.125</c:v>
                </c:pt>
              </c:numCache>
            </c:numRef>
          </c:xVal>
          <c:yVal>
            <c:numRef>
              <c:f>[4]spinky!$B$77:$H$77</c:f>
              <c:numCache>
                <c:formatCode>General</c:formatCode>
                <c:ptCount val="7"/>
                <c:pt idx="0">
                  <c:v>7.1428571428571432</c:v>
                </c:pt>
                <c:pt idx="1">
                  <c:v>21.428571428571427</c:v>
                </c:pt>
                <c:pt idx="2">
                  <c:v>35.714285714285715</c:v>
                </c:pt>
                <c:pt idx="3">
                  <c:v>50</c:v>
                </c:pt>
                <c:pt idx="4">
                  <c:v>64.285714285714292</c:v>
                </c:pt>
                <c:pt idx="5">
                  <c:v>78.571428571428569</c:v>
                </c:pt>
                <c:pt idx="6">
                  <c:v>92.857142857142861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F75-4B22-BD55-C33FCE81A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054144"/>
        <c:axId val="174054720"/>
      </c:scatterChart>
      <c:valAx>
        <c:axId val="1740541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74054720"/>
        <c:crosses val="autoZero"/>
        <c:crossBetween val="midCat"/>
      </c:valAx>
      <c:valAx>
        <c:axId val="17405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740541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/>
              <a:t>t1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yi</c:v>
          </c:tx>
          <c:spPr>
            <a:ln w="28575">
              <a:noFill/>
            </a:ln>
          </c:spPr>
          <c:xVal>
            <c:numRef>
              <c:f>'pruzina_vypocet cez analyzu dat'!$C$15:$C$22</c:f>
              <c:numCache>
                <c:formatCode>General</c:formatCode>
                <c:ptCount val="8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</c:numCache>
            </c:numRef>
          </c:xVal>
          <c:yVal>
            <c:numRef>
              <c:f>'pruzina_vypocet cez analyzu dat'!$B$15:$B$22</c:f>
              <c:numCache>
                <c:formatCode>General</c:formatCode>
                <c:ptCount val="8"/>
                <c:pt idx="0">
                  <c:v>77</c:v>
                </c:pt>
                <c:pt idx="1">
                  <c:v>63</c:v>
                </c:pt>
                <c:pt idx="2">
                  <c:v>98</c:v>
                </c:pt>
                <c:pt idx="3">
                  <c:v>82</c:v>
                </c:pt>
                <c:pt idx="4">
                  <c:v>50</c:v>
                </c:pt>
                <c:pt idx="5">
                  <c:v>52</c:v>
                </c:pt>
                <c:pt idx="6">
                  <c:v>69</c:v>
                </c:pt>
                <c:pt idx="7">
                  <c:v>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CFF-4A98-ACD6-0BE58BE3C536}"/>
            </c:ext>
          </c:extLst>
        </c:ser>
        <c:ser>
          <c:idx val="1"/>
          <c:order val="1"/>
          <c:tx>
            <c:v>Predicted yi</c:v>
          </c:tx>
          <c:spPr>
            <a:ln w="28575">
              <a:noFill/>
            </a:ln>
          </c:spPr>
          <c:xVal>
            <c:numRef>
              <c:f>'pruzina_vypocet cez analyzu dat'!$C$15:$C$22</c:f>
              <c:numCache>
                <c:formatCode>General</c:formatCode>
                <c:ptCount val="8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</c:numCache>
            </c:numRef>
          </c:xVal>
          <c:yVal>
            <c:numRef>
              <c:f>'pruzina_vypocet cez analyzu dat'!$B$54:$B$61</c:f>
              <c:numCache>
                <c:formatCode>General</c:formatCode>
                <c:ptCount val="8"/>
                <c:pt idx="0">
                  <c:v>70</c:v>
                </c:pt>
                <c:pt idx="1">
                  <c:v>70</c:v>
                </c:pt>
                <c:pt idx="2">
                  <c:v>90</c:v>
                </c:pt>
                <c:pt idx="3">
                  <c:v>90</c:v>
                </c:pt>
                <c:pt idx="4">
                  <c:v>51</c:v>
                </c:pt>
                <c:pt idx="5">
                  <c:v>51</c:v>
                </c:pt>
                <c:pt idx="6">
                  <c:v>65</c:v>
                </c:pt>
                <c:pt idx="7">
                  <c:v>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CFF-4A98-ACD6-0BE58BE3C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1051408"/>
        <c:axId val="621049328"/>
      </c:scatterChart>
      <c:valAx>
        <c:axId val="621051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sk-SK"/>
                  <a:t>t1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21049328"/>
        <c:crosses val="autoZero"/>
        <c:crossBetween val="midCat"/>
      </c:valAx>
      <c:valAx>
        <c:axId val="6210493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sk-SK"/>
                  <a:t>yi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2105140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Pareto graf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[4]spinky!$D$112:$D$118</c:f>
              <c:numCache>
                <c:formatCode>General</c:formatCode>
                <c:ptCount val="7"/>
                <c:pt idx="0">
                  <c:v>0.87500000000000022</c:v>
                </c:pt>
                <c:pt idx="1">
                  <c:v>1.1250000000000011</c:v>
                </c:pt>
                <c:pt idx="2">
                  <c:v>1.3750000000000002</c:v>
                </c:pt>
                <c:pt idx="3">
                  <c:v>1.6249999999999987</c:v>
                </c:pt>
                <c:pt idx="4">
                  <c:v>1.6249999999999996</c:v>
                </c:pt>
                <c:pt idx="5">
                  <c:v>5.1250000000000009</c:v>
                </c:pt>
                <c:pt idx="6">
                  <c:v>8.125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05-473D-89E3-67D1B5FAF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"/>
        <c:overlap val="100"/>
        <c:axId val="59831808"/>
        <c:axId val="173925504"/>
      </c:barChart>
      <c:catAx>
        <c:axId val="59831808"/>
        <c:scaling>
          <c:orientation val="minMax"/>
        </c:scaling>
        <c:delete val="0"/>
        <c:axPos val="l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73925504"/>
        <c:crosses val="autoZero"/>
        <c:auto val="1"/>
        <c:lblAlgn val="ctr"/>
        <c:lblOffset val="100"/>
        <c:noMultiLvlLbl val="0"/>
      </c:catAx>
      <c:valAx>
        <c:axId val="173925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9831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[4]spinky!$B$76:$H$76</c:f>
              <c:numCache>
                <c:formatCode>General</c:formatCode>
                <c:ptCount val="7"/>
                <c:pt idx="0">
                  <c:v>-5.1250000000000009</c:v>
                </c:pt>
                <c:pt idx="1">
                  <c:v>-1.6249999999999996</c:v>
                </c:pt>
                <c:pt idx="2">
                  <c:v>-0.87500000000000022</c:v>
                </c:pt>
                <c:pt idx="3">
                  <c:v>1.1250000000000011</c:v>
                </c:pt>
                <c:pt idx="4">
                  <c:v>1.3750000000000002</c:v>
                </c:pt>
                <c:pt idx="5">
                  <c:v>1.6249999999999987</c:v>
                </c:pt>
                <c:pt idx="6">
                  <c:v>8.125</c:v>
                </c:pt>
              </c:numCache>
            </c:numRef>
          </c:xVal>
          <c:yVal>
            <c:numRef>
              <c:f>[4]spinky!$B$77:$H$77</c:f>
              <c:numCache>
                <c:formatCode>General</c:formatCode>
                <c:ptCount val="7"/>
                <c:pt idx="0">
                  <c:v>7.1428571428571432</c:v>
                </c:pt>
                <c:pt idx="1">
                  <c:v>21.428571428571427</c:v>
                </c:pt>
                <c:pt idx="2">
                  <c:v>35.714285714285715</c:v>
                </c:pt>
                <c:pt idx="3">
                  <c:v>50</c:v>
                </c:pt>
                <c:pt idx="4">
                  <c:v>64.285714285714292</c:v>
                </c:pt>
                <c:pt idx="5">
                  <c:v>78.571428571428569</c:v>
                </c:pt>
                <c:pt idx="6">
                  <c:v>92.857142857142861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63D-4693-ABD4-9F027A34B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054144"/>
        <c:axId val="174054720"/>
      </c:scatterChart>
      <c:valAx>
        <c:axId val="1740541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74054720"/>
        <c:crosses val="autoZero"/>
        <c:crossBetween val="midCat"/>
      </c:valAx>
      <c:valAx>
        <c:axId val="17405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740541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Normalny pravdepodobnostny graf pre efekty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[4]spinky!$B$76:$H$76</c:f>
              <c:numCache>
                <c:formatCode>General</c:formatCode>
                <c:ptCount val="7"/>
                <c:pt idx="0">
                  <c:v>-5.1250000000000009</c:v>
                </c:pt>
                <c:pt idx="1">
                  <c:v>-1.6249999999999996</c:v>
                </c:pt>
                <c:pt idx="2">
                  <c:v>-0.87500000000000022</c:v>
                </c:pt>
                <c:pt idx="3">
                  <c:v>1.1250000000000011</c:v>
                </c:pt>
                <c:pt idx="4">
                  <c:v>1.3750000000000002</c:v>
                </c:pt>
                <c:pt idx="5">
                  <c:v>1.6249999999999987</c:v>
                </c:pt>
                <c:pt idx="6">
                  <c:v>8.125</c:v>
                </c:pt>
              </c:numCache>
            </c:numRef>
          </c:xVal>
          <c:yVal>
            <c:numRef>
              <c:f>[4]spinky!$B$77:$H$77</c:f>
              <c:numCache>
                <c:formatCode>General</c:formatCode>
                <c:ptCount val="7"/>
                <c:pt idx="0">
                  <c:v>7.1428571428571432</c:v>
                </c:pt>
                <c:pt idx="1">
                  <c:v>21.428571428571427</c:v>
                </c:pt>
                <c:pt idx="2">
                  <c:v>35.714285714285715</c:v>
                </c:pt>
                <c:pt idx="3">
                  <c:v>50</c:v>
                </c:pt>
                <c:pt idx="4">
                  <c:v>64.285714285714292</c:v>
                </c:pt>
                <c:pt idx="5">
                  <c:v>78.571428571428569</c:v>
                </c:pt>
                <c:pt idx="6">
                  <c:v>92.857142857142861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38-49B5-81F8-A3E8698C2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054144"/>
        <c:axId val="174054720"/>
      </c:scatterChart>
      <c:valAx>
        <c:axId val="1740541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74054720"/>
        <c:crosses val="autoZero"/>
        <c:crossBetween val="midCat"/>
      </c:valAx>
      <c:valAx>
        <c:axId val="17405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740541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Hlavny efekt faktora praci prasok ef(x1)=20,6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'[5]ucinnost prania_efekty'!$B$31:$C$31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'[5]ucinnost prania_efekty'!$B$33:$C$33</c:f>
              <c:numCache>
                <c:formatCode>General</c:formatCode>
                <c:ptCount val="2"/>
                <c:pt idx="0">
                  <c:v>58.25</c:v>
                </c:pt>
                <c:pt idx="1">
                  <c:v>78.875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871-45D8-8044-ABA6B6094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580864"/>
        <c:axId val="46581440"/>
      </c:scatterChart>
      <c:valAx>
        <c:axId val="46580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x1_praci prasok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6581440"/>
        <c:crosses val="autoZero"/>
        <c:crossBetween val="midCat"/>
      </c:valAx>
      <c:valAx>
        <c:axId val="4658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y</a:t>
                </a:r>
                <a:r>
                  <a:rPr lang="sk-SK" baseline="0"/>
                  <a:t> priem</a:t>
                </a:r>
                <a:endParaRPr lang="sk-SK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6580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Hlavny efekt faktora teplota vody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'[5]ucinnost prania_efekty'!$B$31:$C$31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'[5]ucinnost prania_efekty'!$D$33:$E$33</c:f>
              <c:numCache>
                <c:formatCode>General</c:formatCode>
                <c:ptCount val="2"/>
                <c:pt idx="0">
                  <c:v>71.625</c:v>
                </c:pt>
                <c:pt idx="1">
                  <c:v>65.5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F74-45EB-83B7-C83E38690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583168"/>
        <c:axId val="46583744"/>
      </c:scatterChart>
      <c:valAx>
        <c:axId val="46583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x2_teplota</a:t>
                </a:r>
                <a:r>
                  <a:rPr lang="sk-SK" baseline="0"/>
                  <a:t> vody</a:t>
                </a:r>
                <a:endParaRPr lang="sk-SK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6583744"/>
        <c:crosses val="autoZero"/>
        <c:crossBetween val="midCat"/>
      </c:valAx>
      <c:valAx>
        <c:axId val="4658374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y</a:t>
                </a:r>
                <a:r>
                  <a:rPr lang="sk-SK" baseline="0"/>
                  <a:t> priem</a:t>
                </a:r>
                <a:endParaRPr lang="sk-SK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65831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Hlavny efekt faktora dlzka casu prania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'[5]ucinnost prania_efekty'!$B$31:$C$31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'[5]ucinnost prania_efekty'!$F$33:$G$33</c:f>
              <c:numCache>
                <c:formatCode>General</c:formatCode>
                <c:ptCount val="2"/>
                <c:pt idx="0">
                  <c:v>59.125</c:v>
                </c:pt>
                <c:pt idx="1">
                  <c:v>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0D6-4265-9601-F16B62202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585472"/>
        <c:axId val="46586048"/>
      </c:scatterChart>
      <c:valAx>
        <c:axId val="46585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x3_cas prania</a:t>
                </a:r>
              </a:p>
            </c:rich>
          </c:tx>
          <c:layout>
            <c:manualLayout>
              <c:xMode val="edge"/>
              <c:yMode val="edge"/>
              <c:x val="0.36124062608525787"/>
              <c:y val="0.7970652871174590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6586048"/>
        <c:crosses val="autoZero"/>
        <c:crossBetween val="midCat"/>
      </c:valAx>
      <c:valAx>
        <c:axId val="46586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y</a:t>
                </a:r>
                <a:r>
                  <a:rPr lang="sk-SK" baseline="0"/>
                  <a:t> priem</a:t>
                </a:r>
                <a:endParaRPr lang="sk-SK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65854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Interakcia</a:t>
            </a:r>
            <a:r>
              <a:rPr lang="sk-SK" baseline="0"/>
              <a:t> faktorov</a:t>
            </a:r>
            <a:endParaRPr lang="sk-SK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'[5]ucinnost prania_efekty'!$B$40</c:f>
              <c:strCache>
                <c:ptCount val="1"/>
                <c:pt idx="0">
                  <c:v>40°C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'[5]ucinnost prania_efekty'!$D$39:$E$39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'[5]ucinnost prania_efekty'!$D$40:$E$40</c:f>
              <c:numCache>
                <c:formatCode>General</c:formatCode>
                <c:ptCount val="2"/>
                <c:pt idx="0">
                  <c:v>67</c:v>
                </c:pt>
                <c:pt idx="1">
                  <c:v>76.25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A6A-45CA-B47A-A4A4950C7A6B}"/>
            </c:ext>
          </c:extLst>
        </c:ser>
        <c:ser>
          <c:idx val="1"/>
          <c:order val="1"/>
          <c:tx>
            <c:strRef>
              <c:f>'[5]ucinnost prania_efekty'!$B$41</c:f>
              <c:strCache>
                <c:ptCount val="1"/>
                <c:pt idx="0">
                  <c:v>60°C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'[5]ucinnost prania_efekty'!$D$39:$E$39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'[5]ucinnost prania_efekty'!$D$41:$E$41</c:f>
              <c:numCache>
                <c:formatCode>General</c:formatCode>
                <c:ptCount val="2"/>
                <c:pt idx="0">
                  <c:v>49.5</c:v>
                </c:pt>
                <c:pt idx="1">
                  <c:v>81.5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A6A-45CA-B47A-A4A4950C7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063040"/>
        <c:axId val="175063616"/>
      </c:scatterChart>
      <c:valAx>
        <c:axId val="175063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X1_praci prasok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75063616"/>
        <c:crosses val="autoZero"/>
        <c:crossBetween val="midCat"/>
      </c:valAx>
      <c:valAx>
        <c:axId val="175063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y priem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750630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Interakcia</a:t>
            </a:r>
            <a:r>
              <a:rPr lang="sk-SK" baseline="0"/>
              <a:t> faktorov</a:t>
            </a:r>
            <a:endParaRPr lang="sk-SK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'[5]ucinnost prania_efekty'!$D$38</c:f>
              <c:strCache>
                <c:ptCount val="1"/>
                <c:pt idx="0">
                  <c:v>A1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'[5]ucinnost prania_efekty'!$C$40:$C$41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'[5]ucinnost prania_efekty'!$D$40:$D$41</c:f>
              <c:numCache>
                <c:formatCode>General</c:formatCode>
                <c:ptCount val="2"/>
                <c:pt idx="0">
                  <c:v>67</c:v>
                </c:pt>
                <c:pt idx="1">
                  <c:v>49.5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DE-47AC-ACE4-AB6181F1697C}"/>
            </c:ext>
          </c:extLst>
        </c:ser>
        <c:ser>
          <c:idx val="1"/>
          <c:order val="1"/>
          <c:tx>
            <c:strRef>
              <c:f>'[5]ucinnost prania_efekty'!$E$38</c:f>
              <c:strCache>
                <c:ptCount val="1"/>
                <c:pt idx="0">
                  <c:v>A2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'[5]ucinnost prania_efekty'!$C$40:$C$41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'[5]ucinnost prania_efekty'!$E$40:$E$41</c:f>
              <c:numCache>
                <c:formatCode>General</c:formatCode>
                <c:ptCount val="2"/>
                <c:pt idx="0">
                  <c:v>76.25</c:v>
                </c:pt>
                <c:pt idx="1">
                  <c:v>81.5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9DE-47AC-ACE4-AB6181F16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065920"/>
        <c:axId val="175066496"/>
      </c:scatterChart>
      <c:valAx>
        <c:axId val="17506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x2_teplota prania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75066496"/>
        <c:crosses val="autoZero"/>
        <c:crossBetween val="midCat"/>
      </c:valAx>
      <c:valAx>
        <c:axId val="175066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y priem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750659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Main effect of 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efekt!$E$34:$F$34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efekt!$E$35:$F$35</c:f>
              <c:numCache>
                <c:formatCode>0.00</c:formatCode>
                <c:ptCount val="2"/>
                <c:pt idx="0">
                  <c:v>2.7725</c:v>
                </c:pt>
                <c:pt idx="1">
                  <c:v>2.8774999999999995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E28-4E0F-9E99-CC5FCC3A1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068800"/>
        <c:axId val="175069376"/>
      </c:scatterChart>
      <c:valAx>
        <c:axId val="1750688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A_rychlost vrtania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75069376"/>
        <c:crosses val="autoZero"/>
        <c:crossBetween val="midCat"/>
      </c:valAx>
      <c:valAx>
        <c:axId val="17506937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 priem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0.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750688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Main effect of B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efekt!$E$34:$F$34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efekt!$E$36:$F$36</c:f>
              <c:numCache>
                <c:formatCode>0.00</c:formatCode>
                <c:ptCount val="2"/>
                <c:pt idx="0">
                  <c:v>2.7925</c:v>
                </c:pt>
                <c:pt idx="1">
                  <c:v>2.8574999999999999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43C-4353-BE04-7CC09A109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80000"/>
        <c:axId val="46080576"/>
      </c:scatterChart>
      <c:valAx>
        <c:axId val="460800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B_rychlost posuvu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6080576"/>
        <c:crosses val="autoZero"/>
        <c:crossBetween val="midCat"/>
      </c:valAx>
      <c:valAx>
        <c:axId val="46080576"/>
        <c:scaling>
          <c:orientation val="minMax"/>
          <c:max val="2.9049999999999998"/>
          <c:min val="2.7600000000000002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 priem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0.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6080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/>
              <a:t>t2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yi</c:v>
          </c:tx>
          <c:spPr>
            <a:ln w="28575">
              <a:noFill/>
            </a:ln>
          </c:spPr>
          <c:xVal>
            <c:numRef>
              <c:f>'pruzina_vypocet cez analyzu dat'!$D$15:$D$22</c:f>
              <c:numCache>
                <c:formatCode>General</c:formatCode>
                <c:ptCount val="8"/>
                <c:pt idx="0">
                  <c:v>-1</c:v>
                </c:pt>
                <c:pt idx="1">
                  <c:v>-1</c:v>
                </c:pt>
                <c:pt idx="2">
                  <c:v>1</c:v>
                </c:pt>
                <c:pt idx="3">
                  <c:v>1</c:v>
                </c:pt>
                <c:pt idx="4">
                  <c:v>-1</c:v>
                </c:pt>
                <c:pt idx="5">
                  <c:v>-1</c:v>
                </c:pt>
                <c:pt idx="6">
                  <c:v>1</c:v>
                </c:pt>
                <c:pt idx="7">
                  <c:v>1</c:v>
                </c:pt>
              </c:numCache>
            </c:numRef>
          </c:xVal>
          <c:yVal>
            <c:numRef>
              <c:f>'pruzina_vypocet cez analyzu dat'!$B$15:$B$22</c:f>
              <c:numCache>
                <c:formatCode>General</c:formatCode>
                <c:ptCount val="8"/>
                <c:pt idx="0">
                  <c:v>77</c:v>
                </c:pt>
                <c:pt idx="1">
                  <c:v>63</c:v>
                </c:pt>
                <c:pt idx="2">
                  <c:v>98</c:v>
                </c:pt>
                <c:pt idx="3">
                  <c:v>82</c:v>
                </c:pt>
                <c:pt idx="4">
                  <c:v>50</c:v>
                </c:pt>
                <c:pt idx="5">
                  <c:v>52</c:v>
                </c:pt>
                <c:pt idx="6">
                  <c:v>69</c:v>
                </c:pt>
                <c:pt idx="7">
                  <c:v>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7E5-4F77-B500-8010541CDEE5}"/>
            </c:ext>
          </c:extLst>
        </c:ser>
        <c:ser>
          <c:idx val="1"/>
          <c:order val="1"/>
          <c:tx>
            <c:v>Predicted yi</c:v>
          </c:tx>
          <c:spPr>
            <a:ln w="28575">
              <a:noFill/>
            </a:ln>
          </c:spPr>
          <c:xVal>
            <c:numRef>
              <c:f>'pruzina_vypocet cez analyzu dat'!$D$15:$D$22</c:f>
              <c:numCache>
                <c:formatCode>General</c:formatCode>
                <c:ptCount val="8"/>
                <c:pt idx="0">
                  <c:v>-1</c:v>
                </c:pt>
                <c:pt idx="1">
                  <c:v>-1</c:v>
                </c:pt>
                <c:pt idx="2">
                  <c:v>1</c:v>
                </c:pt>
                <c:pt idx="3">
                  <c:v>1</c:v>
                </c:pt>
                <c:pt idx="4">
                  <c:v>-1</c:v>
                </c:pt>
                <c:pt idx="5">
                  <c:v>-1</c:v>
                </c:pt>
                <c:pt idx="6">
                  <c:v>1</c:v>
                </c:pt>
                <c:pt idx="7">
                  <c:v>1</c:v>
                </c:pt>
              </c:numCache>
            </c:numRef>
          </c:xVal>
          <c:yVal>
            <c:numRef>
              <c:f>'pruzina_vypocet cez analyzu dat'!$B$54:$B$61</c:f>
              <c:numCache>
                <c:formatCode>General</c:formatCode>
                <c:ptCount val="8"/>
                <c:pt idx="0">
                  <c:v>70</c:v>
                </c:pt>
                <c:pt idx="1">
                  <c:v>70</c:v>
                </c:pt>
                <c:pt idx="2">
                  <c:v>90</c:v>
                </c:pt>
                <c:pt idx="3">
                  <c:v>90</c:v>
                </c:pt>
                <c:pt idx="4">
                  <c:v>51</c:v>
                </c:pt>
                <c:pt idx="5">
                  <c:v>51</c:v>
                </c:pt>
                <c:pt idx="6">
                  <c:v>65</c:v>
                </c:pt>
                <c:pt idx="7">
                  <c:v>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7E5-4F77-B500-8010541CD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1051408"/>
        <c:axId val="621048080"/>
      </c:scatterChart>
      <c:valAx>
        <c:axId val="621051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sk-SK"/>
                  <a:t>t2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21048080"/>
        <c:crosses val="autoZero"/>
        <c:crossBetween val="midCat"/>
      </c:valAx>
      <c:valAx>
        <c:axId val="6210480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sk-SK"/>
                  <a:t>yi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2105140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Interaction effect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[6]efekty1!$D$18</c:f>
              <c:strCache>
                <c:ptCount val="1"/>
                <c:pt idx="0">
                  <c:v>125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[6]efekty1!$J$20:$K$20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[6]efekty1!$J$21:$K$21</c:f>
              <c:numCache>
                <c:formatCode>General</c:formatCode>
                <c:ptCount val="2"/>
                <c:pt idx="0">
                  <c:v>2.74</c:v>
                </c:pt>
                <c:pt idx="1">
                  <c:v>2.8049999999999997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250-4883-B8D0-C66CBE952DE7}"/>
            </c:ext>
          </c:extLst>
        </c:ser>
        <c:ser>
          <c:idx val="1"/>
          <c:order val="1"/>
          <c:tx>
            <c:strRef>
              <c:f>[6]efekty1!$D$19</c:f>
              <c:strCache>
                <c:ptCount val="1"/>
                <c:pt idx="0">
                  <c:v>200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[6]efekty1!$J$20:$K$20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[6]efekty1!$J$22:$K$22</c:f>
              <c:numCache>
                <c:formatCode>General</c:formatCode>
                <c:ptCount val="2"/>
                <c:pt idx="0">
                  <c:v>2.8449999999999998</c:v>
                </c:pt>
                <c:pt idx="1">
                  <c:v>2.91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250-4883-B8D0-C66CBE952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82304"/>
        <c:axId val="46082880"/>
      </c:scatterChart>
      <c:valAx>
        <c:axId val="460823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B rychlost posuvu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6082880"/>
        <c:crosses val="autoZero"/>
        <c:crossBetween val="midCat"/>
      </c:valAx>
      <c:valAx>
        <c:axId val="46082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y priem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6082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Interaction effect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[7]efekty1!$E$23</c:f>
              <c:strCache>
                <c:ptCount val="1"/>
                <c:pt idx="0">
                  <c:v>0,015 (mm/min)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[7]efekty1!$D$34:$D$35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[7]efekty1!$E$34:$E$35</c:f>
              <c:numCache>
                <c:formatCode>General</c:formatCode>
                <c:ptCount val="2"/>
                <c:pt idx="0">
                  <c:v>2.74</c:v>
                </c:pt>
                <c:pt idx="1">
                  <c:v>2.8449999999999998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64C-469D-A372-1F2019847387}"/>
            </c:ext>
          </c:extLst>
        </c:ser>
        <c:ser>
          <c:idx val="1"/>
          <c:order val="1"/>
          <c:tx>
            <c:strRef>
              <c:f>[7]efekty1!$F$23</c:f>
              <c:strCache>
                <c:ptCount val="1"/>
                <c:pt idx="0">
                  <c:v>0,06 (mm/min)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[7]efekty1!$D$34:$D$35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[7]efekty1!$F$34:$F$35</c:f>
              <c:numCache>
                <c:formatCode>General</c:formatCode>
                <c:ptCount val="2"/>
                <c:pt idx="0">
                  <c:v>2.8049999999999997</c:v>
                </c:pt>
                <c:pt idx="1">
                  <c:v>2.91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64C-469D-A372-1F2019847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3898512"/>
        <c:axId val="1193886864"/>
      </c:scatterChart>
      <c:valAx>
        <c:axId val="1193898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A_rychlost vrtania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193886864"/>
        <c:crosses val="autoZero"/>
        <c:crossBetween val="midCat"/>
      </c:valAx>
      <c:valAx>
        <c:axId val="1193886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priemerna odozva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1938985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Interaction effect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efekt!$D$6</c:f>
              <c:strCache>
                <c:ptCount val="1"/>
                <c:pt idx="0">
                  <c:v>0,83 MPa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efekt!$F$9:$G$9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efekt!$E$6:$F$6</c:f>
              <c:numCache>
                <c:formatCode>General</c:formatCode>
                <c:ptCount val="2"/>
                <c:pt idx="0">
                  <c:v>9.6</c:v>
                </c:pt>
                <c:pt idx="1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1BE-4638-9961-64F9C6517C54}"/>
            </c:ext>
          </c:extLst>
        </c:ser>
        <c:ser>
          <c:idx val="1"/>
          <c:order val="1"/>
          <c:tx>
            <c:strRef>
              <c:f>efekt!$D$7</c:f>
              <c:strCache>
                <c:ptCount val="1"/>
                <c:pt idx="0">
                  <c:v>1 MPa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efekt!$F$9:$G$9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efekt!$E$7:$F$7</c:f>
              <c:numCache>
                <c:formatCode>General</c:formatCode>
                <c:ptCount val="2"/>
                <c:pt idx="0">
                  <c:v>9.98</c:v>
                </c:pt>
                <c:pt idx="1">
                  <c:v>9.8000000000000007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1BE-4638-9961-64F9C6517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6398752"/>
        <c:axId val="1186400832"/>
      </c:scatterChart>
      <c:valAx>
        <c:axId val="11863987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B_teplota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186400832"/>
        <c:crosses val="autoZero"/>
        <c:crossBetween val="midCat"/>
      </c:valAx>
      <c:valAx>
        <c:axId val="1186400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priemerna šmykova pevnost lepidla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1863987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Interaction effect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efekt!$E$5</c:f>
              <c:strCache>
                <c:ptCount val="1"/>
                <c:pt idx="0">
                  <c:v>120 °C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efekt!$F$9:$G$9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efekt!$E$6:$E$7</c:f>
              <c:numCache>
                <c:formatCode>General</c:formatCode>
                <c:ptCount val="2"/>
                <c:pt idx="0">
                  <c:v>9.6</c:v>
                </c:pt>
                <c:pt idx="1">
                  <c:v>9.98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D78-4A14-8BEC-839DA29A767C}"/>
            </c:ext>
          </c:extLst>
        </c:ser>
        <c:ser>
          <c:idx val="1"/>
          <c:order val="1"/>
          <c:tx>
            <c:strRef>
              <c:f>efekt!$F$5</c:f>
              <c:strCache>
                <c:ptCount val="1"/>
                <c:pt idx="0">
                  <c:v>130°C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efekt!$F$9:$G$9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efekt!$F$6:$F$7</c:f>
              <c:numCache>
                <c:formatCode>General</c:formatCode>
                <c:ptCount val="2"/>
                <c:pt idx="0">
                  <c:v>9</c:v>
                </c:pt>
                <c:pt idx="1">
                  <c:v>9.8000000000000007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D78-4A14-8BEC-839DA29A76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7316863"/>
        <c:axId val="607299807"/>
      </c:scatterChart>
      <c:valAx>
        <c:axId val="6073168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A_tlak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607299807"/>
        <c:crosses val="autoZero"/>
        <c:crossBetween val="midCat"/>
      </c:valAx>
      <c:valAx>
        <c:axId val="6072998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priemerna šmykova pevnost lepidla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60731686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Main</a:t>
            </a:r>
            <a:r>
              <a:rPr lang="sk-SK" baseline="0"/>
              <a:t> effect of A</a:t>
            </a:r>
            <a:endParaRPr lang="sk-SK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efekt!$F$9:$G$9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efekt!$F$10:$G$10</c:f>
              <c:numCache>
                <c:formatCode>General</c:formatCode>
                <c:ptCount val="2"/>
                <c:pt idx="0">
                  <c:v>9.3000000000000007</c:v>
                </c:pt>
                <c:pt idx="1">
                  <c:v>9.89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AC8-4FB0-870D-A61775DD1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9373215"/>
        <c:axId val="1609373631"/>
      </c:scatterChart>
      <c:valAx>
        <c:axId val="160937321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A_tlak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09373631"/>
        <c:crosses val="autoZero"/>
        <c:crossBetween val="midCat"/>
      </c:valAx>
      <c:valAx>
        <c:axId val="1609373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priemerna smykova pevnost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0937321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Main</a:t>
            </a:r>
            <a:r>
              <a:rPr lang="sk-SK" baseline="0"/>
              <a:t> effect of B</a:t>
            </a:r>
            <a:endParaRPr lang="sk-SK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efekt!$F$9:$G$9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efekt!$F$11:$G$11</c:f>
              <c:numCache>
                <c:formatCode>General</c:formatCode>
                <c:ptCount val="2"/>
                <c:pt idx="0">
                  <c:v>9.7899999999999991</c:v>
                </c:pt>
                <c:pt idx="1">
                  <c:v>9.4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929-4D43-87D1-C86963130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9373215"/>
        <c:axId val="1609373631"/>
      </c:scatterChart>
      <c:valAx>
        <c:axId val="160937321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B</a:t>
                </a:r>
                <a:r>
                  <a:rPr lang="en-US"/>
                  <a:t>_tlak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09373631"/>
        <c:crosses val="autoZero"/>
        <c:crossBetween val="midCat"/>
      </c:valAx>
      <c:valAx>
        <c:axId val="1609373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priemerna smykova pevnost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0937321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0"/>
      <c:perspective val="2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272309711286089"/>
          <c:y val="7.4548702245552642E-2"/>
          <c:w val="0.65243635170603675"/>
          <c:h val="0.8326195683872849"/>
        </c:manualLayout>
      </c:layout>
      <c:surface3DChart>
        <c:wireframe val="0"/>
        <c:ser>
          <c:idx val="0"/>
          <c:order val="0"/>
          <c:tx>
            <c:strRef>
              <c:f>'[8]uplny kvadraticky model'!$B$60</c:f>
              <c:strCache>
                <c:ptCount val="1"/>
                <c:pt idx="0">
                  <c:v>-1</c:v>
                </c:pt>
              </c:strCache>
            </c:strRef>
          </c:tx>
          <c:cat>
            <c:numRef>
              <c:f>'[8]uplny kvadraticky model'!$C$59:$K$59</c:f>
              <c:numCache>
                <c:formatCode>General</c:formatCode>
                <c:ptCount val="9"/>
                <c:pt idx="0">
                  <c:v>-1</c:v>
                </c:pt>
                <c:pt idx="1">
                  <c:v>-0.8</c:v>
                </c:pt>
                <c:pt idx="2">
                  <c:v>-0.6</c:v>
                </c:pt>
                <c:pt idx="3">
                  <c:v>-0.4</c:v>
                </c:pt>
                <c:pt idx="4">
                  <c:v>-0.2</c:v>
                </c:pt>
                <c:pt idx="5">
                  <c:v>0</c:v>
                </c:pt>
                <c:pt idx="6">
                  <c:v>0.2</c:v>
                </c:pt>
                <c:pt idx="7">
                  <c:v>0.4</c:v>
                </c:pt>
                <c:pt idx="8">
                  <c:v>0.6</c:v>
                </c:pt>
              </c:numCache>
            </c:numRef>
          </c:cat>
          <c:val>
            <c:numRef>
              <c:f>'[8]uplny kvadraticky model'!$B$59:$M$59</c:f>
              <c:numCache>
                <c:formatCode>General</c:formatCode>
                <c:ptCount val="12"/>
                <c:pt idx="0">
                  <c:v>0</c:v>
                </c:pt>
                <c:pt idx="1">
                  <c:v>-1</c:v>
                </c:pt>
                <c:pt idx="2">
                  <c:v>-0.8</c:v>
                </c:pt>
                <c:pt idx="3">
                  <c:v>-0.6</c:v>
                </c:pt>
                <c:pt idx="4">
                  <c:v>-0.4</c:v>
                </c:pt>
                <c:pt idx="5">
                  <c:v>-0.2</c:v>
                </c:pt>
                <c:pt idx="6">
                  <c:v>0</c:v>
                </c:pt>
                <c:pt idx="7">
                  <c:v>0.2</c:v>
                </c:pt>
                <c:pt idx="8">
                  <c:v>0.4</c:v>
                </c:pt>
                <c:pt idx="9">
                  <c:v>0.6</c:v>
                </c:pt>
                <c:pt idx="10">
                  <c:v>0.8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9A-419A-A679-D06F7837F413}"/>
            </c:ext>
          </c:extLst>
        </c:ser>
        <c:ser>
          <c:idx val="1"/>
          <c:order val="1"/>
          <c:tx>
            <c:strRef>
              <c:f>'[8]uplny kvadraticky model'!$B$61</c:f>
              <c:strCache>
                <c:ptCount val="1"/>
                <c:pt idx="0">
                  <c:v>-0,8</c:v>
                </c:pt>
              </c:strCache>
            </c:strRef>
          </c:tx>
          <c:cat>
            <c:numRef>
              <c:f>'[8]uplny kvadraticky model'!$C$59:$K$59</c:f>
              <c:numCache>
                <c:formatCode>General</c:formatCode>
                <c:ptCount val="9"/>
                <c:pt idx="0">
                  <c:v>-1</c:v>
                </c:pt>
                <c:pt idx="1">
                  <c:v>-0.8</c:v>
                </c:pt>
                <c:pt idx="2">
                  <c:v>-0.6</c:v>
                </c:pt>
                <c:pt idx="3">
                  <c:v>-0.4</c:v>
                </c:pt>
                <c:pt idx="4">
                  <c:v>-0.2</c:v>
                </c:pt>
                <c:pt idx="5">
                  <c:v>0</c:v>
                </c:pt>
                <c:pt idx="6">
                  <c:v>0.2</c:v>
                </c:pt>
                <c:pt idx="7">
                  <c:v>0.4</c:v>
                </c:pt>
                <c:pt idx="8">
                  <c:v>0.6</c:v>
                </c:pt>
              </c:numCache>
            </c:numRef>
          </c:cat>
          <c:val>
            <c:numRef>
              <c:f>'[8]uplny kvadraticky model'!$B$60:$M$60</c:f>
              <c:numCache>
                <c:formatCode>General</c:formatCode>
                <c:ptCount val="12"/>
                <c:pt idx="0">
                  <c:v>-1</c:v>
                </c:pt>
                <c:pt idx="1">
                  <c:v>44.02</c:v>
                </c:pt>
                <c:pt idx="2">
                  <c:v>50.703999999999986</c:v>
                </c:pt>
                <c:pt idx="3">
                  <c:v>56.683999999999997</c:v>
                </c:pt>
                <c:pt idx="4">
                  <c:v>61.96</c:v>
                </c:pt>
                <c:pt idx="5">
                  <c:v>66.532000000000011</c:v>
                </c:pt>
                <c:pt idx="6">
                  <c:v>70.400000000000006</c:v>
                </c:pt>
                <c:pt idx="7">
                  <c:v>73.563999999999993</c:v>
                </c:pt>
                <c:pt idx="8">
                  <c:v>76.024000000000001</c:v>
                </c:pt>
                <c:pt idx="9">
                  <c:v>77.78</c:v>
                </c:pt>
                <c:pt idx="10">
                  <c:v>78.832000000000008</c:v>
                </c:pt>
                <c:pt idx="11">
                  <c:v>79.180000000000007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9A-419A-A679-D06F7837F413}"/>
            </c:ext>
          </c:extLst>
        </c:ser>
        <c:ser>
          <c:idx val="2"/>
          <c:order val="2"/>
          <c:tx>
            <c:strRef>
              <c:f>'[8]uplny kvadraticky model'!$B$62</c:f>
              <c:strCache>
                <c:ptCount val="1"/>
                <c:pt idx="0">
                  <c:v>-0,6</c:v>
                </c:pt>
              </c:strCache>
            </c:strRef>
          </c:tx>
          <c:cat>
            <c:numRef>
              <c:f>'[8]uplny kvadraticky model'!$C$59:$K$59</c:f>
              <c:numCache>
                <c:formatCode>General</c:formatCode>
                <c:ptCount val="9"/>
                <c:pt idx="0">
                  <c:v>-1</c:v>
                </c:pt>
                <c:pt idx="1">
                  <c:v>-0.8</c:v>
                </c:pt>
                <c:pt idx="2">
                  <c:v>-0.6</c:v>
                </c:pt>
                <c:pt idx="3">
                  <c:v>-0.4</c:v>
                </c:pt>
                <c:pt idx="4">
                  <c:v>-0.2</c:v>
                </c:pt>
                <c:pt idx="5">
                  <c:v>0</c:v>
                </c:pt>
                <c:pt idx="6">
                  <c:v>0.2</c:v>
                </c:pt>
                <c:pt idx="7">
                  <c:v>0.4</c:v>
                </c:pt>
                <c:pt idx="8">
                  <c:v>0.6</c:v>
                </c:pt>
              </c:numCache>
            </c:numRef>
          </c:cat>
          <c:val>
            <c:numRef>
              <c:f>'[8]uplny kvadraticky model'!$B$61:$M$61</c:f>
              <c:numCache>
                <c:formatCode>General</c:formatCode>
                <c:ptCount val="12"/>
                <c:pt idx="0">
                  <c:v>-0.8</c:v>
                </c:pt>
                <c:pt idx="1">
                  <c:v>48.260799999999996</c:v>
                </c:pt>
                <c:pt idx="2">
                  <c:v>54.634799999999984</c:v>
                </c:pt>
                <c:pt idx="3">
                  <c:v>60.3048</c:v>
                </c:pt>
                <c:pt idx="4">
                  <c:v>65.270799999999994</c:v>
                </c:pt>
                <c:pt idx="5">
                  <c:v>69.532799999999995</c:v>
                </c:pt>
                <c:pt idx="6">
                  <c:v>73.090800000000002</c:v>
                </c:pt>
                <c:pt idx="7">
                  <c:v>75.944799999999972</c:v>
                </c:pt>
                <c:pt idx="8">
                  <c:v>78.094800000000006</c:v>
                </c:pt>
                <c:pt idx="9">
                  <c:v>79.54079999999999</c:v>
                </c:pt>
                <c:pt idx="10">
                  <c:v>80.282800000000009</c:v>
                </c:pt>
                <c:pt idx="11">
                  <c:v>80.320800000000006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9A-419A-A679-D06F7837F413}"/>
            </c:ext>
          </c:extLst>
        </c:ser>
        <c:ser>
          <c:idx val="3"/>
          <c:order val="3"/>
          <c:tx>
            <c:strRef>
              <c:f>'[8]uplny kvadraticky model'!$B$63</c:f>
              <c:strCache>
                <c:ptCount val="1"/>
                <c:pt idx="0">
                  <c:v>-0,4</c:v>
                </c:pt>
              </c:strCache>
            </c:strRef>
          </c:tx>
          <c:cat>
            <c:numRef>
              <c:f>'[8]uplny kvadraticky model'!$C$59:$K$59</c:f>
              <c:numCache>
                <c:formatCode>General</c:formatCode>
                <c:ptCount val="9"/>
                <c:pt idx="0">
                  <c:v>-1</c:v>
                </c:pt>
                <c:pt idx="1">
                  <c:v>-0.8</c:v>
                </c:pt>
                <c:pt idx="2">
                  <c:v>-0.6</c:v>
                </c:pt>
                <c:pt idx="3">
                  <c:v>-0.4</c:v>
                </c:pt>
                <c:pt idx="4">
                  <c:v>-0.2</c:v>
                </c:pt>
                <c:pt idx="5">
                  <c:v>0</c:v>
                </c:pt>
                <c:pt idx="6">
                  <c:v>0.2</c:v>
                </c:pt>
                <c:pt idx="7">
                  <c:v>0.4</c:v>
                </c:pt>
                <c:pt idx="8">
                  <c:v>0.6</c:v>
                </c:pt>
              </c:numCache>
            </c:numRef>
          </c:cat>
          <c:val>
            <c:numRef>
              <c:f>'[8]uplny kvadraticky model'!$B$62:$M$62</c:f>
              <c:numCache>
                <c:formatCode>General</c:formatCode>
                <c:ptCount val="12"/>
                <c:pt idx="0">
                  <c:v>-0.6</c:v>
                </c:pt>
                <c:pt idx="1">
                  <c:v>52.091200000000008</c:v>
                </c:pt>
                <c:pt idx="2">
                  <c:v>58.155199999999994</c:v>
                </c:pt>
                <c:pt idx="3">
                  <c:v>63.5152</c:v>
                </c:pt>
                <c:pt idx="4">
                  <c:v>68.171199999999999</c:v>
                </c:pt>
                <c:pt idx="5">
                  <c:v>72.123199999999997</c:v>
                </c:pt>
                <c:pt idx="6">
                  <c:v>75.371200000000002</c:v>
                </c:pt>
                <c:pt idx="7">
                  <c:v>77.915199999999999</c:v>
                </c:pt>
                <c:pt idx="8">
                  <c:v>79.755200000000002</c:v>
                </c:pt>
                <c:pt idx="9">
                  <c:v>80.891199999999998</c:v>
                </c:pt>
                <c:pt idx="10">
                  <c:v>81.3232</c:v>
                </c:pt>
                <c:pt idx="11">
                  <c:v>81.051200000000009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9A-419A-A679-D06F7837F413}"/>
            </c:ext>
          </c:extLst>
        </c:ser>
        <c:ser>
          <c:idx val="4"/>
          <c:order val="4"/>
          <c:tx>
            <c:strRef>
              <c:f>'[8]uplny kvadraticky model'!$B$64</c:f>
              <c:strCache>
                <c:ptCount val="1"/>
                <c:pt idx="0">
                  <c:v>-0,2</c:v>
                </c:pt>
              </c:strCache>
            </c:strRef>
          </c:tx>
          <c:cat>
            <c:numRef>
              <c:f>'[8]uplny kvadraticky model'!$C$59:$K$59</c:f>
              <c:numCache>
                <c:formatCode>General</c:formatCode>
                <c:ptCount val="9"/>
                <c:pt idx="0">
                  <c:v>-1</c:v>
                </c:pt>
                <c:pt idx="1">
                  <c:v>-0.8</c:v>
                </c:pt>
                <c:pt idx="2">
                  <c:v>-0.6</c:v>
                </c:pt>
                <c:pt idx="3">
                  <c:v>-0.4</c:v>
                </c:pt>
                <c:pt idx="4">
                  <c:v>-0.2</c:v>
                </c:pt>
                <c:pt idx="5">
                  <c:v>0</c:v>
                </c:pt>
                <c:pt idx="6">
                  <c:v>0.2</c:v>
                </c:pt>
                <c:pt idx="7">
                  <c:v>0.4</c:v>
                </c:pt>
                <c:pt idx="8">
                  <c:v>0.6</c:v>
                </c:pt>
              </c:numCache>
            </c:numRef>
          </c:cat>
          <c:val>
            <c:numRef>
              <c:f>'[8]uplny kvadraticky model'!$B$63:$M$63</c:f>
              <c:numCache>
                <c:formatCode>General</c:formatCode>
                <c:ptCount val="12"/>
                <c:pt idx="0">
                  <c:v>-0.4</c:v>
                </c:pt>
                <c:pt idx="1">
                  <c:v>55.511200000000002</c:v>
                </c:pt>
                <c:pt idx="2">
                  <c:v>61.265199999999993</c:v>
                </c:pt>
                <c:pt idx="3">
                  <c:v>66.31519999999999</c:v>
                </c:pt>
                <c:pt idx="4">
                  <c:v>70.661199999999994</c:v>
                </c:pt>
                <c:pt idx="5">
                  <c:v>74.30319999999999</c:v>
                </c:pt>
                <c:pt idx="6">
                  <c:v>77.241199999999992</c:v>
                </c:pt>
                <c:pt idx="7">
                  <c:v>79.475199999999987</c:v>
                </c:pt>
                <c:pt idx="8">
                  <c:v>81.005199999999988</c:v>
                </c:pt>
                <c:pt idx="9">
                  <c:v>81.831199999999981</c:v>
                </c:pt>
                <c:pt idx="10">
                  <c:v>81.953199999999995</c:v>
                </c:pt>
                <c:pt idx="11">
                  <c:v>81.371199999999988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9A-419A-A679-D06F7837F413}"/>
            </c:ext>
          </c:extLst>
        </c:ser>
        <c:ser>
          <c:idx val="5"/>
          <c:order val="5"/>
          <c:cat>
            <c:numRef>
              <c:f>'[8]uplny kvadraticky model'!$C$59:$K$59</c:f>
              <c:numCache>
                <c:formatCode>General</c:formatCode>
                <c:ptCount val="9"/>
                <c:pt idx="0">
                  <c:v>-1</c:v>
                </c:pt>
                <c:pt idx="1">
                  <c:v>-0.8</c:v>
                </c:pt>
                <c:pt idx="2">
                  <c:v>-0.6</c:v>
                </c:pt>
                <c:pt idx="3">
                  <c:v>-0.4</c:v>
                </c:pt>
                <c:pt idx="4">
                  <c:v>-0.2</c:v>
                </c:pt>
                <c:pt idx="5">
                  <c:v>0</c:v>
                </c:pt>
                <c:pt idx="6">
                  <c:v>0.2</c:v>
                </c:pt>
                <c:pt idx="7">
                  <c:v>0.4</c:v>
                </c:pt>
                <c:pt idx="8">
                  <c:v>0.6</c:v>
                </c:pt>
              </c:numCache>
            </c:numRef>
          </c:cat>
          <c:val>
            <c:numRef>
              <c:f>'[8]uplny kvadraticky model'!$B$64:$M$64</c:f>
              <c:numCache>
                <c:formatCode>General</c:formatCode>
                <c:ptCount val="12"/>
                <c:pt idx="0">
                  <c:v>-0.2</c:v>
                </c:pt>
                <c:pt idx="1">
                  <c:v>58.520800000000015</c:v>
                </c:pt>
                <c:pt idx="2">
                  <c:v>63.96479999999999</c:v>
                </c:pt>
                <c:pt idx="3">
                  <c:v>68.704799999999992</c:v>
                </c:pt>
                <c:pt idx="4">
                  <c:v>72.740799999999993</c:v>
                </c:pt>
                <c:pt idx="5">
                  <c:v>76.072800000000001</c:v>
                </c:pt>
                <c:pt idx="6">
                  <c:v>78.700800000000001</c:v>
                </c:pt>
                <c:pt idx="7">
                  <c:v>80.624799999999993</c:v>
                </c:pt>
                <c:pt idx="8">
                  <c:v>81.844800000000006</c:v>
                </c:pt>
                <c:pt idx="9">
                  <c:v>82.360799999999998</c:v>
                </c:pt>
                <c:pt idx="10">
                  <c:v>82.172799999999995</c:v>
                </c:pt>
                <c:pt idx="11">
                  <c:v>81.280799999999999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A9A-419A-A679-D06F7837F413}"/>
            </c:ext>
          </c:extLst>
        </c:ser>
        <c:ser>
          <c:idx val="6"/>
          <c:order val="6"/>
          <c:cat>
            <c:numRef>
              <c:f>'[8]uplny kvadraticky model'!$C$59:$K$59</c:f>
              <c:numCache>
                <c:formatCode>General</c:formatCode>
                <c:ptCount val="9"/>
                <c:pt idx="0">
                  <c:v>-1</c:v>
                </c:pt>
                <c:pt idx="1">
                  <c:v>-0.8</c:v>
                </c:pt>
                <c:pt idx="2">
                  <c:v>-0.6</c:v>
                </c:pt>
                <c:pt idx="3">
                  <c:v>-0.4</c:v>
                </c:pt>
                <c:pt idx="4">
                  <c:v>-0.2</c:v>
                </c:pt>
                <c:pt idx="5">
                  <c:v>0</c:v>
                </c:pt>
                <c:pt idx="6">
                  <c:v>0.2</c:v>
                </c:pt>
                <c:pt idx="7">
                  <c:v>0.4</c:v>
                </c:pt>
                <c:pt idx="8">
                  <c:v>0.6</c:v>
                </c:pt>
              </c:numCache>
            </c:numRef>
          </c:cat>
          <c:val>
            <c:numRef>
              <c:f>'[8]uplny kvadraticky model'!$B$65:$M$65</c:f>
              <c:numCache>
                <c:formatCode>General</c:formatCode>
                <c:ptCount val="12"/>
                <c:pt idx="0">
                  <c:v>0</c:v>
                </c:pt>
                <c:pt idx="1">
                  <c:v>61.120000000000005</c:v>
                </c:pt>
                <c:pt idx="2">
                  <c:v>66.253999999999991</c:v>
                </c:pt>
                <c:pt idx="3">
                  <c:v>70.683999999999997</c:v>
                </c:pt>
                <c:pt idx="4">
                  <c:v>74.41</c:v>
                </c:pt>
                <c:pt idx="5">
                  <c:v>77.432000000000002</c:v>
                </c:pt>
                <c:pt idx="6">
                  <c:v>79.75</c:v>
                </c:pt>
                <c:pt idx="7">
                  <c:v>81.36399999999999</c:v>
                </c:pt>
                <c:pt idx="8">
                  <c:v>82.274000000000001</c:v>
                </c:pt>
                <c:pt idx="9">
                  <c:v>82.47999999999999</c:v>
                </c:pt>
                <c:pt idx="10">
                  <c:v>81.981999999999999</c:v>
                </c:pt>
                <c:pt idx="11">
                  <c:v>80.78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9A-419A-A679-D06F7837F413}"/>
            </c:ext>
          </c:extLst>
        </c:ser>
        <c:ser>
          <c:idx val="7"/>
          <c:order val="7"/>
          <c:cat>
            <c:numRef>
              <c:f>'[8]uplny kvadraticky model'!$C$59:$K$59</c:f>
              <c:numCache>
                <c:formatCode>General</c:formatCode>
                <c:ptCount val="9"/>
                <c:pt idx="0">
                  <c:v>-1</c:v>
                </c:pt>
                <c:pt idx="1">
                  <c:v>-0.8</c:v>
                </c:pt>
                <c:pt idx="2">
                  <c:v>-0.6</c:v>
                </c:pt>
                <c:pt idx="3">
                  <c:v>-0.4</c:v>
                </c:pt>
                <c:pt idx="4">
                  <c:v>-0.2</c:v>
                </c:pt>
                <c:pt idx="5">
                  <c:v>0</c:v>
                </c:pt>
                <c:pt idx="6">
                  <c:v>0.2</c:v>
                </c:pt>
                <c:pt idx="7">
                  <c:v>0.4</c:v>
                </c:pt>
                <c:pt idx="8">
                  <c:v>0.6</c:v>
                </c:pt>
              </c:numCache>
            </c:numRef>
          </c:cat>
          <c:val>
            <c:numRef>
              <c:f>'[8]uplny kvadraticky model'!$B$66:$M$66</c:f>
              <c:numCache>
                <c:formatCode>General</c:formatCode>
                <c:ptCount val="12"/>
                <c:pt idx="0">
                  <c:v>0.2</c:v>
                </c:pt>
                <c:pt idx="1">
                  <c:v>63.308799999999998</c:v>
                </c:pt>
                <c:pt idx="2">
                  <c:v>68.132799999999975</c:v>
                </c:pt>
                <c:pt idx="3">
                  <c:v>72.252799999999993</c:v>
                </c:pt>
                <c:pt idx="4">
                  <c:v>75.66879999999999</c:v>
                </c:pt>
                <c:pt idx="5">
                  <c:v>78.380799999999994</c:v>
                </c:pt>
                <c:pt idx="6">
                  <c:v>80.388799999999989</c:v>
                </c:pt>
                <c:pt idx="7">
                  <c:v>81.692799999999977</c:v>
                </c:pt>
                <c:pt idx="8">
                  <c:v>82.292799999999986</c:v>
                </c:pt>
                <c:pt idx="9">
                  <c:v>82.188799999999972</c:v>
                </c:pt>
                <c:pt idx="10">
                  <c:v>81.380799999999994</c:v>
                </c:pt>
                <c:pt idx="11">
                  <c:v>79.868799999999993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A9A-419A-A679-D06F7837F413}"/>
            </c:ext>
          </c:extLst>
        </c:ser>
        <c:ser>
          <c:idx val="8"/>
          <c:order val="8"/>
          <c:tx>
            <c:strRef>
              <c:f>'[8]uplny kvadraticky model'!$B$68</c:f>
              <c:strCache>
                <c:ptCount val="1"/>
                <c:pt idx="0">
                  <c:v>0,6</c:v>
                </c:pt>
              </c:strCache>
            </c:strRef>
          </c:tx>
          <c:cat>
            <c:numRef>
              <c:f>'[8]uplny kvadraticky model'!$C$59:$K$59</c:f>
              <c:numCache>
                <c:formatCode>General</c:formatCode>
                <c:ptCount val="9"/>
                <c:pt idx="0">
                  <c:v>-1</c:v>
                </c:pt>
                <c:pt idx="1">
                  <c:v>-0.8</c:v>
                </c:pt>
                <c:pt idx="2">
                  <c:v>-0.6</c:v>
                </c:pt>
                <c:pt idx="3">
                  <c:v>-0.4</c:v>
                </c:pt>
                <c:pt idx="4">
                  <c:v>-0.2</c:v>
                </c:pt>
                <c:pt idx="5">
                  <c:v>0</c:v>
                </c:pt>
                <c:pt idx="6">
                  <c:v>0.2</c:v>
                </c:pt>
                <c:pt idx="7">
                  <c:v>0.4</c:v>
                </c:pt>
                <c:pt idx="8">
                  <c:v>0.6</c:v>
                </c:pt>
              </c:numCache>
            </c:numRef>
          </c:cat>
          <c:val>
            <c:numRef>
              <c:f>'[8]uplny kvadraticky model'!$B$67:$M$67</c:f>
              <c:numCache>
                <c:formatCode>General</c:formatCode>
                <c:ptCount val="12"/>
                <c:pt idx="0">
                  <c:v>0.4</c:v>
                </c:pt>
                <c:pt idx="1">
                  <c:v>65.08720000000001</c:v>
                </c:pt>
                <c:pt idx="2">
                  <c:v>69.601199999999992</c:v>
                </c:pt>
                <c:pt idx="3">
                  <c:v>73.411199999999994</c:v>
                </c:pt>
                <c:pt idx="4">
                  <c:v>76.517199999999988</c:v>
                </c:pt>
                <c:pt idx="5">
                  <c:v>78.919200000000004</c:v>
                </c:pt>
                <c:pt idx="6">
                  <c:v>80.617199999999997</c:v>
                </c:pt>
                <c:pt idx="7">
                  <c:v>81.611199999999982</c:v>
                </c:pt>
                <c:pt idx="8">
                  <c:v>81.901200000000003</c:v>
                </c:pt>
                <c:pt idx="9">
                  <c:v>81.487199999999987</c:v>
                </c:pt>
                <c:pt idx="10">
                  <c:v>80.369199999999992</c:v>
                </c:pt>
                <c:pt idx="11">
                  <c:v>78.547200000000004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A9A-419A-A679-D06F7837F413}"/>
            </c:ext>
          </c:extLst>
        </c:ser>
        <c:ser>
          <c:idx val="9"/>
          <c:order val="9"/>
          <c:cat>
            <c:numRef>
              <c:f>'[8]uplny kvadraticky model'!$C$59:$K$59</c:f>
              <c:numCache>
                <c:formatCode>General</c:formatCode>
                <c:ptCount val="9"/>
                <c:pt idx="0">
                  <c:v>-1</c:v>
                </c:pt>
                <c:pt idx="1">
                  <c:v>-0.8</c:v>
                </c:pt>
                <c:pt idx="2">
                  <c:v>-0.6</c:v>
                </c:pt>
                <c:pt idx="3">
                  <c:v>-0.4</c:v>
                </c:pt>
                <c:pt idx="4">
                  <c:v>-0.2</c:v>
                </c:pt>
                <c:pt idx="5">
                  <c:v>0</c:v>
                </c:pt>
                <c:pt idx="6">
                  <c:v>0.2</c:v>
                </c:pt>
                <c:pt idx="7">
                  <c:v>0.4</c:v>
                </c:pt>
                <c:pt idx="8">
                  <c:v>0.6</c:v>
                </c:pt>
              </c:numCache>
            </c:numRef>
          </c:cat>
          <c:val>
            <c:numRef>
              <c:f>'[8]uplny kvadraticky model'!$B$68:$M$68</c:f>
              <c:numCache>
                <c:formatCode>General</c:formatCode>
                <c:ptCount val="12"/>
                <c:pt idx="0">
                  <c:v>0.6</c:v>
                </c:pt>
                <c:pt idx="1">
                  <c:v>66.455200000000005</c:v>
                </c:pt>
                <c:pt idx="2">
                  <c:v>70.659199999999984</c:v>
                </c:pt>
                <c:pt idx="3">
                  <c:v>74.159199999999998</c:v>
                </c:pt>
                <c:pt idx="4">
                  <c:v>76.955199999999991</c:v>
                </c:pt>
                <c:pt idx="5">
                  <c:v>79.047200000000004</c:v>
                </c:pt>
                <c:pt idx="6">
                  <c:v>80.435199999999995</c:v>
                </c:pt>
                <c:pt idx="7">
                  <c:v>81.119199999999978</c:v>
                </c:pt>
                <c:pt idx="8">
                  <c:v>81.099199999999996</c:v>
                </c:pt>
                <c:pt idx="9">
                  <c:v>80.375199999999978</c:v>
                </c:pt>
                <c:pt idx="10">
                  <c:v>78.947199999999995</c:v>
                </c:pt>
                <c:pt idx="11">
                  <c:v>76.81519999999999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A9A-419A-A679-D06F7837F413}"/>
            </c:ext>
          </c:extLst>
        </c:ser>
        <c:ser>
          <c:idx val="10"/>
          <c:order val="10"/>
          <c:cat>
            <c:numRef>
              <c:f>'[8]uplny kvadraticky model'!$C$59:$K$59</c:f>
              <c:numCache>
                <c:formatCode>General</c:formatCode>
                <c:ptCount val="9"/>
                <c:pt idx="0">
                  <c:v>-1</c:v>
                </c:pt>
                <c:pt idx="1">
                  <c:v>-0.8</c:v>
                </c:pt>
                <c:pt idx="2">
                  <c:v>-0.6</c:v>
                </c:pt>
                <c:pt idx="3">
                  <c:v>-0.4</c:v>
                </c:pt>
                <c:pt idx="4">
                  <c:v>-0.2</c:v>
                </c:pt>
                <c:pt idx="5">
                  <c:v>0</c:v>
                </c:pt>
                <c:pt idx="6">
                  <c:v>0.2</c:v>
                </c:pt>
                <c:pt idx="7">
                  <c:v>0.4</c:v>
                </c:pt>
                <c:pt idx="8">
                  <c:v>0.6</c:v>
                </c:pt>
              </c:numCache>
            </c:numRef>
          </c:cat>
          <c:val>
            <c:numRef>
              <c:f>'[8]uplny kvadraticky model'!$B$69:$M$69</c:f>
              <c:numCache>
                <c:formatCode>General</c:formatCode>
                <c:ptCount val="12"/>
                <c:pt idx="0">
                  <c:v>0.8</c:v>
                </c:pt>
                <c:pt idx="1">
                  <c:v>67.412800000000004</c:v>
                </c:pt>
                <c:pt idx="2">
                  <c:v>71.30680000000001</c:v>
                </c:pt>
                <c:pt idx="3">
                  <c:v>74.496800000000007</c:v>
                </c:pt>
                <c:pt idx="4">
                  <c:v>76.982800000000012</c:v>
                </c:pt>
                <c:pt idx="5">
                  <c:v>78.764799999999994</c:v>
                </c:pt>
                <c:pt idx="6">
                  <c:v>79.842800000000011</c:v>
                </c:pt>
                <c:pt idx="7">
                  <c:v>80.216799999999992</c:v>
                </c:pt>
                <c:pt idx="8">
                  <c:v>79.886800000000008</c:v>
                </c:pt>
                <c:pt idx="9">
                  <c:v>78.852800000000002</c:v>
                </c:pt>
                <c:pt idx="10">
                  <c:v>77.114800000000002</c:v>
                </c:pt>
                <c:pt idx="11">
                  <c:v>74.672800000000009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A9A-419A-A679-D06F7837F413}"/>
            </c:ext>
          </c:extLst>
        </c:ser>
        <c:ser>
          <c:idx val="11"/>
          <c:order val="11"/>
          <c:cat>
            <c:numRef>
              <c:f>'[8]uplny kvadraticky model'!$C$59:$K$59</c:f>
              <c:numCache>
                <c:formatCode>General</c:formatCode>
                <c:ptCount val="9"/>
                <c:pt idx="0">
                  <c:v>-1</c:v>
                </c:pt>
                <c:pt idx="1">
                  <c:v>-0.8</c:v>
                </c:pt>
                <c:pt idx="2">
                  <c:v>-0.6</c:v>
                </c:pt>
                <c:pt idx="3">
                  <c:v>-0.4</c:v>
                </c:pt>
                <c:pt idx="4">
                  <c:v>-0.2</c:v>
                </c:pt>
                <c:pt idx="5">
                  <c:v>0</c:v>
                </c:pt>
                <c:pt idx="6">
                  <c:v>0.2</c:v>
                </c:pt>
                <c:pt idx="7">
                  <c:v>0.4</c:v>
                </c:pt>
                <c:pt idx="8">
                  <c:v>0.6</c:v>
                </c:pt>
              </c:numCache>
            </c:numRef>
          </c:cat>
          <c:val>
            <c:numRef>
              <c:f>'[8]uplny kvadraticky model'!$B$70:$M$70</c:f>
              <c:numCache>
                <c:formatCode>General</c:formatCode>
                <c:ptCount val="12"/>
                <c:pt idx="0">
                  <c:v>1</c:v>
                </c:pt>
                <c:pt idx="1">
                  <c:v>67.960000000000008</c:v>
                </c:pt>
                <c:pt idx="2">
                  <c:v>71.543999999999997</c:v>
                </c:pt>
                <c:pt idx="3">
                  <c:v>74.424000000000007</c:v>
                </c:pt>
                <c:pt idx="4">
                  <c:v>76.599999999999994</c:v>
                </c:pt>
                <c:pt idx="5">
                  <c:v>78.072000000000003</c:v>
                </c:pt>
                <c:pt idx="6">
                  <c:v>78.84</c:v>
                </c:pt>
                <c:pt idx="7">
                  <c:v>78.903999999999996</c:v>
                </c:pt>
                <c:pt idx="8">
                  <c:v>78.26400000000001</c:v>
                </c:pt>
                <c:pt idx="9">
                  <c:v>76.919999999999987</c:v>
                </c:pt>
                <c:pt idx="10">
                  <c:v>74.872</c:v>
                </c:pt>
                <c:pt idx="11">
                  <c:v>72.12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A9A-419A-A679-D06F7837F413}"/>
            </c:ext>
          </c:extLst>
        </c:ser>
        <c:bandFmts/>
        <c:axId val="181617664"/>
        <c:axId val="181863552"/>
        <c:axId val="174375552"/>
      </c:surface3DChart>
      <c:catAx>
        <c:axId val="18161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1863552"/>
        <c:crosses val="autoZero"/>
        <c:auto val="1"/>
        <c:lblAlgn val="ctr"/>
        <c:lblOffset val="100"/>
        <c:noMultiLvlLbl val="0"/>
      </c:catAx>
      <c:valAx>
        <c:axId val="1818635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1617664"/>
        <c:crosses val="autoZero"/>
        <c:crossBetween val="midCat"/>
      </c:valAx>
      <c:serAx>
        <c:axId val="174375552"/>
        <c:scaling>
          <c:orientation val="minMax"/>
        </c:scaling>
        <c:delete val="0"/>
        <c:axPos val="b"/>
        <c:majorTickMark val="out"/>
        <c:minorTickMark val="none"/>
        <c:tickLblPos val="nextTo"/>
        <c:crossAx val="181863552"/>
        <c:crosses val="autoZero"/>
      </c:serAx>
      <c:spPr>
        <a:scene3d>
          <a:camera prst="orthographicFront"/>
          <a:lightRig rig="threePt" dir="t"/>
        </a:scene3d>
        <a:sp3d>
          <a:bevelT prst="relaxedInset"/>
        </a:sp3d>
      </c:spPr>
    </c:plotArea>
    <c:legend>
      <c:legendPos val="r"/>
      <c:layout>
        <c:manualLayout>
          <c:xMode val="edge"/>
          <c:yMode val="edge"/>
          <c:x val="0.87320975503062126"/>
          <c:y val="4.5144721493146703E-2"/>
          <c:w val="6.6051569186020342E-2"/>
          <c:h val="0.3975358465671891"/>
        </c:manualLayout>
      </c:layout>
      <c:overlay val="0"/>
      <c:txPr>
        <a:bodyPr/>
        <a:lstStyle/>
        <a:p>
          <a:pPr rtl="0">
            <a:defRPr/>
          </a:pPr>
          <a:endParaRPr lang="sk-SK"/>
        </a:p>
      </c:txPr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/>
              <a:t>Normal Probability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'[7]uplny kvadraticky model'!$A$44:$A$55</c:f>
              <c:numCache>
                <c:formatCode>General</c:formatCode>
                <c:ptCount val="12"/>
                <c:pt idx="0">
                  <c:v>4.166666666666667</c:v>
                </c:pt>
                <c:pt idx="1">
                  <c:v>12.5</c:v>
                </c:pt>
                <c:pt idx="2">
                  <c:v>20.833333333333336</c:v>
                </c:pt>
                <c:pt idx="3">
                  <c:v>29.166666666666668</c:v>
                </c:pt>
                <c:pt idx="4">
                  <c:v>37.5</c:v>
                </c:pt>
                <c:pt idx="5">
                  <c:v>45.833333333333336</c:v>
                </c:pt>
                <c:pt idx="6">
                  <c:v>54.166666666666664</c:v>
                </c:pt>
                <c:pt idx="7">
                  <c:v>62.5</c:v>
                </c:pt>
                <c:pt idx="8">
                  <c:v>70.833333333333343</c:v>
                </c:pt>
                <c:pt idx="9">
                  <c:v>79.166666666666671</c:v>
                </c:pt>
                <c:pt idx="10">
                  <c:v>87.500000000000014</c:v>
                </c:pt>
                <c:pt idx="11">
                  <c:v>95.833333333333343</c:v>
                </c:pt>
              </c:numCache>
            </c:numRef>
          </c:xVal>
          <c:yVal>
            <c:numRef>
              <c:f>'[7]uplny kvadraticky model'!$B$44:$B$55</c:f>
              <c:numCache>
                <c:formatCode>General</c:formatCode>
                <c:ptCount val="12"/>
                <c:pt idx="0">
                  <c:v>43</c:v>
                </c:pt>
                <c:pt idx="1">
                  <c:v>48</c:v>
                </c:pt>
                <c:pt idx="2">
                  <c:v>65</c:v>
                </c:pt>
                <c:pt idx="3">
                  <c:v>69</c:v>
                </c:pt>
                <c:pt idx="4">
                  <c:v>73</c:v>
                </c:pt>
                <c:pt idx="5">
                  <c:v>74</c:v>
                </c:pt>
                <c:pt idx="6">
                  <c:v>76</c:v>
                </c:pt>
                <c:pt idx="7">
                  <c:v>76</c:v>
                </c:pt>
                <c:pt idx="8">
                  <c:v>78</c:v>
                </c:pt>
                <c:pt idx="9">
                  <c:v>79</c:v>
                </c:pt>
                <c:pt idx="10">
                  <c:v>81</c:v>
                </c:pt>
                <c:pt idx="11">
                  <c:v>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084-43ED-BE1E-A1C3D78AC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865856"/>
        <c:axId val="181866432"/>
      </c:scatterChart>
      <c:valAx>
        <c:axId val="181865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sk-SK"/>
                  <a:t>Sample Percentile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81866432"/>
        <c:crosses val="autoZero"/>
        <c:crossBetween val="midCat"/>
      </c:valAx>
      <c:valAx>
        <c:axId val="18186643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sk-SK"/>
                  <a:t>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8186585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/>
              <a:t>t1*t2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yi</c:v>
          </c:tx>
          <c:spPr>
            <a:ln w="28575">
              <a:noFill/>
            </a:ln>
          </c:spPr>
          <c:xVal>
            <c:numRef>
              <c:f>'pruzina_vypocet cez analyzu dat'!$E$15:$E$22</c:f>
              <c:numCache>
                <c:formatCode>General</c:formatCode>
                <c:ptCount val="8"/>
                <c:pt idx="0">
                  <c:v>1</c:v>
                </c:pt>
                <c:pt idx="1">
                  <c:v>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1</c:v>
                </c:pt>
                <c:pt idx="7">
                  <c:v>1</c:v>
                </c:pt>
              </c:numCache>
            </c:numRef>
          </c:xVal>
          <c:yVal>
            <c:numRef>
              <c:f>'pruzina_vypocet cez analyzu dat'!$B$15:$B$22</c:f>
              <c:numCache>
                <c:formatCode>General</c:formatCode>
                <c:ptCount val="8"/>
                <c:pt idx="0">
                  <c:v>77</c:v>
                </c:pt>
                <c:pt idx="1">
                  <c:v>63</c:v>
                </c:pt>
                <c:pt idx="2">
                  <c:v>98</c:v>
                </c:pt>
                <c:pt idx="3">
                  <c:v>82</c:v>
                </c:pt>
                <c:pt idx="4">
                  <c:v>50</c:v>
                </c:pt>
                <c:pt idx="5">
                  <c:v>52</c:v>
                </c:pt>
                <c:pt idx="6">
                  <c:v>69</c:v>
                </c:pt>
                <c:pt idx="7">
                  <c:v>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6E4-43B3-9552-38A5F33B4D6B}"/>
            </c:ext>
          </c:extLst>
        </c:ser>
        <c:ser>
          <c:idx val="1"/>
          <c:order val="1"/>
          <c:tx>
            <c:v>Predicted yi</c:v>
          </c:tx>
          <c:spPr>
            <a:ln w="28575">
              <a:noFill/>
            </a:ln>
          </c:spPr>
          <c:xVal>
            <c:numRef>
              <c:f>'pruzina_vypocet cez analyzu dat'!$E$15:$E$22</c:f>
              <c:numCache>
                <c:formatCode>General</c:formatCode>
                <c:ptCount val="8"/>
                <c:pt idx="0">
                  <c:v>1</c:v>
                </c:pt>
                <c:pt idx="1">
                  <c:v>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1</c:v>
                </c:pt>
                <c:pt idx="7">
                  <c:v>1</c:v>
                </c:pt>
              </c:numCache>
            </c:numRef>
          </c:xVal>
          <c:yVal>
            <c:numRef>
              <c:f>'pruzina_vypocet cez analyzu dat'!$B$54:$B$61</c:f>
              <c:numCache>
                <c:formatCode>General</c:formatCode>
                <c:ptCount val="8"/>
                <c:pt idx="0">
                  <c:v>70</c:v>
                </c:pt>
                <c:pt idx="1">
                  <c:v>70</c:v>
                </c:pt>
                <c:pt idx="2">
                  <c:v>90</c:v>
                </c:pt>
                <c:pt idx="3">
                  <c:v>90</c:v>
                </c:pt>
                <c:pt idx="4">
                  <c:v>51</c:v>
                </c:pt>
                <c:pt idx="5">
                  <c:v>51</c:v>
                </c:pt>
                <c:pt idx="6">
                  <c:v>65</c:v>
                </c:pt>
                <c:pt idx="7">
                  <c:v>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6E4-43B3-9552-38A5F33B4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8716592"/>
        <c:axId val="668717008"/>
      </c:scatterChart>
      <c:valAx>
        <c:axId val="668716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sk-SK"/>
                  <a:t>t1*t2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68717008"/>
        <c:crosses val="autoZero"/>
        <c:crossBetween val="midCat"/>
      </c:valAx>
      <c:valAx>
        <c:axId val="6687170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sk-SK"/>
                  <a:t>yi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6871659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/>
              <a:t>Normal Probability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'pruzina_vypocet cez analyzu dat'!$F$54:$F$61</c:f>
              <c:numCache>
                <c:formatCode>General</c:formatCode>
                <c:ptCount val="8"/>
                <c:pt idx="0">
                  <c:v>6.25</c:v>
                </c:pt>
                <c:pt idx="1">
                  <c:v>18.75</c:v>
                </c:pt>
                <c:pt idx="2">
                  <c:v>31.25</c:v>
                </c:pt>
                <c:pt idx="3">
                  <c:v>43.75</c:v>
                </c:pt>
                <c:pt idx="4">
                  <c:v>56.25</c:v>
                </c:pt>
                <c:pt idx="5">
                  <c:v>68.75</c:v>
                </c:pt>
                <c:pt idx="6">
                  <c:v>81.25</c:v>
                </c:pt>
                <c:pt idx="7">
                  <c:v>93.75</c:v>
                </c:pt>
              </c:numCache>
            </c:numRef>
          </c:xVal>
          <c:yVal>
            <c:numRef>
              <c:f>'pruzina_vypocet cez analyzu dat'!$G$54:$G$61</c:f>
              <c:numCache>
                <c:formatCode>General</c:formatCode>
                <c:ptCount val="8"/>
                <c:pt idx="0">
                  <c:v>50</c:v>
                </c:pt>
                <c:pt idx="1">
                  <c:v>52</c:v>
                </c:pt>
                <c:pt idx="2">
                  <c:v>61</c:v>
                </c:pt>
                <c:pt idx="3">
                  <c:v>63</c:v>
                </c:pt>
                <c:pt idx="4">
                  <c:v>69</c:v>
                </c:pt>
                <c:pt idx="5">
                  <c:v>77</c:v>
                </c:pt>
                <c:pt idx="6">
                  <c:v>82</c:v>
                </c:pt>
                <c:pt idx="7">
                  <c:v>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817-48EE-A285-32BF1FCA6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8718672"/>
        <c:axId val="668716592"/>
      </c:scatterChart>
      <c:valAx>
        <c:axId val="668718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sk-SK"/>
                  <a:t>Sample Percentile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68716592"/>
        <c:crosses val="autoZero"/>
        <c:crossBetween val="midCat"/>
      </c:valAx>
      <c:valAx>
        <c:axId val="6687165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sk-SK"/>
                  <a:t>yi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6871867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Hlavn</a:t>
            </a:r>
            <a:r>
              <a:rPr lang="sk-SK"/>
              <a:t>y</a:t>
            </a:r>
            <a:r>
              <a:rPr lang="en-US"/>
              <a:t> efekt faktora 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'[1]efekt '!$B$24:$C$24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'[1]efekt '!$B$25:$C$25</c:f>
              <c:numCache>
                <c:formatCode>General</c:formatCode>
                <c:ptCount val="2"/>
                <c:pt idx="0">
                  <c:v>79.5</c:v>
                </c:pt>
                <c:pt idx="1">
                  <c:v>81.5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75E-4A3C-A43F-7AB33DFFC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3660207"/>
        <c:axId val="1708076639"/>
      </c:scatterChart>
      <c:valAx>
        <c:axId val="18136602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708076639"/>
        <c:crosses val="autoZero"/>
        <c:crossBetween val="midCat"/>
      </c:valAx>
      <c:valAx>
        <c:axId val="17080766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 priem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81366020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Hlavn</a:t>
            </a:r>
            <a:r>
              <a:rPr lang="sk-SK"/>
              <a:t>y</a:t>
            </a:r>
            <a:r>
              <a:rPr lang="en-US"/>
              <a:t> efekt faktora </a:t>
            </a:r>
            <a:r>
              <a:rPr lang="sk-SK"/>
              <a:t>B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'[1]efekt '!$D$24:$E$24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'[1]efekt '!$D$25:$E$25</c:f>
              <c:numCache>
                <c:formatCode>General</c:formatCode>
                <c:ptCount val="2"/>
                <c:pt idx="0">
                  <c:v>83</c:v>
                </c:pt>
                <c:pt idx="1">
                  <c:v>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D9D-4EE3-B9D0-6C4DEE1AE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3660207"/>
        <c:axId val="1708076639"/>
      </c:scatterChart>
      <c:valAx>
        <c:axId val="18136602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B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708076639"/>
        <c:crosses val="autoZero"/>
        <c:crossBetween val="midCat"/>
      </c:valAx>
      <c:valAx>
        <c:axId val="17080766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 priem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81366020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13" Type="http://schemas.openxmlformats.org/officeDocument/2006/relationships/image" Target="../media/image38.png"/><Relationship Id="rId3" Type="http://schemas.openxmlformats.org/officeDocument/2006/relationships/image" Target="../media/image28.png"/><Relationship Id="rId7" Type="http://schemas.openxmlformats.org/officeDocument/2006/relationships/image" Target="../media/image32.png"/><Relationship Id="rId12" Type="http://schemas.openxmlformats.org/officeDocument/2006/relationships/image" Target="../media/image37.png"/><Relationship Id="rId17" Type="http://schemas.openxmlformats.org/officeDocument/2006/relationships/image" Target="../media/image42.png"/><Relationship Id="rId2" Type="http://schemas.openxmlformats.org/officeDocument/2006/relationships/image" Target="../media/image27.png"/><Relationship Id="rId16" Type="http://schemas.openxmlformats.org/officeDocument/2006/relationships/image" Target="../media/image41.png"/><Relationship Id="rId1" Type="http://schemas.openxmlformats.org/officeDocument/2006/relationships/image" Target="../media/image4.png"/><Relationship Id="rId6" Type="http://schemas.openxmlformats.org/officeDocument/2006/relationships/image" Target="../media/image31.png"/><Relationship Id="rId11" Type="http://schemas.openxmlformats.org/officeDocument/2006/relationships/image" Target="../media/image36.png"/><Relationship Id="rId5" Type="http://schemas.openxmlformats.org/officeDocument/2006/relationships/image" Target="../media/image30.png"/><Relationship Id="rId15" Type="http://schemas.openxmlformats.org/officeDocument/2006/relationships/image" Target="../media/image40.png"/><Relationship Id="rId10" Type="http://schemas.openxmlformats.org/officeDocument/2006/relationships/image" Target="../media/image35.png"/><Relationship Id="rId4" Type="http://schemas.openxmlformats.org/officeDocument/2006/relationships/image" Target="../media/image29.png"/><Relationship Id="rId9" Type="http://schemas.openxmlformats.org/officeDocument/2006/relationships/image" Target="../media/image34.png"/><Relationship Id="rId14" Type="http://schemas.openxmlformats.org/officeDocument/2006/relationships/image" Target="../media/image39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7" Type="http://schemas.openxmlformats.org/officeDocument/2006/relationships/image" Target="../media/image44.png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6" Type="http://schemas.openxmlformats.org/officeDocument/2006/relationships/image" Target="../media/image43.png"/><Relationship Id="rId5" Type="http://schemas.openxmlformats.org/officeDocument/2006/relationships/chart" Target="../charts/chart47.xml"/><Relationship Id="rId4" Type="http://schemas.openxmlformats.org/officeDocument/2006/relationships/chart" Target="../charts/chart46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2.png"/><Relationship Id="rId13" Type="http://schemas.openxmlformats.org/officeDocument/2006/relationships/image" Target="../media/image57.png"/><Relationship Id="rId3" Type="http://schemas.openxmlformats.org/officeDocument/2006/relationships/image" Target="../media/image47.png"/><Relationship Id="rId7" Type="http://schemas.openxmlformats.org/officeDocument/2006/relationships/image" Target="../media/image51.png"/><Relationship Id="rId12" Type="http://schemas.openxmlformats.org/officeDocument/2006/relationships/image" Target="../media/image56.png"/><Relationship Id="rId2" Type="http://schemas.openxmlformats.org/officeDocument/2006/relationships/image" Target="../media/image46.png"/><Relationship Id="rId1" Type="http://schemas.openxmlformats.org/officeDocument/2006/relationships/image" Target="../media/image45.png"/><Relationship Id="rId6" Type="http://schemas.openxmlformats.org/officeDocument/2006/relationships/image" Target="../media/image50.png"/><Relationship Id="rId11" Type="http://schemas.openxmlformats.org/officeDocument/2006/relationships/image" Target="../media/image55.png"/><Relationship Id="rId5" Type="http://schemas.openxmlformats.org/officeDocument/2006/relationships/image" Target="../media/image49.png"/><Relationship Id="rId10" Type="http://schemas.openxmlformats.org/officeDocument/2006/relationships/image" Target="../media/image54.png"/><Relationship Id="rId4" Type="http://schemas.openxmlformats.org/officeDocument/2006/relationships/image" Target="../media/image48.png"/><Relationship Id="rId9" Type="http://schemas.openxmlformats.org/officeDocument/2006/relationships/image" Target="../media/image53.png"/><Relationship Id="rId14" Type="http://schemas.openxmlformats.org/officeDocument/2006/relationships/image" Target="../media/image58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5.xml"/><Relationship Id="rId3" Type="http://schemas.openxmlformats.org/officeDocument/2006/relationships/chart" Target="../charts/chart50.xml"/><Relationship Id="rId7" Type="http://schemas.openxmlformats.org/officeDocument/2006/relationships/chart" Target="../charts/chart54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chart" Target="../charts/chart51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6.png"/><Relationship Id="rId3" Type="http://schemas.openxmlformats.org/officeDocument/2006/relationships/image" Target="../media/image61.png"/><Relationship Id="rId7" Type="http://schemas.openxmlformats.org/officeDocument/2006/relationships/image" Target="../media/image65.png"/><Relationship Id="rId2" Type="http://schemas.openxmlformats.org/officeDocument/2006/relationships/image" Target="../media/image60.png"/><Relationship Id="rId1" Type="http://schemas.openxmlformats.org/officeDocument/2006/relationships/image" Target="../media/image59.png"/><Relationship Id="rId6" Type="http://schemas.openxmlformats.org/officeDocument/2006/relationships/image" Target="../media/image64.png"/><Relationship Id="rId5" Type="http://schemas.openxmlformats.org/officeDocument/2006/relationships/image" Target="../media/image63.png"/><Relationship Id="rId4" Type="http://schemas.openxmlformats.org/officeDocument/2006/relationships/image" Target="../media/image62.png"/><Relationship Id="rId9" Type="http://schemas.openxmlformats.org/officeDocument/2006/relationships/image" Target="../media/image67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.xml"/><Relationship Id="rId2" Type="http://schemas.openxmlformats.org/officeDocument/2006/relationships/image" Target="../media/image59.png"/><Relationship Id="rId1" Type="http://schemas.openxmlformats.org/officeDocument/2006/relationships/image" Target="../media/image68.png"/><Relationship Id="rId5" Type="http://schemas.openxmlformats.org/officeDocument/2006/relationships/image" Target="../media/image69.png"/><Relationship Id="rId4" Type="http://schemas.openxmlformats.org/officeDocument/2006/relationships/chart" Target="../charts/chart57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1.png"/><Relationship Id="rId1" Type="http://schemas.openxmlformats.org/officeDocument/2006/relationships/image" Target="../media/image70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9.png"/><Relationship Id="rId13" Type="http://schemas.openxmlformats.org/officeDocument/2006/relationships/image" Target="../media/image84.png"/><Relationship Id="rId18" Type="http://schemas.openxmlformats.org/officeDocument/2006/relationships/image" Target="../media/image89.png"/><Relationship Id="rId3" Type="http://schemas.openxmlformats.org/officeDocument/2006/relationships/image" Target="../media/image74.png"/><Relationship Id="rId21" Type="http://schemas.openxmlformats.org/officeDocument/2006/relationships/image" Target="../media/image92.png"/><Relationship Id="rId7" Type="http://schemas.openxmlformats.org/officeDocument/2006/relationships/image" Target="../media/image78.png"/><Relationship Id="rId12" Type="http://schemas.openxmlformats.org/officeDocument/2006/relationships/image" Target="../media/image83.png"/><Relationship Id="rId17" Type="http://schemas.openxmlformats.org/officeDocument/2006/relationships/image" Target="../media/image88.png"/><Relationship Id="rId2" Type="http://schemas.openxmlformats.org/officeDocument/2006/relationships/image" Target="../media/image73.png"/><Relationship Id="rId16" Type="http://schemas.openxmlformats.org/officeDocument/2006/relationships/image" Target="../media/image87.png"/><Relationship Id="rId20" Type="http://schemas.openxmlformats.org/officeDocument/2006/relationships/image" Target="../media/image91.png"/><Relationship Id="rId1" Type="http://schemas.openxmlformats.org/officeDocument/2006/relationships/image" Target="../media/image72.png"/><Relationship Id="rId6" Type="http://schemas.openxmlformats.org/officeDocument/2006/relationships/image" Target="../media/image77.png"/><Relationship Id="rId11" Type="http://schemas.openxmlformats.org/officeDocument/2006/relationships/image" Target="../media/image82.png"/><Relationship Id="rId5" Type="http://schemas.openxmlformats.org/officeDocument/2006/relationships/image" Target="../media/image76.png"/><Relationship Id="rId15" Type="http://schemas.openxmlformats.org/officeDocument/2006/relationships/image" Target="../media/image86.png"/><Relationship Id="rId23" Type="http://schemas.openxmlformats.org/officeDocument/2006/relationships/image" Target="../media/image94.png"/><Relationship Id="rId10" Type="http://schemas.openxmlformats.org/officeDocument/2006/relationships/image" Target="../media/image81.png"/><Relationship Id="rId19" Type="http://schemas.openxmlformats.org/officeDocument/2006/relationships/image" Target="../media/image90.png"/><Relationship Id="rId4" Type="http://schemas.openxmlformats.org/officeDocument/2006/relationships/image" Target="../media/image75.png"/><Relationship Id="rId9" Type="http://schemas.openxmlformats.org/officeDocument/2006/relationships/image" Target="../media/image80.png"/><Relationship Id="rId14" Type="http://schemas.openxmlformats.org/officeDocument/2006/relationships/image" Target="../media/image85.png"/><Relationship Id="rId22" Type="http://schemas.openxmlformats.org/officeDocument/2006/relationships/image" Target="../media/image9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png"/><Relationship Id="rId7" Type="http://schemas.openxmlformats.org/officeDocument/2006/relationships/image" Target="../media/image101.png"/><Relationship Id="rId2" Type="http://schemas.openxmlformats.org/officeDocument/2006/relationships/image" Target="../media/image96.png"/><Relationship Id="rId1" Type="http://schemas.openxmlformats.org/officeDocument/2006/relationships/image" Target="../media/image95.png"/><Relationship Id="rId6" Type="http://schemas.openxmlformats.org/officeDocument/2006/relationships/image" Target="../media/image100.png"/><Relationship Id="rId5" Type="http://schemas.openxmlformats.org/officeDocument/2006/relationships/image" Target="../media/image99.png"/><Relationship Id="rId4" Type="http://schemas.openxmlformats.org/officeDocument/2006/relationships/image" Target="../media/image98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9.png"/><Relationship Id="rId13" Type="http://schemas.openxmlformats.org/officeDocument/2006/relationships/image" Target="../media/image114.png"/><Relationship Id="rId3" Type="http://schemas.openxmlformats.org/officeDocument/2006/relationships/image" Target="../media/image104.png"/><Relationship Id="rId7" Type="http://schemas.openxmlformats.org/officeDocument/2006/relationships/image" Target="../media/image108.png"/><Relationship Id="rId12" Type="http://schemas.openxmlformats.org/officeDocument/2006/relationships/image" Target="../media/image113.png"/><Relationship Id="rId2" Type="http://schemas.openxmlformats.org/officeDocument/2006/relationships/image" Target="../media/image103.png"/><Relationship Id="rId1" Type="http://schemas.openxmlformats.org/officeDocument/2006/relationships/image" Target="../media/image102.png"/><Relationship Id="rId6" Type="http://schemas.openxmlformats.org/officeDocument/2006/relationships/image" Target="../media/image107.png"/><Relationship Id="rId11" Type="http://schemas.openxmlformats.org/officeDocument/2006/relationships/image" Target="../media/image112.png"/><Relationship Id="rId5" Type="http://schemas.openxmlformats.org/officeDocument/2006/relationships/image" Target="../media/image106.png"/><Relationship Id="rId10" Type="http://schemas.openxmlformats.org/officeDocument/2006/relationships/image" Target="../media/image111.png"/><Relationship Id="rId4" Type="http://schemas.openxmlformats.org/officeDocument/2006/relationships/image" Target="../media/image105.png"/><Relationship Id="rId9" Type="http://schemas.openxmlformats.org/officeDocument/2006/relationships/image" Target="../media/image11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.xml"/><Relationship Id="rId13" Type="http://schemas.openxmlformats.org/officeDocument/2006/relationships/image" Target="../media/image17.png"/><Relationship Id="rId3" Type="http://schemas.openxmlformats.org/officeDocument/2006/relationships/image" Target="../media/image14.png"/><Relationship Id="rId7" Type="http://schemas.openxmlformats.org/officeDocument/2006/relationships/chart" Target="../charts/chart2.xml"/><Relationship Id="rId12" Type="http://schemas.openxmlformats.org/officeDocument/2006/relationships/chart" Target="../charts/chart7.xml"/><Relationship Id="rId2" Type="http://schemas.openxmlformats.org/officeDocument/2006/relationships/image" Target="../media/image13.png"/><Relationship Id="rId16" Type="http://schemas.openxmlformats.org/officeDocument/2006/relationships/image" Target="../media/image20.png"/><Relationship Id="rId1" Type="http://schemas.openxmlformats.org/officeDocument/2006/relationships/image" Target="../media/image12.png"/><Relationship Id="rId6" Type="http://schemas.openxmlformats.org/officeDocument/2006/relationships/chart" Target="../charts/chart1.xml"/><Relationship Id="rId11" Type="http://schemas.openxmlformats.org/officeDocument/2006/relationships/chart" Target="../charts/chart6.xml"/><Relationship Id="rId5" Type="http://schemas.openxmlformats.org/officeDocument/2006/relationships/image" Target="../media/image16.png"/><Relationship Id="rId15" Type="http://schemas.openxmlformats.org/officeDocument/2006/relationships/image" Target="../media/image19.png"/><Relationship Id="rId10" Type="http://schemas.openxmlformats.org/officeDocument/2006/relationships/chart" Target="../charts/chart5.xml"/><Relationship Id="rId4" Type="http://schemas.openxmlformats.org/officeDocument/2006/relationships/image" Target="../media/image15.png"/><Relationship Id="rId9" Type="http://schemas.openxmlformats.org/officeDocument/2006/relationships/chart" Target="../charts/chart4.xml"/><Relationship Id="rId14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18" Type="http://schemas.openxmlformats.org/officeDocument/2006/relationships/chart" Target="../charts/chart28.xml"/><Relationship Id="rId26" Type="http://schemas.openxmlformats.org/officeDocument/2006/relationships/chart" Target="../charts/chart36.xml"/><Relationship Id="rId3" Type="http://schemas.openxmlformats.org/officeDocument/2006/relationships/chart" Target="../charts/chart13.xml"/><Relationship Id="rId21" Type="http://schemas.openxmlformats.org/officeDocument/2006/relationships/chart" Target="../charts/chart31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17" Type="http://schemas.openxmlformats.org/officeDocument/2006/relationships/chart" Target="../charts/chart27.xml"/><Relationship Id="rId25" Type="http://schemas.openxmlformats.org/officeDocument/2006/relationships/chart" Target="../charts/chart35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20" Type="http://schemas.openxmlformats.org/officeDocument/2006/relationships/chart" Target="../charts/chart30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24" Type="http://schemas.openxmlformats.org/officeDocument/2006/relationships/chart" Target="../charts/chart34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23" Type="http://schemas.openxmlformats.org/officeDocument/2006/relationships/chart" Target="../charts/chart33.xml"/><Relationship Id="rId28" Type="http://schemas.openxmlformats.org/officeDocument/2006/relationships/chart" Target="../charts/chart38.xml"/><Relationship Id="rId10" Type="http://schemas.openxmlformats.org/officeDocument/2006/relationships/chart" Target="../charts/chart20.xml"/><Relationship Id="rId19" Type="http://schemas.openxmlformats.org/officeDocument/2006/relationships/chart" Target="../charts/chart29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Relationship Id="rId22" Type="http://schemas.openxmlformats.org/officeDocument/2006/relationships/chart" Target="../charts/chart32.xml"/><Relationship Id="rId27" Type="http://schemas.openxmlformats.org/officeDocument/2006/relationships/chart" Target="../charts/chart37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3" Type="http://schemas.openxmlformats.org/officeDocument/2006/relationships/image" Target="../media/image21.png"/><Relationship Id="rId7" Type="http://schemas.openxmlformats.org/officeDocument/2006/relationships/image" Target="../media/image23.png"/><Relationship Id="rId2" Type="http://schemas.openxmlformats.org/officeDocument/2006/relationships/chart" Target="../charts/chart40.xml"/><Relationship Id="rId1" Type="http://schemas.openxmlformats.org/officeDocument/2006/relationships/chart" Target="../charts/chart39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10" Type="http://schemas.openxmlformats.org/officeDocument/2006/relationships/image" Target="../media/image26.png"/><Relationship Id="rId4" Type="http://schemas.openxmlformats.org/officeDocument/2006/relationships/image" Target="../media/image22.png"/><Relationship Id="rId9" Type="http://schemas.openxmlformats.org/officeDocument/2006/relationships/image" Target="../media/image2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88656</xdr:colOff>
      <xdr:row>10</xdr:row>
      <xdr:rowOff>173648</xdr:rowOff>
    </xdr:from>
    <xdr:to>
      <xdr:col>9</xdr:col>
      <xdr:colOff>135840</xdr:colOff>
      <xdr:row>11</xdr:row>
      <xdr:rowOff>28867</xdr:rowOff>
    </xdr:to>
    <xdr:sp macro="" textlink="">
      <xdr:nvSpPr>
        <xdr:cNvPr id="5" name="Ovál 4"/>
        <xdr:cNvSpPr/>
      </xdr:nvSpPr>
      <xdr:spPr>
        <a:xfrm>
          <a:off x="4613031" y="2145323"/>
          <a:ext cx="47184" cy="45719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8</xdr:col>
      <xdr:colOff>402981</xdr:colOff>
      <xdr:row>13</xdr:row>
      <xdr:rowOff>14654</xdr:rowOff>
    </xdr:from>
    <xdr:to>
      <xdr:col>10</xdr:col>
      <xdr:colOff>395654</xdr:colOff>
      <xdr:row>13</xdr:row>
      <xdr:rowOff>14654</xdr:rowOff>
    </xdr:to>
    <xdr:cxnSp macro="">
      <xdr:nvCxnSpPr>
        <xdr:cNvPr id="9" name="Rovná spojovacia šípka 8"/>
        <xdr:cNvCxnSpPr/>
      </xdr:nvCxnSpPr>
      <xdr:spPr>
        <a:xfrm>
          <a:off x="5460756" y="1157654"/>
          <a:ext cx="1211873" cy="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424961</xdr:colOff>
      <xdr:row>9</xdr:row>
      <xdr:rowOff>161192</xdr:rowOff>
    </xdr:from>
    <xdr:to>
      <xdr:col>8</xdr:col>
      <xdr:colOff>432288</xdr:colOff>
      <xdr:row>13</xdr:row>
      <xdr:rowOff>109904</xdr:rowOff>
    </xdr:to>
    <xdr:cxnSp macro="">
      <xdr:nvCxnSpPr>
        <xdr:cNvPr id="10" name="Rovná spojovacia šípka 9"/>
        <xdr:cNvCxnSpPr/>
      </xdr:nvCxnSpPr>
      <xdr:spPr>
        <a:xfrm flipH="1" flipV="1">
          <a:off x="5482736" y="542192"/>
          <a:ext cx="7327" cy="710712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41031</xdr:colOff>
      <xdr:row>10</xdr:row>
      <xdr:rowOff>37367</xdr:rowOff>
    </xdr:from>
    <xdr:to>
      <xdr:col>10</xdr:col>
      <xdr:colOff>341435</xdr:colOff>
      <xdr:row>11</xdr:row>
      <xdr:rowOff>66675</xdr:rowOff>
    </xdr:to>
    <xdr:sp macro="" textlink="">
      <xdr:nvSpPr>
        <xdr:cNvPr id="11" name="BlokTextu 10"/>
        <xdr:cNvSpPr txBox="1"/>
      </xdr:nvSpPr>
      <xdr:spPr>
        <a:xfrm>
          <a:off x="5175006" y="2009042"/>
          <a:ext cx="300404" cy="21980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IV</a:t>
          </a:r>
        </a:p>
      </xdr:txBody>
    </xdr:sp>
    <xdr:clientData/>
  </xdr:twoCellAnchor>
  <xdr:twoCellAnchor>
    <xdr:from>
      <xdr:col>10</xdr:col>
      <xdr:colOff>55685</xdr:colOff>
      <xdr:row>11</xdr:row>
      <xdr:rowOff>106973</xdr:rowOff>
    </xdr:from>
    <xdr:to>
      <xdr:col>10</xdr:col>
      <xdr:colOff>356089</xdr:colOff>
      <xdr:row>12</xdr:row>
      <xdr:rowOff>136281</xdr:rowOff>
    </xdr:to>
    <xdr:sp macro="" textlink="">
      <xdr:nvSpPr>
        <xdr:cNvPr id="12" name="BlokTextu 11"/>
        <xdr:cNvSpPr txBox="1"/>
      </xdr:nvSpPr>
      <xdr:spPr>
        <a:xfrm>
          <a:off x="5189660" y="2269148"/>
          <a:ext cx="300404" cy="25790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III</a:t>
          </a:r>
        </a:p>
      </xdr:txBody>
    </xdr:sp>
    <xdr:clientData/>
  </xdr:twoCellAnchor>
  <xdr:twoCellAnchor>
    <xdr:from>
      <xdr:col>9</xdr:col>
      <xdr:colOff>120894</xdr:colOff>
      <xdr:row>10</xdr:row>
      <xdr:rowOff>39566</xdr:rowOff>
    </xdr:from>
    <xdr:to>
      <xdr:col>9</xdr:col>
      <xdr:colOff>421298</xdr:colOff>
      <xdr:row>11</xdr:row>
      <xdr:rowOff>68874</xdr:rowOff>
    </xdr:to>
    <xdr:sp macro="" textlink="">
      <xdr:nvSpPr>
        <xdr:cNvPr id="13" name="BlokTextu 12"/>
        <xdr:cNvSpPr txBox="1"/>
      </xdr:nvSpPr>
      <xdr:spPr>
        <a:xfrm>
          <a:off x="4645269" y="2011241"/>
          <a:ext cx="300404" cy="2198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II</a:t>
          </a:r>
        </a:p>
      </xdr:txBody>
    </xdr:sp>
    <xdr:clientData/>
  </xdr:twoCellAnchor>
  <xdr:twoCellAnchor>
    <xdr:from>
      <xdr:col>9</xdr:col>
      <xdr:colOff>95250</xdr:colOff>
      <xdr:row>11</xdr:row>
      <xdr:rowOff>117231</xdr:rowOff>
    </xdr:from>
    <xdr:to>
      <xdr:col>9</xdr:col>
      <xdr:colOff>395654</xdr:colOff>
      <xdr:row>12</xdr:row>
      <xdr:rowOff>146539</xdr:rowOff>
    </xdr:to>
    <xdr:sp macro="" textlink="">
      <xdr:nvSpPr>
        <xdr:cNvPr id="14" name="BlokTextu 13"/>
        <xdr:cNvSpPr txBox="1"/>
      </xdr:nvSpPr>
      <xdr:spPr>
        <a:xfrm>
          <a:off x="5762625" y="879231"/>
          <a:ext cx="300404" cy="21980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I</a:t>
          </a:r>
        </a:p>
      </xdr:txBody>
    </xdr:sp>
    <xdr:clientData/>
  </xdr:twoCellAnchor>
  <xdr:twoCellAnchor>
    <xdr:from>
      <xdr:col>11</xdr:col>
      <xdr:colOff>124557</xdr:colOff>
      <xdr:row>11</xdr:row>
      <xdr:rowOff>36635</xdr:rowOff>
    </xdr:from>
    <xdr:to>
      <xdr:col>12</xdr:col>
      <xdr:colOff>490904</xdr:colOff>
      <xdr:row>11</xdr:row>
      <xdr:rowOff>43962</xdr:rowOff>
    </xdr:to>
    <xdr:cxnSp macro="">
      <xdr:nvCxnSpPr>
        <xdr:cNvPr id="15" name="Rovná spojovacia šípka 14"/>
        <xdr:cNvCxnSpPr/>
      </xdr:nvCxnSpPr>
      <xdr:spPr>
        <a:xfrm>
          <a:off x="7011132" y="798635"/>
          <a:ext cx="975947" cy="7327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87190</xdr:colOff>
      <xdr:row>9</xdr:row>
      <xdr:rowOff>181707</xdr:rowOff>
    </xdr:from>
    <xdr:to>
      <xdr:col>12</xdr:col>
      <xdr:colOff>564173</xdr:colOff>
      <xdr:row>11</xdr:row>
      <xdr:rowOff>124558</xdr:rowOff>
    </xdr:to>
    <xdr:sp macro="" textlink="">
      <xdr:nvSpPr>
        <xdr:cNvPr id="16" name="BlokTextu 15"/>
        <xdr:cNvSpPr txBox="1"/>
      </xdr:nvSpPr>
      <xdr:spPr>
        <a:xfrm>
          <a:off x="7033113" y="1962149"/>
          <a:ext cx="1085118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>
              <a:solidFill>
                <a:srgbClr val="C00000"/>
              </a:solidFill>
            </a:rPr>
            <a:t>transformacia</a:t>
          </a:r>
        </a:p>
      </xdr:txBody>
    </xdr:sp>
    <xdr:clientData/>
  </xdr:twoCellAnchor>
  <xdr:twoCellAnchor>
    <xdr:from>
      <xdr:col>13</xdr:col>
      <xdr:colOff>90854</xdr:colOff>
      <xdr:row>12</xdr:row>
      <xdr:rowOff>5129</xdr:rowOff>
    </xdr:from>
    <xdr:to>
      <xdr:col>15</xdr:col>
      <xdr:colOff>83526</xdr:colOff>
      <xdr:row>12</xdr:row>
      <xdr:rowOff>5129</xdr:rowOff>
    </xdr:to>
    <xdr:cxnSp macro="">
      <xdr:nvCxnSpPr>
        <xdr:cNvPr id="17" name="Rovná spojovacia šípka 16"/>
        <xdr:cNvCxnSpPr/>
      </xdr:nvCxnSpPr>
      <xdr:spPr>
        <a:xfrm>
          <a:off x="7053629" y="2395904"/>
          <a:ext cx="1211872" cy="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600075</xdr:colOff>
      <xdr:row>8</xdr:row>
      <xdr:rowOff>128954</xdr:rowOff>
    </xdr:from>
    <xdr:to>
      <xdr:col>13</xdr:col>
      <xdr:colOff>603739</xdr:colOff>
      <xdr:row>13</xdr:row>
      <xdr:rowOff>152400</xdr:rowOff>
    </xdr:to>
    <xdr:cxnSp macro="">
      <xdr:nvCxnSpPr>
        <xdr:cNvPr id="18" name="Rovná spojovacia šípka 17"/>
        <xdr:cNvCxnSpPr/>
      </xdr:nvCxnSpPr>
      <xdr:spPr>
        <a:xfrm flipV="1">
          <a:off x="7562850" y="1719629"/>
          <a:ext cx="3664" cy="1052146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571500</xdr:colOff>
      <xdr:row>10</xdr:row>
      <xdr:rowOff>171450</xdr:rowOff>
    </xdr:from>
    <xdr:to>
      <xdr:col>10</xdr:col>
      <xdr:colOff>9084</xdr:colOff>
      <xdr:row>11</xdr:row>
      <xdr:rowOff>26669</xdr:rowOff>
    </xdr:to>
    <xdr:sp macro="" textlink="">
      <xdr:nvSpPr>
        <xdr:cNvPr id="19" name="Ovál 18"/>
        <xdr:cNvSpPr/>
      </xdr:nvSpPr>
      <xdr:spPr>
        <a:xfrm>
          <a:off x="5095875" y="2143125"/>
          <a:ext cx="47184" cy="45719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9</xdr:col>
      <xdr:colOff>85725</xdr:colOff>
      <xdr:row>11</xdr:row>
      <xdr:rowOff>209550</xdr:rowOff>
    </xdr:from>
    <xdr:to>
      <xdr:col>9</xdr:col>
      <xdr:colOff>132909</xdr:colOff>
      <xdr:row>12</xdr:row>
      <xdr:rowOff>26669</xdr:rowOff>
    </xdr:to>
    <xdr:sp macro="" textlink="">
      <xdr:nvSpPr>
        <xdr:cNvPr id="20" name="Ovál 19"/>
        <xdr:cNvSpPr/>
      </xdr:nvSpPr>
      <xdr:spPr>
        <a:xfrm>
          <a:off x="4610100" y="2371725"/>
          <a:ext cx="47184" cy="45719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9</xdr:col>
      <xdr:colOff>581025</xdr:colOff>
      <xdr:row>11</xdr:row>
      <xdr:rowOff>209550</xdr:rowOff>
    </xdr:from>
    <xdr:to>
      <xdr:col>10</xdr:col>
      <xdr:colOff>18609</xdr:colOff>
      <xdr:row>12</xdr:row>
      <xdr:rowOff>26669</xdr:rowOff>
    </xdr:to>
    <xdr:sp macro="" textlink="">
      <xdr:nvSpPr>
        <xdr:cNvPr id="21" name="Ovál 20"/>
        <xdr:cNvSpPr/>
      </xdr:nvSpPr>
      <xdr:spPr>
        <a:xfrm>
          <a:off x="5105400" y="2371725"/>
          <a:ext cx="47184" cy="45719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13</xdr:col>
      <xdr:colOff>247650</xdr:colOff>
      <xdr:row>13</xdr:row>
      <xdr:rowOff>57150</xdr:rowOff>
    </xdr:from>
    <xdr:to>
      <xdr:col>13</xdr:col>
      <xdr:colOff>294834</xdr:colOff>
      <xdr:row>13</xdr:row>
      <xdr:rowOff>102869</xdr:rowOff>
    </xdr:to>
    <xdr:sp macro="" textlink="">
      <xdr:nvSpPr>
        <xdr:cNvPr id="23" name="Ovál 22"/>
        <xdr:cNvSpPr/>
      </xdr:nvSpPr>
      <xdr:spPr>
        <a:xfrm>
          <a:off x="7210425" y="2676525"/>
          <a:ext cx="47184" cy="45719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14</xdr:col>
      <xdr:colOff>266700</xdr:colOff>
      <xdr:row>13</xdr:row>
      <xdr:rowOff>57150</xdr:rowOff>
    </xdr:from>
    <xdr:to>
      <xdr:col>14</xdr:col>
      <xdr:colOff>313884</xdr:colOff>
      <xdr:row>13</xdr:row>
      <xdr:rowOff>102869</xdr:rowOff>
    </xdr:to>
    <xdr:sp macro="" textlink="">
      <xdr:nvSpPr>
        <xdr:cNvPr id="24" name="Ovál 23"/>
        <xdr:cNvSpPr/>
      </xdr:nvSpPr>
      <xdr:spPr>
        <a:xfrm>
          <a:off x="7839075" y="2676525"/>
          <a:ext cx="47184" cy="45719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14</xdr:col>
      <xdr:colOff>266700</xdr:colOff>
      <xdr:row>10</xdr:row>
      <xdr:rowOff>142875</xdr:rowOff>
    </xdr:from>
    <xdr:to>
      <xdr:col>14</xdr:col>
      <xdr:colOff>313884</xdr:colOff>
      <xdr:row>10</xdr:row>
      <xdr:rowOff>188594</xdr:rowOff>
    </xdr:to>
    <xdr:sp macro="" textlink="">
      <xdr:nvSpPr>
        <xdr:cNvPr id="25" name="Ovál 24"/>
        <xdr:cNvSpPr/>
      </xdr:nvSpPr>
      <xdr:spPr>
        <a:xfrm>
          <a:off x="7839075" y="2114550"/>
          <a:ext cx="47184" cy="45719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13</xdr:col>
      <xdr:colOff>247650</xdr:colOff>
      <xdr:row>10</xdr:row>
      <xdr:rowOff>152400</xdr:rowOff>
    </xdr:from>
    <xdr:to>
      <xdr:col>13</xdr:col>
      <xdr:colOff>294834</xdr:colOff>
      <xdr:row>11</xdr:row>
      <xdr:rowOff>7619</xdr:rowOff>
    </xdr:to>
    <xdr:sp macro="" textlink="">
      <xdr:nvSpPr>
        <xdr:cNvPr id="27" name="Ovál 26"/>
        <xdr:cNvSpPr/>
      </xdr:nvSpPr>
      <xdr:spPr>
        <a:xfrm>
          <a:off x="7210425" y="2124075"/>
          <a:ext cx="47184" cy="45719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13</xdr:col>
      <xdr:colOff>276225</xdr:colOff>
      <xdr:row>12</xdr:row>
      <xdr:rowOff>171450</xdr:rowOff>
    </xdr:from>
    <xdr:to>
      <xdr:col>13</xdr:col>
      <xdr:colOff>576629</xdr:colOff>
      <xdr:row>14</xdr:row>
      <xdr:rowOff>10258</xdr:rowOff>
    </xdr:to>
    <xdr:sp macro="" textlink="">
      <xdr:nvSpPr>
        <xdr:cNvPr id="28" name="BlokTextu 27"/>
        <xdr:cNvSpPr txBox="1"/>
      </xdr:nvSpPr>
      <xdr:spPr>
        <a:xfrm>
          <a:off x="7239000" y="2562225"/>
          <a:ext cx="300404" cy="2579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I</a:t>
          </a:r>
        </a:p>
      </xdr:txBody>
    </xdr:sp>
    <xdr:clientData/>
  </xdr:twoCellAnchor>
  <xdr:twoCellAnchor>
    <xdr:from>
      <xdr:col>13</xdr:col>
      <xdr:colOff>266700</xdr:colOff>
      <xdr:row>10</xdr:row>
      <xdr:rowOff>19050</xdr:rowOff>
    </xdr:from>
    <xdr:to>
      <xdr:col>13</xdr:col>
      <xdr:colOff>567104</xdr:colOff>
      <xdr:row>11</xdr:row>
      <xdr:rowOff>48358</xdr:rowOff>
    </xdr:to>
    <xdr:sp macro="" textlink="">
      <xdr:nvSpPr>
        <xdr:cNvPr id="29" name="BlokTextu 28"/>
        <xdr:cNvSpPr txBox="1"/>
      </xdr:nvSpPr>
      <xdr:spPr>
        <a:xfrm>
          <a:off x="7229475" y="1990725"/>
          <a:ext cx="300404" cy="2198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II</a:t>
          </a:r>
        </a:p>
      </xdr:txBody>
    </xdr:sp>
    <xdr:clientData/>
  </xdr:twoCellAnchor>
  <xdr:twoCellAnchor>
    <xdr:from>
      <xdr:col>14</xdr:col>
      <xdr:colOff>276225</xdr:colOff>
      <xdr:row>12</xdr:row>
      <xdr:rowOff>161925</xdr:rowOff>
    </xdr:from>
    <xdr:to>
      <xdr:col>14</xdr:col>
      <xdr:colOff>576629</xdr:colOff>
      <xdr:row>13</xdr:row>
      <xdr:rowOff>153133</xdr:rowOff>
    </xdr:to>
    <xdr:sp macro="" textlink="">
      <xdr:nvSpPr>
        <xdr:cNvPr id="30" name="BlokTextu 29"/>
        <xdr:cNvSpPr txBox="1"/>
      </xdr:nvSpPr>
      <xdr:spPr>
        <a:xfrm>
          <a:off x="7848600" y="2552700"/>
          <a:ext cx="300404" cy="2198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III</a:t>
          </a:r>
        </a:p>
      </xdr:txBody>
    </xdr:sp>
    <xdr:clientData/>
  </xdr:twoCellAnchor>
  <xdr:twoCellAnchor>
    <xdr:from>
      <xdr:col>14</xdr:col>
      <xdr:colOff>257175</xdr:colOff>
      <xdr:row>10</xdr:row>
      <xdr:rowOff>19050</xdr:rowOff>
    </xdr:from>
    <xdr:to>
      <xdr:col>14</xdr:col>
      <xdr:colOff>557579</xdr:colOff>
      <xdr:row>11</xdr:row>
      <xdr:rowOff>48358</xdr:rowOff>
    </xdr:to>
    <xdr:sp macro="" textlink="">
      <xdr:nvSpPr>
        <xdr:cNvPr id="31" name="BlokTextu 30"/>
        <xdr:cNvSpPr txBox="1"/>
      </xdr:nvSpPr>
      <xdr:spPr>
        <a:xfrm>
          <a:off x="7829550" y="1990725"/>
          <a:ext cx="300404" cy="2198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IV</a:t>
          </a:r>
        </a:p>
      </xdr:txBody>
    </xdr:sp>
    <xdr:clientData/>
  </xdr:twoCellAnchor>
  <xdr:twoCellAnchor>
    <xdr:from>
      <xdr:col>11</xdr:col>
      <xdr:colOff>227137</xdr:colOff>
      <xdr:row>11</xdr:row>
      <xdr:rowOff>75736</xdr:rowOff>
    </xdr:from>
    <xdr:to>
      <xdr:col>12</xdr:col>
      <xdr:colOff>295668</xdr:colOff>
      <xdr:row>12</xdr:row>
      <xdr:rowOff>131152</xdr:rowOff>
    </xdr:to>
    <xdr:pic>
      <xdr:nvPicPr>
        <xdr:cNvPr id="32" name="Obrázok 3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912" y="2237911"/>
          <a:ext cx="678131" cy="284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466725</xdr:colOff>
      <xdr:row>25</xdr:row>
      <xdr:rowOff>0</xdr:rowOff>
    </xdr:from>
    <xdr:to>
      <xdr:col>12</xdr:col>
      <xdr:colOff>247650</xdr:colOff>
      <xdr:row>26</xdr:row>
      <xdr:rowOff>28575</xdr:rowOff>
    </xdr:to>
    <xdr:pic>
      <xdr:nvPicPr>
        <xdr:cNvPr id="33" name="Obrázok 3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4981575"/>
          <a:ext cx="2828925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514350</xdr:colOff>
      <xdr:row>26</xdr:row>
      <xdr:rowOff>76200</xdr:rowOff>
    </xdr:from>
    <xdr:to>
      <xdr:col>5</xdr:col>
      <xdr:colOff>304800</xdr:colOff>
      <xdr:row>31</xdr:row>
      <xdr:rowOff>19050</xdr:rowOff>
    </xdr:to>
    <xdr:pic>
      <xdr:nvPicPr>
        <xdr:cNvPr id="34" name="Obrázok 3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5248275"/>
          <a:ext cx="16192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12</xdr:row>
      <xdr:rowOff>180975</xdr:rowOff>
    </xdr:from>
    <xdr:to>
      <xdr:col>9</xdr:col>
      <xdr:colOff>381000</xdr:colOff>
      <xdr:row>14</xdr:row>
      <xdr:rowOff>19783</xdr:rowOff>
    </xdr:to>
    <xdr:sp macro="" textlink="">
      <xdr:nvSpPr>
        <xdr:cNvPr id="35" name="BlokTextu 34"/>
        <xdr:cNvSpPr txBox="1"/>
      </xdr:nvSpPr>
      <xdr:spPr>
        <a:xfrm>
          <a:off x="5743575" y="2571750"/>
          <a:ext cx="381000" cy="2579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10</a:t>
          </a:r>
        </a:p>
      </xdr:txBody>
    </xdr:sp>
    <xdr:clientData/>
  </xdr:twoCellAnchor>
  <xdr:twoCellAnchor>
    <xdr:from>
      <xdr:col>9</xdr:col>
      <xdr:colOff>438150</xdr:colOff>
      <xdr:row>12</xdr:row>
      <xdr:rowOff>190500</xdr:rowOff>
    </xdr:from>
    <xdr:to>
      <xdr:col>10</xdr:col>
      <xdr:colOff>209550</xdr:colOff>
      <xdr:row>14</xdr:row>
      <xdr:rowOff>29308</xdr:rowOff>
    </xdr:to>
    <xdr:sp macro="" textlink="">
      <xdr:nvSpPr>
        <xdr:cNvPr id="37" name="BlokTextu 36"/>
        <xdr:cNvSpPr txBox="1"/>
      </xdr:nvSpPr>
      <xdr:spPr>
        <a:xfrm>
          <a:off x="6181725" y="2581275"/>
          <a:ext cx="381000" cy="2579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15</a:t>
          </a:r>
        </a:p>
      </xdr:txBody>
    </xdr:sp>
    <xdr:clientData/>
  </xdr:twoCellAnchor>
  <xdr:twoCellAnchor>
    <xdr:from>
      <xdr:col>14</xdr:col>
      <xdr:colOff>190500</xdr:colOff>
      <xdr:row>11</xdr:row>
      <xdr:rowOff>171450</xdr:rowOff>
    </xdr:from>
    <xdr:to>
      <xdr:col>14</xdr:col>
      <xdr:colOff>571500</xdr:colOff>
      <xdr:row>12</xdr:row>
      <xdr:rowOff>200758</xdr:rowOff>
    </xdr:to>
    <xdr:sp macro="" textlink="">
      <xdr:nvSpPr>
        <xdr:cNvPr id="38" name="BlokTextu 37"/>
        <xdr:cNvSpPr txBox="1"/>
      </xdr:nvSpPr>
      <xdr:spPr>
        <a:xfrm>
          <a:off x="8982075" y="2333625"/>
          <a:ext cx="381000" cy="2579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1</a:t>
          </a:r>
        </a:p>
      </xdr:txBody>
    </xdr:sp>
    <xdr:clientData/>
  </xdr:twoCellAnchor>
  <xdr:twoCellAnchor>
    <xdr:from>
      <xdr:col>13</xdr:col>
      <xdr:colOff>533400</xdr:colOff>
      <xdr:row>10</xdr:row>
      <xdr:rowOff>19050</xdr:rowOff>
    </xdr:from>
    <xdr:to>
      <xdr:col>14</xdr:col>
      <xdr:colOff>304800</xdr:colOff>
      <xdr:row>11</xdr:row>
      <xdr:rowOff>86458</xdr:rowOff>
    </xdr:to>
    <xdr:sp macro="" textlink="">
      <xdr:nvSpPr>
        <xdr:cNvPr id="39" name="BlokTextu 38"/>
        <xdr:cNvSpPr txBox="1"/>
      </xdr:nvSpPr>
      <xdr:spPr>
        <a:xfrm>
          <a:off x="8715375" y="1990725"/>
          <a:ext cx="381000" cy="2579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1</a:t>
          </a:r>
        </a:p>
      </xdr:txBody>
    </xdr:sp>
    <xdr:clientData/>
  </xdr:twoCellAnchor>
  <xdr:twoCellAnchor>
    <xdr:from>
      <xdr:col>13</xdr:col>
      <xdr:colOff>533400</xdr:colOff>
      <xdr:row>12</xdr:row>
      <xdr:rowOff>171450</xdr:rowOff>
    </xdr:from>
    <xdr:to>
      <xdr:col>14</xdr:col>
      <xdr:colOff>304800</xdr:colOff>
      <xdr:row>14</xdr:row>
      <xdr:rowOff>10258</xdr:rowOff>
    </xdr:to>
    <xdr:sp macro="" textlink="">
      <xdr:nvSpPr>
        <xdr:cNvPr id="40" name="BlokTextu 39"/>
        <xdr:cNvSpPr txBox="1"/>
      </xdr:nvSpPr>
      <xdr:spPr>
        <a:xfrm>
          <a:off x="8715375" y="2562225"/>
          <a:ext cx="381000" cy="2579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-1</a:t>
          </a:r>
        </a:p>
      </xdr:txBody>
    </xdr:sp>
    <xdr:clientData/>
  </xdr:twoCellAnchor>
  <xdr:twoCellAnchor>
    <xdr:from>
      <xdr:col>13</xdr:col>
      <xdr:colOff>114300</xdr:colOff>
      <xdr:row>11</xdr:row>
      <xdr:rowOff>171450</xdr:rowOff>
    </xdr:from>
    <xdr:to>
      <xdr:col>13</xdr:col>
      <xdr:colOff>495300</xdr:colOff>
      <xdr:row>12</xdr:row>
      <xdr:rowOff>200758</xdr:rowOff>
    </xdr:to>
    <xdr:sp macro="" textlink="">
      <xdr:nvSpPr>
        <xdr:cNvPr id="41" name="BlokTextu 40"/>
        <xdr:cNvSpPr txBox="1"/>
      </xdr:nvSpPr>
      <xdr:spPr>
        <a:xfrm>
          <a:off x="8296275" y="2333625"/>
          <a:ext cx="381000" cy="2579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-1</a:t>
          </a:r>
        </a:p>
      </xdr:txBody>
    </xdr:sp>
    <xdr:clientData/>
  </xdr:twoCellAnchor>
  <xdr:twoCellAnchor>
    <xdr:from>
      <xdr:col>8</xdr:col>
      <xdr:colOff>238125</xdr:colOff>
      <xdr:row>11</xdr:row>
      <xdr:rowOff>114300</xdr:rowOff>
    </xdr:from>
    <xdr:to>
      <xdr:col>9</xdr:col>
      <xdr:colOff>9525</xdr:colOff>
      <xdr:row>12</xdr:row>
      <xdr:rowOff>143608</xdr:rowOff>
    </xdr:to>
    <xdr:sp macro="" textlink="">
      <xdr:nvSpPr>
        <xdr:cNvPr id="42" name="BlokTextu 41"/>
        <xdr:cNvSpPr txBox="1"/>
      </xdr:nvSpPr>
      <xdr:spPr>
        <a:xfrm>
          <a:off x="5372100" y="2276475"/>
          <a:ext cx="381000" cy="2579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5</a:t>
          </a:r>
        </a:p>
      </xdr:txBody>
    </xdr:sp>
    <xdr:clientData/>
  </xdr:twoCellAnchor>
  <xdr:twoCellAnchor>
    <xdr:from>
      <xdr:col>8</xdr:col>
      <xdr:colOff>228600</xdr:colOff>
      <xdr:row>10</xdr:row>
      <xdr:rowOff>85725</xdr:rowOff>
    </xdr:from>
    <xdr:to>
      <xdr:col>9</xdr:col>
      <xdr:colOff>0</xdr:colOff>
      <xdr:row>11</xdr:row>
      <xdr:rowOff>153133</xdr:rowOff>
    </xdr:to>
    <xdr:sp macro="" textlink="">
      <xdr:nvSpPr>
        <xdr:cNvPr id="43" name="BlokTextu 42"/>
        <xdr:cNvSpPr txBox="1"/>
      </xdr:nvSpPr>
      <xdr:spPr>
        <a:xfrm>
          <a:off x="5362575" y="2057400"/>
          <a:ext cx="381000" cy="2579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7</a:t>
          </a:r>
        </a:p>
      </xdr:txBody>
    </xdr:sp>
    <xdr:clientData/>
  </xdr:twoCellAnchor>
  <xdr:twoCellAnchor>
    <xdr:from>
      <xdr:col>6</xdr:col>
      <xdr:colOff>95250</xdr:colOff>
      <xdr:row>56</xdr:row>
      <xdr:rowOff>28575</xdr:rowOff>
    </xdr:from>
    <xdr:to>
      <xdr:col>8</xdr:col>
      <xdr:colOff>428625</xdr:colOff>
      <xdr:row>58</xdr:row>
      <xdr:rowOff>104775</xdr:rowOff>
    </xdr:to>
    <xdr:pic>
      <xdr:nvPicPr>
        <xdr:cNvPr id="44" name="Obrázok 4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11144250"/>
          <a:ext cx="1552575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95250</xdr:colOff>
      <xdr:row>56</xdr:row>
      <xdr:rowOff>9525</xdr:rowOff>
    </xdr:from>
    <xdr:to>
      <xdr:col>10</xdr:col>
      <xdr:colOff>571500</xdr:colOff>
      <xdr:row>57</xdr:row>
      <xdr:rowOff>161925</xdr:rowOff>
    </xdr:to>
    <xdr:pic>
      <xdr:nvPicPr>
        <xdr:cNvPr id="45" name="Obrázok 4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5" y="11125200"/>
          <a:ext cx="108585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66675</xdr:colOff>
      <xdr:row>60</xdr:row>
      <xdr:rowOff>47625</xdr:rowOff>
    </xdr:from>
    <xdr:to>
      <xdr:col>11</xdr:col>
      <xdr:colOff>95250</xdr:colOff>
      <xdr:row>62</xdr:row>
      <xdr:rowOff>31374</xdr:rowOff>
    </xdr:to>
    <xdr:pic>
      <xdr:nvPicPr>
        <xdr:cNvPr id="46" name="Obrázok 45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11925300"/>
          <a:ext cx="3076575" cy="364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371475</xdr:colOff>
          <xdr:row>51</xdr:row>
          <xdr:rowOff>0</xdr:rowOff>
        </xdr:from>
        <xdr:to>
          <xdr:col>22</xdr:col>
          <xdr:colOff>28575</xdr:colOff>
          <xdr:row>62</xdr:row>
          <xdr:rowOff>152400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15</xdr:col>
      <xdr:colOff>552450</xdr:colOff>
      <xdr:row>0</xdr:row>
      <xdr:rowOff>0</xdr:rowOff>
    </xdr:from>
    <xdr:to>
      <xdr:col>23</xdr:col>
      <xdr:colOff>248288</xdr:colOff>
      <xdr:row>16</xdr:row>
      <xdr:rowOff>200504</xdr:rowOff>
    </xdr:to>
    <xdr:pic>
      <xdr:nvPicPr>
        <xdr:cNvPr id="2" name="Obrázok 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53625" y="0"/>
          <a:ext cx="4572638" cy="3429479"/>
        </a:xfrm>
        <a:prstGeom prst="rect">
          <a:avLst/>
        </a:prstGeom>
      </xdr:spPr>
    </xdr:pic>
    <xdr:clientData/>
  </xdr:twoCellAnchor>
  <xdr:twoCellAnchor>
    <xdr:from>
      <xdr:col>13</xdr:col>
      <xdr:colOff>285750</xdr:colOff>
      <xdr:row>19</xdr:row>
      <xdr:rowOff>57150</xdr:rowOff>
    </xdr:from>
    <xdr:to>
      <xdr:col>14</xdr:col>
      <xdr:colOff>342900</xdr:colOff>
      <xdr:row>22</xdr:row>
      <xdr:rowOff>152400</xdr:rowOff>
    </xdr:to>
    <xdr:sp macro="" textlink="">
      <xdr:nvSpPr>
        <xdr:cNvPr id="3" name="Obdĺžnik 2"/>
        <xdr:cNvSpPr/>
      </xdr:nvSpPr>
      <xdr:spPr>
        <a:xfrm>
          <a:off x="8467725" y="3895725"/>
          <a:ext cx="666750" cy="666750"/>
        </a:xfrm>
        <a:prstGeom prst="rect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15</xdr:col>
      <xdr:colOff>95250</xdr:colOff>
      <xdr:row>23</xdr:row>
      <xdr:rowOff>66675</xdr:rowOff>
    </xdr:from>
    <xdr:to>
      <xdr:col>15</xdr:col>
      <xdr:colOff>485775</xdr:colOff>
      <xdr:row>23</xdr:row>
      <xdr:rowOff>66675</xdr:rowOff>
    </xdr:to>
    <xdr:cxnSp macro="">
      <xdr:nvCxnSpPr>
        <xdr:cNvPr id="6" name="Rovná spojovacia šípka 5"/>
        <xdr:cNvCxnSpPr/>
      </xdr:nvCxnSpPr>
      <xdr:spPr>
        <a:xfrm>
          <a:off x="9505950" y="4667250"/>
          <a:ext cx="39052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133350</xdr:colOff>
      <xdr:row>21</xdr:row>
      <xdr:rowOff>123825</xdr:rowOff>
    </xdr:from>
    <xdr:to>
      <xdr:col>15</xdr:col>
      <xdr:colOff>133350</xdr:colOff>
      <xdr:row>23</xdr:row>
      <xdr:rowOff>85725</xdr:rowOff>
    </xdr:to>
    <xdr:cxnSp macro="">
      <xdr:nvCxnSpPr>
        <xdr:cNvPr id="8" name="Rovná spojovacia šípka 7"/>
        <xdr:cNvCxnSpPr/>
      </xdr:nvCxnSpPr>
      <xdr:spPr>
        <a:xfrm flipV="1">
          <a:off x="9544050" y="4343400"/>
          <a:ext cx="0" cy="3429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142875</xdr:colOff>
      <xdr:row>23</xdr:row>
      <xdr:rowOff>19051</xdr:rowOff>
    </xdr:from>
    <xdr:to>
      <xdr:col>16</xdr:col>
      <xdr:colOff>76200</xdr:colOff>
      <xdr:row>24</xdr:row>
      <xdr:rowOff>19051</xdr:rowOff>
    </xdr:to>
    <xdr:sp macro="" textlink="">
      <xdr:nvSpPr>
        <xdr:cNvPr id="22" name="BlokTextu 21"/>
        <xdr:cNvSpPr txBox="1"/>
      </xdr:nvSpPr>
      <xdr:spPr>
        <a:xfrm>
          <a:off x="9553575" y="4619626"/>
          <a:ext cx="542925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800"/>
            <a:t>x1</a:t>
          </a:r>
        </a:p>
      </xdr:txBody>
    </xdr:sp>
    <xdr:clientData/>
  </xdr:twoCellAnchor>
  <xdr:twoCellAnchor>
    <xdr:from>
      <xdr:col>15</xdr:col>
      <xdr:colOff>76200</xdr:colOff>
      <xdr:row>22</xdr:row>
      <xdr:rowOff>0</xdr:rowOff>
    </xdr:from>
    <xdr:to>
      <xdr:col>16</xdr:col>
      <xdr:colOff>9525</xdr:colOff>
      <xdr:row>23</xdr:row>
      <xdr:rowOff>0</xdr:rowOff>
    </xdr:to>
    <xdr:sp macro="" textlink="">
      <xdr:nvSpPr>
        <xdr:cNvPr id="47" name="BlokTextu 46"/>
        <xdr:cNvSpPr txBox="1"/>
      </xdr:nvSpPr>
      <xdr:spPr>
        <a:xfrm>
          <a:off x="9486900" y="4410075"/>
          <a:ext cx="542925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800"/>
            <a:t>x2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20410</xdr:colOff>
      <xdr:row>3</xdr:row>
      <xdr:rowOff>102053</xdr:rowOff>
    </xdr:from>
    <xdr:to>
      <xdr:col>14</xdr:col>
      <xdr:colOff>86404</xdr:colOff>
      <xdr:row>10</xdr:row>
      <xdr:rowOff>56298</xdr:rowOff>
    </xdr:to>
    <xdr:sp macro="" textlink="">
      <xdr:nvSpPr>
        <xdr:cNvPr id="2" name="Obdĺžnik 1"/>
        <xdr:cNvSpPr/>
      </xdr:nvSpPr>
      <xdr:spPr>
        <a:xfrm>
          <a:off x="8335735" y="711653"/>
          <a:ext cx="1285194" cy="13925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sk-SK" sz="1100"/>
        </a:p>
      </xdr:txBody>
    </xdr:sp>
    <xdr:clientData/>
  </xdr:twoCellAnchor>
  <xdr:twoCellAnchor editAs="oneCell">
    <xdr:from>
      <xdr:col>12</xdr:col>
      <xdr:colOff>447675</xdr:colOff>
      <xdr:row>2</xdr:row>
      <xdr:rowOff>28575</xdr:rowOff>
    </xdr:from>
    <xdr:to>
      <xdr:col>14</xdr:col>
      <xdr:colOff>513669</xdr:colOff>
      <xdr:row>8</xdr:row>
      <xdr:rowOff>170599</xdr:rowOff>
    </xdr:to>
    <xdr:sp macro="" textlink="">
      <xdr:nvSpPr>
        <xdr:cNvPr id="3" name="Obdĺžnik 2"/>
        <xdr:cNvSpPr/>
      </xdr:nvSpPr>
      <xdr:spPr>
        <a:xfrm>
          <a:off x="8763000" y="409575"/>
          <a:ext cx="1285194" cy="1427899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sk-SK" sz="1100"/>
        </a:p>
      </xdr:txBody>
    </xdr:sp>
    <xdr:clientData/>
  </xdr:twoCellAnchor>
  <xdr:twoCellAnchor editAs="oneCell">
    <xdr:from>
      <xdr:col>12</xdr:col>
      <xdr:colOff>2721</xdr:colOff>
      <xdr:row>2</xdr:row>
      <xdr:rowOff>21771</xdr:rowOff>
    </xdr:from>
    <xdr:to>
      <xdr:col>12</xdr:col>
      <xdr:colOff>461112</xdr:colOff>
      <xdr:row>3</xdr:row>
      <xdr:rowOff>120253</xdr:rowOff>
    </xdr:to>
    <xdr:cxnSp macro="">
      <xdr:nvCxnSpPr>
        <xdr:cNvPr id="4" name="Rovná spojnica 3"/>
        <xdr:cNvCxnSpPr/>
      </xdr:nvCxnSpPr>
      <xdr:spPr>
        <a:xfrm flipV="1">
          <a:off x="8318046" y="402771"/>
          <a:ext cx="458391" cy="327082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57150</xdr:colOff>
      <xdr:row>2</xdr:row>
      <xdr:rowOff>19050</xdr:rowOff>
    </xdr:from>
    <xdr:to>
      <xdr:col>14</xdr:col>
      <xdr:colOff>515541</xdr:colOff>
      <xdr:row>3</xdr:row>
      <xdr:rowOff>117532</xdr:rowOff>
    </xdr:to>
    <xdr:cxnSp macro="">
      <xdr:nvCxnSpPr>
        <xdr:cNvPr id="5" name="Rovná spojnica 4"/>
        <xdr:cNvCxnSpPr/>
      </xdr:nvCxnSpPr>
      <xdr:spPr>
        <a:xfrm flipV="1">
          <a:off x="9591675" y="400050"/>
          <a:ext cx="458391" cy="327082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80283</xdr:colOff>
      <xdr:row>8</xdr:row>
      <xdr:rowOff>156482</xdr:rowOff>
    </xdr:from>
    <xdr:to>
      <xdr:col>14</xdr:col>
      <xdr:colOff>538674</xdr:colOff>
      <xdr:row>10</xdr:row>
      <xdr:rowOff>67185</xdr:rowOff>
    </xdr:to>
    <xdr:cxnSp macro="">
      <xdr:nvCxnSpPr>
        <xdr:cNvPr id="6" name="Rovná spojnica 5"/>
        <xdr:cNvCxnSpPr/>
      </xdr:nvCxnSpPr>
      <xdr:spPr>
        <a:xfrm flipV="1">
          <a:off x="9614808" y="1823357"/>
          <a:ext cx="458391" cy="291703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9525</xdr:colOff>
      <xdr:row>8</xdr:row>
      <xdr:rowOff>141514</xdr:rowOff>
    </xdr:from>
    <xdr:to>
      <xdr:col>12</xdr:col>
      <xdr:colOff>467916</xdr:colOff>
      <xdr:row>10</xdr:row>
      <xdr:rowOff>52217</xdr:rowOff>
    </xdr:to>
    <xdr:cxnSp macro="">
      <xdr:nvCxnSpPr>
        <xdr:cNvPr id="7" name="Rovná spojnica 6"/>
        <xdr:cNvCxnSpPr/>
      </xdr:nvCxnSpPr>
      <xdr:spPr>
        <a:xfrm flipV="1">
          <a:off x="8324850" y="1808389"/>
          <a:ext cx="458391" cy="291703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220436</xdr:colOff>
      <xdr:row>10</xdr:row>
      <xdr:rowOff>180974</xdr:rowOff>
    </xdr:from>
    <xdr:to>
      <xdr:col>13</xdr:col>
      <xdr:colOff>420121</xdr:colOff>
      <xdr:row>11</xdr:row>
      <xdr:rowOff>2381</xdr:rowOff>
    </xdr:to>
    <xdr:cxnSp macro="">
      <xdr:nvCxnSpPr>
        <xdr:cNvPr id="8" name="Rovná spojovacia šípka 7"/>
        <xdr:cNvCxnSpPr/>
      </xdr:nvCxnSpPr>
      <xdr:spPr>
        <a:xfrm flipV="1">
          <a:off x="8535761" y="2228849"/>
          <a:ext cx="809285" cy="11907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198664</xdr:colOff>
      <xdr:row>11</xdr:row>
      <xdr:rowOff>78921</xdr:rowOff>
    </xdr:from>
    <xdr:to>
      <xdr:col>14</xdr:col>
      <xdr:colOff>348002</xdr:colOff>
      <xdr:row>13</xdr:row>
      <xdr:rowOff>5102</xdr:rowOff>
    </xdr:to>
    <xdr:sp macro="" textlink="">
      <xdr:nvSpPr>
        <xdr:cNvPr id="9" name="BlokTextu 8"/>
        <xdr:cNvSpPr txBox="1"/>
      </xdr:nvSpPr>
      <xdr:spPr>
        <a:xfrm>
          <a:off x="8513989" y="2317296"/>
          <a:ext cx="1368538" cy="3071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100"/>
            <a:t>prací</a:t>
          </a:r>
          <a:r>
            <a:rPr lang="sk-SK" sz="1100" baseline="0"/>
            <a:t> prášok</a:t>
          </a:r>
          <a:endParaRPr lang="sk-SK" sz="1100"/>
        </a:p>
      </xdr:txBody>
    </xdr:sp>
    <xdr:clientData/>
  </xdr:twoCellAnchor>
  <xdr:twoCellAnchor editAs="oneCell">
    <xdr:from>
      <xdr:col>14</xdr:col>
      <xdr:colOff>308882</xdr:colOff>
      <xdr:row>9</xdr:row>
      <xdr:rowOff>53068</xdr:rowOff>
    </xdr:from>
    <xdr:to>
      <xdr:col>15</xdr:col>
      <xdr:colOff>68036</xdr:colOff>
      <xdr:row>10</xdr:row>
      <xdr:rowOff>112598</xdr:rowOff>
    </xdr:to>
    <xdr:cxnSp macro="">
      <xdr:nvCxnSpPr>
        <xdr:cNvPr id="10" name="Rovná spojovacia šípka 9"/>
        <xdr:cNvCxnSpPr/>
      </xdr:nvCxnSpPr>
      <xdr:spPr>
        <a:xfrm flipV="1">
          <a:off x="9843407" y="1910443"/>
          <a:ext cx="368754" cy="25003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559253</xdr:colOff>
      <xdr:row>9</xdr:row>
      <xdr:rowOff>122465</xdr:rowOff>
    </xdr:from>
    <xdr:to>
      <xdr:col>16</xdr:col>
      <xdr:colOff>362971</xdr:colOff>
      <xdr:row>11</xdr:row>
      <xdr:rowOff>39121</xdr:rowOff>
    </xdr:to>
    <xdr:sp macro="" textlink="">
      <xdr:nvSpPr>
        <xdr:cNvPr id="11" name="BlokTextu 10"/>
        <xdr:cNvSpPr txBox="1"/>
      </xdr:nvSpPr>
      <xdr:spPr>
        <a:xfrm>
          <a:off x="10093778" y="1979840"/>
          <a:ext cx="1365818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100"/>
            <a:t>teplota</a:t>
          </a:r>
        </a:p>
      </xdr:txBody>
    </xdr:sp>
    <xdr:clientData/>
  </xdr:twoCellAnchor>
  <xdr:twoCellAnchor editAs="oneCell">
    <xdr:from>
      <xdr:col>15</xdr:col>
      <xdr:colOff>54428</xdr:colOff>
      <xdr:row>3</xdr:row>
      <xdr:rowOff>36739</xdr:rowOff>
    </xdr:from>
    <xdr:to>
      <xdr:col>15</xdr:col>
      <xdr:colOff>66334</xdr:colOff>
      <xdr:row>7</xdr:row>
      <xdr:rowOff>10032</xdr:rowOff>
    </xdr:to>
    <xdr:cxnSp macro="">
      <xdr:nvCxnSpPr>
        <xdr:cNvPr id="12" name="Rovná spojovacia šípka 11"/>
        <xdr:cNvCxnSpPr/>
      </xdr:nvCxnSpPr>
      <xdr:spPr>
        <a:xfrm>
          <a:off x="10198553" y="646339"/>
          <a:ext cx="11906" cy="840068"/>
        </a:xfrm>
        <a:prstGeom prst="straightConnector1">
          <a:avLst/>
        </a:prstGeom>
        <a:ln>
          <a:headEnd type="triangl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15</xdr:col>
      <xdr:colOff>106136</xdr:colOff>
      <xdr:row>4</xdr:row>
      <xdr:rowOff>171450</xdr:rowOff>
    </xdr:from>
    <xdr:to>
      <xdr:col>15</xdr:col>
      <xdr:colOff>581026</xdr:colOff>
      <xdr:row>6</xdr:row>
      <xdr:rowOff>89126</xdr:rowOff>
    </xdr:to>
    <xdr:sp macro="" textlink="">
      <xdr:nvSpPr>
        <xdr:cNvPr id="13" name="BlokTextu 12"/>
        <xdr:cNvSpPr txBox="1"/>
      </xdr:nvSpPr>
      <xdr:spPr>
        <a:xfrm>
          <a:off x="10250261" y="1009650"/>
          <a:ext cx="474890" cy="3653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100"/>
            <a:t>čas</a:t>
          </a:r>
        </a:p>
      </xdr:txBody>
    </xdr:sp>
    <xdr:clientData/>
  </xdr:twoCellAnchor>
  <xdr:twoCellAnchor editAs="oneCell">
    <xdr:from>
      <xdr:col>14</xdr:col>
      <xdr:colOff>556532</xdr:colOff>
      <xdr:row>6</xdr:row>
      <xdr:rowOff>65315</xdr:rowOff>
    </xdr:from>
    <xdr:to>
      <xdr:col>16</xdr:col>
      <xdr:colOff>360250</xdr:colOff>
      <xdr:row>7</xdr:row>
      <xdr:rowOff>171280</xdr:rowOff>
    </xdr:to>
    <xdr:sp macro="" textlink="">
      <xdr:nvSpPr>
        <xdr:cNvPr id="14" name="BlokTextu 13"/>
        <xdr:cNvSpPr txBox="1"/>
      </xdr:nvSpPr>
      <xdr:spPr>
        <a:xfrm>
          <a:off x="10091057" y="1351190"/>
          <a:ext cx="1365818" cy="296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800"/>
            <a:t>-</a:t>
          </a:r>
        </a:p>
      </xdr:txBody>
    </xdr:sp>
    <xdr:clientData/>
  </xdr:twoCellAnchor>
  <xdr:twoCellAnchor editAs="oneCell">
    <xdr:from>
      <xdr:col>14</xdr:col>
      <xdr:colOff>104774</xdr:colOff>
      <xdr:row>9</xdr:row>
      <xdr:rowOff>145596</xdr:rowOff>
    </xdr:from>
    <xdr:to>
      <xdr:col>15</xdr:col>
      <xdr:colOff>863713</xdr:colOff>
      <xdr:row>11</xdr:row>
      <xdr:rowOff>62252</xdr:rowOff>
    </xdr:to>
    <xdr:sp macro="" textlink="">
      <xdr:nvSpPr>
        <xdr:cNvPr id="15" name="BlokTextu 14"/>
        <xdr:cNvSpPr txBox="1"/>
      </xdr:nvSpPr>
      <xdr:spPr>
        <a:xfrm>
          <a:off x="9639299" y="2002971"/>
          <a:ext cx="1368539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800"/>
            <a:t>-</a:t>
          </a:r>
        </a:p>
      </xdr:txBody>
    </xdr:sp>
    <xdr:clientData/>
  </xdr:twoCellAnchor>
  <xdr:twoCellAnchor editAs="oneCell">
    <xdr:from>
      <xdr:col>13</xdr:col>
      <xdr:colOff>409575</xdr:colOff>
      <xdr:row>10</xdr:row>
      <xdr:rowOff>32657</xdr:rowOff>
    </xdr:from>
    <xdr:to>
      <xdr:col>15</xdr:col>
      <xdr:colOff>561295</xdr:colOff>
      <xdr:row>11</xdr:row>
      <xdr:rowOff>142535</xdr:rowOff>
    </xdr:to>
    <xdr:sp macro="" textlink="">
      <xdr:nvSpPr>
        <xdr:cNvPr id="17" name="BlokTextu 16"/>
        <xdr:cNvSpPr txBox="1"/>
      </xdr:nvSpPr>
      <xdr:spPr>
        <a:xfrm>
          <a:off x="9334500" y="2080532"/>
          <a:ext cx="1370920" cy="3003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300" b="1"/>
            <a:t>+</a:t>
          </a:r>
        </a:p>
      </xdr:txBody>
    </xdr:sp>
    <xdr:clientData/>
  </xdr:twoCellAnchor>
  <xdr:twoCellAnchor editAs="oneCell">
    <xdr:from>
      <xdr:col>15</xdr:col>
      <xdr:colOff>12246</xdr:colOff>
      <xdr:row>8</xdr:row>
      <xdr:rowOff>27215</xdr:rowOff>
    </xdr:from>
    <xdr:to>
      <xdr:col>16</xdr:col>
      <xdr:colOff>428285</xdr:colOff>
      <xdr:row>9</xdr:row>
      <xdr:rowOff>134371</xdr:rowOff>
    </xdr:to>
    <xdr:sp macro="" textlink="">
      <xdr:nvSpPr>
        <xdr:cNvPr id="18" name="BlokTextu 17"/>
        <xdr:cNvSpPr txBox="1"/>
      </xdr:nvSpPr>
      <xdr:spPr>
        <a:xfrm>
          <a:off x="10156371" y="1694090"/>
          <a:ext cx="1368539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300" b="1"/>
            <a:t>+</a:t>
          </a:r>
        </a:p>
      </xdr:txBody>
    </xdr:sp>
    <xdr:clientData/>
  </xdr:twoCellAnchor>
  <xdr:twoCellAnchor editAs="oneCell">
    <xdr:from>
      <xdr:col>14</xdr:col>
      <xdr:colOff>545646</xdr:colOff>
      <xdr:row>2</xdr:row>
      <xdr:rowOff>34018</xdr:rowOff>
    </xdr:from>
    <xdr:to>
      <xdr:col>16</xdr:col>
      <xdr:colOff>349364</xdr:colOff>
      <xdr:row>3</xdr:row>
      <xdr:rowOff>138453</xdr:rowOff>
    </xdr:to>
    <xdr:sp macro="" textlink="">
      <xdr:nvSpPr>
        <xdr:cNvPr id="19" name="BlokTextu 18"/>
        <xdr:cNvSpPr txBox="1"/>
      </xdr:nvSpPr>
      <xdr:spPr>
        <a:xfrm>
          <a:off x="10080171" y="415018"/>
          <a:ext cx="1365818" cy="3330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300" b="1"/>
            <a:t>+</a:t>
          </a:r>
        </a:p>
      </xdr:txBody>
    </xdr:sp>
    <xdr:clientData/>
  </xdr:twoCellAnchor>
  <xdr:twoCellAnchor editAs="oneCell">
    <xdr:from>
      <xdr:col>13</xdr:col>
      <xdr:colOff>276225</xdr:colOff>
      <xdr:row>2</xdr:row>
      <xdr:rowOff>104775</xdr:rowOff>
    </xdr:from>
    <xdr:to>
      <xdr:col>14</xdr:col>
      <xdr:colOff>200025</xdr:colOff>
      <xdr:row>4</xdr:row>
      <xdr:rowOff>21091</xdr:rowOff>
    </xdr:to>
    <xdr:sp macro="" textlink="">
      <xdr:nvSpPr>
        <xdr:cNvPr id="20" name="BlokTextu 19"/>
        <xdr:cNvSpPr txBox="1"/>
      </xdr:nvSpPr>
      <xdr:spPr>
        <a:xfrm>
          <a:off x="9201150" y="485775"/>
          <a:ext cx="533400" cy="3735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000"/>
            <a:t>92;</a:t>
          </a:r>
          <a:r>
            <a:rPr lang="sk-SK" sz="1000" baseline="0"/>
            <a:t> </a:t>
          </a:r>
          <a:r>
            <a:rPr lang="sk-SK" sz="1000"/>
            <a:t>91</a:t>
          </a:r>
        </a:p>
      </xdr:txBody>
    </xdr:sp>
    <xdr:clientData/>
  </xdr:twoCellAnchor>
  <xdr:twoCellAnchor editAs="oneCell">
    <xdr:from>
      <xdr:col>14</xdr:col>
      <xdr:colOff>72118</xdr:colOff>
      <xdr:row>6</xdr:row>
      <xdr:rowOff>163285</xdr:rowOff>
    </xdr:from>
    <xdr:to>
      <xdr:col>15</xdr:col>
      <xdr:colOff>19050</xdr:colOff>
      <xdr:row>8</xdr:row>
      <xdr:rowOff>79941</xdr:rowOff>
    </xdr:to>
    <xdr:sp macro="" textlink="">
      <xdr:nvSpPr>
        <xdr:cNvPr id="24" name="BlokTextu 23"/>
        <xdr:cNvSpPr txBox="1"/>
      </xdr:nvSpPr>
      <xdr:spPr>
        <a:xfrm>
          <a:off x="9606643" y="1449160"/>
          <a:ext cx="556532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000"/>
            <a:t>75;</a:t>
          </a:r>
          <a:r>
            <a:rPr lang="sk-SK" sz="1000" baseline="0"/>
            <a:t> </a:t>
          </a:r>
          <a:r>
            <a:rPr lang="sk-SK" sz="1000"/>
            <a:t>76</a:t>
          </a:r>
        </a:p>
        <a:p>
          <a:endParaRPr lang="sk-SK" sz="1000"/>
        </a:p>
      </xdr:txBody>
    </xdr:sp>
    <xdr:clientData/>
  </xdr:twoCellAnchor>
  <xdr:twoCellAnchor editAs="oneCell">
    <xdr:from>
      <xdr:col>14</xdr:col>
      <xdr:colOff>95250</xdr:colOff>
      <xdr:row>1</xdr:row>
      <xdr:rowOff>0</xdr:rowOff>
    </xdr:from>
    <xdr:to>
      <xdr:col>15</xdr:col>
      <xdr:colOff>150869</xdr:colOff>
      <xdr:row>2</xdr:row>
      <xdr:rowOff>107156</xdr:rowOff>
    </xdr:to>
    <xdr:sp macro="" textlink="">
      <xdr:nvSpPr>
        <xdr:cNvPr id="25" name="BlokTextu 24"/>
        <xdr:cNvSpPr txBox="1"/>
      </xdr:nvSpPr>
      <xdr:spPr>
        <a:xfrm>
          <a:off x="9629775" y="190500"/>
          <a:ext cx="665219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000"/>
            <a:t>87;</a:t>
          </a:r>
          <a:r>
            <a:rPr lang="sk-SK" sz="1000" baseline="0"/>
            <a:t> </a:t>
          </a:r>
          <a:r>
            <a:rPr lang="sk-SK" sz="1000"/>
            <a:t>88</a:t>
          </a:r>
        </a:p>
      </xdr:txBody>
    </xdr:sp>
    <xdr:clientData/>
  </xdr:twoCellAnchor>
  <xdr:twoCellAnchor editAs="oneCell">
    <xdr:from>
      <xdr:col>12</xdr:col>
      <xdr:colOff>76200</xdr:colOff>
      <xdr:row>1</xdr:row>
      <xdr:rowOff>0</xdr:rowOff>
    </xdr:from>
    <xdr:to>
      <xdr:col>13</xdr:col>
      <xdr:colOff>253262</xdr:colOff>
      <xdr:row>2</xdr:row>
      <xdr:rowOff>107156</xdr:rowOff>
    </xdr:to>
    <xdr:sp macro="" textlink="">
      <xdr:nvSpPr>
        <xdr:cNvPr id="26" name="BlokTextu 25"/>
        <xdr:cNvSpPr txBox="1"/>
      </xdr:nvSpPr>
      <xdr:spPr>
        <a:xfrm>
          <a:off x="8391525" y="190500"/>
          <a:ext cx="786662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000"/>
            <a:t>59;</a:t>
          </a:r>
          <a:r>
            <a:rPr lang="sk-SK" sz="1000" baseline="0"/>
            <a:t> </a:t>
          </a:r>
          <a:r>
            <a:rPr lang="sk-SK" sz="1000"/>
            <a:t>58</a:t>
          </a:r>
        </a:p>
      </xdr:txBody>
    </xdr:sp>
    <xdr:clientData/>
  </xdr:twoCellAnchor>
  <xdr:twoCellAnchor editAs="oneCell">
    <xdr:from>
      <xdr:col>12</xdr:col>
      <xdr:colOff>10886</xdr:colOff>
      <xdr:row>7</xdr:row>
      <xdr:rowOff>44904</xdr:rowOff>
    </xdr:from>
    <xdr:to>
      <xdr:col>12</xdr:col>
      <xdr:colOff>489516</xdr:colOff>
      <xdr:row>8</xdr:row>
      <xdr:rowOff>152060</xdr:rowOff>
    </xdr:to>
    <xdr:sp macro="" textlink="">
      <xdr:nvSpPr>
        <xdr:cNvPr id="27" name="BlokTextu 26"/>
        <xdr:cNvSpPr txBox="1"/>
      </xdr:nvSpPr>
      <xdr:spPr>
        <a:xfrm>
          <a:off x="8326211" y="1521279"/>
          <a:ext cx="478630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000"/>
            <a:t>42;39</a:t>
          </a:r>
        </a:p>
      </xdr:txBody>
    </xdr:sp>
    <xdr:clientData/>
  </xdr:twoCellAnchor>
  <xdr:twoCellAnchor editAs="oneCell">
    <xdr:from>
      <xdr:col>12</xdr:col>
      <xdr:colOff>20410</xdr:colOff>
      <xdr:row>3</xdr:row>
      <xdr:rowOff>102053</xdr:rowOff>
    </xdr:from>
    <xdr:to>
      <xdr:col>14</xdr:col>
      <xdr:colOff>86404</xdr:colOff>
      <xdr:row>10</xdr:row>
      <xdr:rowOff>56298</xdr:rowOff>
    </xdr:to>
    <xdr:sp macro="" textlink="">
      <xdr:nvSpPr>
        <xdr:cNvPr id="28" name="Obdĺžnik 27"/>
        <xdr:cNvSpPr/>
      </xdr:nvSpPr>
      <xdr:spPr>
        <a:xfrm>
          <a:off x="10250260" y="711653"/>
          <a:ext cx="1285194" cy="13925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sk-SK" sz="1100"/>
        </a:p>
      </xdr:txBody>
    </xdr:sp>
    <xdr:clientData/>
  </xdr:twoCellAnchor>
  <xdr:twoCellAnchor editAs="oneCell">
    <xdr:from>
      <xdr:col>12</xdr:col>
      <xdr:colOff>447675</xdr:colOff>
      <xdr:row>2</xdr:row>
      <xdr:rowOff>28575</xdr:rowOff>
    </xdr:from>
    <xdr:to>
      <xdr:col>14</xdr:col>
      <xdr:colOff>513669</xdr:colOff>
      <xdr:row>8</xdr:row>
      <xdr:rowOff>170599</xdr:rowOff>
    </xdr:to>
    <xdr:sp macro="" textlink="">
      <xdr:nvSpPr>
        <xdr:cNvPr id="29" name="Obdĺžnik 28"/>
        <xdr:cNvSpPr/>
      </xdr:nvSpPr>
      <xdr:spPr>
        <a:xfrm>
          <a:off x="10677525" y="409575"/>
          <a:ext cx="1285194" cy="1427899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sk-SK" sz="1100"/>
        </a:p>
      </xdr:txBody>
    </xdr:sp>
    <xdr:clientData/>
  </xdr:twoCellAnchor>
  <xdr:twoCellAnchor editAs="oneCell">
    <xdr:from>
      <xdr:col>14</xdr:col>
      <xdr:colOff>57150</xdr:colOff>
      <xdr:row>2</xdr:row>
      <xdr:rowOff>19050</xdr:rowOff>
    </xdr:from>
    <xdr:to>
      <xdr:col>14</xdr:col>
      <xdr:colOff>515541</xdr:colOff>
      <xdr:row>3</xdr:row>
      <xdr:rowOff>117532</xdr:rowOff>
    </xdr:to>
    <xdr:cxnSp macro="">
      <xdr:nvCxnSpPr>
        <xdr:cNvPr id="31" name="Rovná spojnica 30"/>
        <xdr:cNvCxnSpPr/>
      </xdr:nvCxnSpPr>
      <xdr:spPr>
        <a:xfrm flipV="1">
          <a:off x="11506200" y="400050"/>
          <a:ext cx="458391" cy="327082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80283</xdr:colOff>
      <xdr:row>8</xdr:row>
      <xdr:rowOff>156482</xdr:rowOff>
    </xdr:from>
    <xdr:to>
      <xdr:col>14</xdr:col>
      <xdr:colOff>538674</xdr:colOff>
      <xdr:row>10</xdr:row>
      <xdr:rowOff>67185</xdr:rowOff>
    </xdr:to>
    <xdr:cxnSp macro="">
      <xdr:nvCxnSpPr>
        <xdr:cNvPr id="32" name="Rovná spojnica 31"/>
        <xdr:cNvCxnSpPr/>
      </xdr:nvCxnSpPr>
      <xdr:spPr>
        <a:xfrm flipV="1">
          <a:off x="11529333" y="1823357"/>
          <a:ext cx="458391" cy="291703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9525</xdr:colOff>
      <xdr:row>8</xdr:row>
      <xdr:rowOff>141514</xdr:rowOff>
    </xdr:from>
    <xdr:to>
      <xdr:col>12</xdr:col>
      <xdr:colOff>467916</xdr:colOff>
      <xdr:row>10</xdr:row>
      <xdr:rowOff>52217</xdr:rowOff>
    </xdr:to>
    <xdr:cxnSp macro="">
      <xdr:nvCxnSpPr>
        <xdr:cNvPr id="33" name="Rovná spojnica 32"/>
        <xdr:cNvCxnSpPr/>
      </xdr:nvCxnSpPr>
      <xdr:spPr>
        <a:xfrm flipV="1">
          <a:off x="10239375" y="1808389"/>
          <a:ext cx="458391" cy="291703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220436</xdr:colOff>
      <xdr:row>10</xdr:row>
      <xdr:rowOff>180974</xdr:rowOff>
    </xdr:from>
    <xdr:to>
      <xdr:col>13</xdr:col>
      <xdr:colOff>420121</xdr:colOff>
      <xdr:row>11</xdr:row>
      <xdr:rowOff>2381</xdr:rowOff>
    </xdr:to>
    <xdr:cxnSp macro="">
      <xdr:nvCxnSpPr>
        <xdr:cNvPr id="34" name="Rovná spojovacia šípka 33"/>
        <xdr:cNvCxnSpPr/>
      </xdr:nvCxnSpPr>
      <xdr:spPr>
        <a:xfrm flipV="1">
          <a:off x="10450286" y="2228849"/>
          <a:ext cx="809285" cy="11907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198664</xdr:colOff>
      <xdr:row>11</xdr:row>
      <xdr:rowOff>78921</xdr:rowOff>
    </xdr:from>
    <xdr:to>
      <xdr:col>14</xdr:col>
      <xdr:colOff>348002</xdr:colOff>
      <xdr:row>13</xdr:row>
      <xdr:rowOff>5102</xdr:rowOff>
    </xdr:to>
    <xdr:sp macro="" textlink="">
      <xdr:nvSpPr>
        <xdr:cNvPr id="35" name="BlokTextu 34"/>
        <xdr:cNvSpPr txBox="1"/>
      </xdr:nvSpPr>
      <xdr:spPr>
        <a:xfrm>
          <a:off x="10428514" y="2317296"/>
          <a:ext cx="1368538" cy="3071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100"/>
            <a:t>prací</a:t>
          </a:r>
          <a:r>
            <a:rPr lang="sk-SK" sz="1100" baseline="0"/>
            <a:t> prášok</a:t>
          </a:r>
          <a:endParaRPr lang="sk-SK" sz="1100"/>
        </a:p>
      </xdr:txBody>
    </xdr:sp>
    <xdr:clientData/>
  </xdr:twoCellAnchor>
  <xdr:twoCellAnchor editAs="oneCell">
    <xdr:from>
      <xdr:col>14</xdr:col>
      <xdr:colOff>308882</xdr:colOff>
      <xdr:row>9</xdr:row>
      <xdr:rowOff>53068</xdr:rowOff>
    </xdr:from>
    <xdr:to>
      <xdr:col>15</xdr:col>
      <xdr:colOff>68036</xdr:colOff>
      <xdr:row>10</xdr:row>
      <xdr:rowOff>112598</xdr:rowOff>
    </xdr:to>
    <xdr:cxnSp macro="">
      <xdr:nvCxnSpPr>
        <xdr:cNvPr id="36" name="Rovná spojovacia šípka 35"/>
        <xdr:cNvCxnSpPr/>
      </xdr:nvCxnSpPr>
      <xdr:spPr>
        <a:xfrm flipV="1">
          <a:off x="11757932" y="1910443"/>
          <a:ext cx="368754" cy="25003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559253</xdr:colOff>
      <xdr:row>9</xdr:row>
      <xdr:rowOff>122465</xdr:rowOff>
    </xdr:from>
    <xdr:to>
      <xdr:col>16</xdr:col>
      <xdr:colOff>362971</xdr:colOff>
      <xdr:row>11</xdr:row>
      <xdr:rowOff>39121</xdr:rowOff>
    </xdr:to>
    <xdr:sp macro="" textlink="">
      <xdr:nvSpPr>
        <xdr:cNvPr id="37" name="BlokTextu 36"/>
        <xdr:cNvSpPr txBox="1"/>
      </xdr:nvSpPr>
      <xdr:spPr>
        <a:xfrm>
          <a:off x="12008303" y="1979840"/>
          <a:ext cx="1365818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100"/>
            <a:t>teplota</a:t>
          </a:r>
        </a:p>
      </xdr:txBody>
    </xdr:sp>
    <xdr:clientData/>
  </xdr:twoCellAnchor>
  <xdr:twoCellAnchor editAs="oneCell">
    <xdr:from>
      <xdr:col>15</xdr:col>
      <xdr:colOff>54428</xdr:colOff>
      <xdr:row>3</xdr:row>
      <xdr:rowOff>36739</xdr:rowOff>
    </xdr:from>
    <xdr:to>
      <xdr:col>15</xdr:col>
      <xdr:colOff>66334</xdr:colOff>
      <xdr:row>7</xdr:row>
      <xdr:rowOff>10032</xdr:rowOff>
    </xdr:to>
    <xdr:cxnSp macro="">
      <xdr:nvCxnSpPr>
        <xdr:cNvPr id="38" name="Rovná spojovacia šípka 37"/>
        <xdr:cNvCxnSpPr/>
      </xdr:nvCxnSpPr>
      <xdr:spPr>
        <a:xfrm>
          <a:off x="12113078" y="646339"/>
          <a:ext cx="11906" cy="840068"/>
        </a:xfrm>
        <a:prstGeom prst="straightConnector1">
          <a:avLst/>
        </a:prstGeom>
        <a:ln>
          <a:headEnd type="triangl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15</xdr:col>
      <xdr:colOff>106136</xdr:colOff>
      <xdr:row>4</xdr:row>
      <xdr:rowOff>171450</xdr:rowOff>
    </xdr:from>
    <xdr:to>
      <xdr:col>15</xdr:col>
      <xdr:colOff>581026</xdr:colOff>
      <xdr:row>6</xdr:row>
      <xdr:rowOff>89126</xdr:rowOff>
    </xdr:to>
    <xdr:sp macro="" textlink="">
      <xdr:nvSpPr>
        <xdr:cNvPr id="39" name="BlokTextu 38"/>
        <xdr:cNvSpPr txBox="1"/>
      </xdr:nvSpPr>
      <xdr:spPr>
        <a:xfrm>
          <a:off x="12164786" y="1009650"/>
          <a:ext cx="474890" cy="3653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100"/>
            <a:t>čas</a:t>
          </a:r>
        </a:p>
      </xdr:txBody>
    </xdr:sp>
    <xdr:clientData/>
  </xdr:twoCellAnchor>
  <xdr:twoCellAnchor editAs="oneCell">
    <xdr:from>
      <xdr:col>14</xdr:col>
      <xdr:colOff>556532</xdr:colOff>
      <xdr:row>6</xdr:row>
      <xdr:rowOff>65315</xdr:rowOff>
    </xdr:from>
    <xdr:to>
      <xdr:col>16</xdr:col>
      <xdr:colOff>360250</xdr:colOff>
      <xdr:row>7</xdr:row>
      <xdr:rowOff>171280</xdr:rowOff>
    </xdr:to>
    <xdr:sp macro="" textlink="">
      <xdr:nvSpPr>
        <xdr:cNvPr id="40" name="BlokTextu 39"/>
        <xdr:cNvSpPr txBox="1"/>
      </xdr:nvSpPr>
      <xdr:spPr>
        <a:xfrm>
          <a:off x="12005582" y="1351190"/>
          <a:ext cx="1365818" cy="296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800"/>
            <a:t>-</a:t>
          </a:r>
        </a:p>
      </xdr:txBody>
    </xdr:sp>
    <xdr:clientData/>
  </xdr:twoCellAnchor>
  <xdr:twoCellAnchor editAs="oneCell">
    <xdr:from>
      <xdr:col>14</xdr:col>
      <xdr:colOff>104774</xdr:colOff>
      <xdr:row>9</xdr:row>
      <xdr:rowOff>145596</xdr:rowOff>
    </xdr:from>
    <xdr:to>
      <xdr:col>15</xdr:col>
      <xdr:colOff>863713</xdr:colOff>
      <xdr:row>11</xdr:row>
      <xdr:rowOff>62252</xdr:rowOff>
    </xdr:to>
    <xdr:sp macro="" textlink="">
      <xdr:nvSpPr>
        <xdr:cNvPr id="41" name="BlokTextu 40"/>
        <xdr:cNvSpPr txBox="1"/>
      </xdr:nvSpPr>
      <xdr:spPr>
        <a:xfrm>
          <a:off x="11553824" y="2002971"/>
          <a:ext cx="1368539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800"/>
            <a:t>-</a:t>
          </a:r>
        </a:p>
      </xdr:txBody>
    </xdr:sp>
    <xdr:clientData/>
  </xdr:twoCellAnchor>
  <xdr:twoCellAnchor editAs="oneCell">
    <xdr:from>
      <xdr:col>13</xdr:col>
      <xdr:colOff>409575</xdr:colOff>
      <xdr:row>10</xdr:row>
      <xdr:rowOff>32657</xdr:rowOff>
    </xdr:from>
    <xdr:to>
      <xdr:col>15</xdr:col>
      <xdr:colOff>561295</xdr:colOff>
      <xdr:row>11</xdr:row>
      <xdr:rowOff>142535</xdr:rowOff>
    </xdr:to>
    <xdr:sp macro="" textlink="">
      <xdr:nvSpPr>
        <xdr:cNvPr id="42" name="BlokTextu 41"/>
        <xdr:cNvSpPr txBox="1"/>
      </xdr:nvSpPr>
      <xdr:spPr>
        <a:xfrm>
          <a:off x="11249025" y="2080532"/>
          <a:ext cx="1370920" cy="3003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300" b="1"/>
            <a:t>+</a:t>
          </a:r>
        </a:p>
      </xdr:txBody>
    </xdr:sp>
    <xdr:clientData/>
  </xdr:twoCellAnchor>
  <xdr:twoCellAnchor editAs="oneCell">
    <xdr:from>
      <xdr:col>15</xdr:col>
      <xdr:colOff>12246</xdr:colOff>
      <xdr:row>8</xdr:row>
      <xdr:rowOff>27215</xdr:rowOff>
    </xdr:from>
    <xdr:to>
      <xdr:col>16</xdr:col>
      <xdr:colOff>428285</xdr:colOff>
      <xdr:row>9</xdr:row>
      <xdr:rowOff>134371</xdr:rowOff>
    </xdr:to>
    <xdr:sp macro="" textlink="">
      <xdr:nvSpPr>
        <xdr:cNvPr id="43" name="BlokTextu 42"/>
        <xdr:cNvSpPr txBox="1"/>
      </xdr:nvSpPr>
      <xdr:spPr>
        <a:xfrm>
          <a:off x="12070896" y="1694090"/>
          <a:ext cx="1368539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300" b="1"/>
            <a:t>+</a:t>
          </a:r>
        </a:p>
      </xdr:txBody>
    </xdr:sp>
    <xdr:clientData/>
  </xdr:twoCellAnchor>
  <xdr:twoCellAnchor editAs="oneCell">
    <xdr:from>
      <xdr:col>14</xdr:col>
      <xdr:colOff>545646</xdr:colOff>
      <xdr:row>2</xdr:row>
      <xdr:rowOff>34018</xdr:rowOff>
    </xdr:from>
    <xdr:to>
      <xdr:col>16</xdr:col>
      <xdr:colOff>349364</xdr:colOff>
      <xdr:row>3</xdr:row>
      <xdr:rowOff>138453</xdr:rowOff>
    </xdr:to>
    <xdr:sp macro="" textlink="">
      <xdr:nvSpPr>
        <xdr:cNvPr id="44" name="BlokTextu 43"/>
        <xdr:cNvSpPr txBox="1"/>
      </xdr:nvSpPr>
      <xdr:spPr>
        <a:xfrm>
          <a:off x="11994696" y="415018"/>
          <a:ext cx="1365818" cy="3330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300" b="1"/>
            <a:t>+</a:t>
          </a:r>
        </a:p>
      </xdr:txBody>
    </xdr:sp>
    <xdr:clientData/>
  </xdr:twoCellAnchor>
  <xdr:twoCellAnchor editAs="oneCell">
    <xdr:from>
      <xdr:col>13</xdr:col>
      <xdr:colOff>276225</xdr:colOff>
      <xdr:row>2</xdr:row>
      <xdr:rowOff>104775</xdr:rowOff>
    </xdr:from>
    <xdr:to>
      <xdr:col>14</xdr:col>
      <xdr:colOff>200025</xdr:colOff>
      <xdr:row>4</xdr:row>
      <xdr:rowOff>21091</xdr:rowOff>
    </xdr:to>
    <xdr:sp macro="" textlink="">
      <xdr:nvSpPr>
        <xdr:cNvPr id="45" name="BlokTextu 44"/>
        <xdr:cNvSpPr txBox="1"/>
      </xdr:nvSpPr>
      <xdr:spPr>
        <a:xfrm>
          <a:off x="11115675" y="485775"/>
          <a:ext cx="533400" cy="3735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000"/>
            <a:t>92;</a:t>
          </a:r>
          <a:r>
            <a:rPr lang="sk-SK" sz="1000" baseline="0"/>
            <a:t> </a:t>
          </a:r>
          <a:r>
            <a:rPr lang="sk-SK" sz="1000"/>
            <a:t>91</a:t>
          </a:r>
        </a:p>
      </xdr:txBody>
    </xdr:sp>
    <xdr:clientData/>
  </xdr:twoCellAnchor>
  <xdr:twoCellAnchor editAs="oneCell">
    <xdr:from>
      <xdr:col>14</xdr:col>
      <xdr:colOff>72118</xdr:colOff>
      <xdr:row>6</xdr:row>
      <xdr:rowOff>163285</xdr:rowOff>
    </xdr:from>
    <xdr:to>
      <xdr:col>15</xdr:col>
      <xdr:colOff>19050</xdr:colOff>
      <xdr:row>8</xdr:row>
      <xdr:rowOff>79941</xdr:rowOff>
    </xdr:to>
    <xdr:sp macro="" textlink="">
      <xdr:nvSpPr>
        <xdr:cNvPr id="47" name="BlokTextu 46"/>
        <xdr:cNvSpPr txBox="1"/>
      </xdr:nvSpPr>
      <xdr:spPr>
        <a:xfrm>
          <a:off x="11521168" y="1449160"/>
          <a:ext cx="556532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000"/>
            <a:t>75;</a:t>
          </a:r>
          <a:r>
            <a:rPr lang="sk-SK" sz="1000" baseline="0"/>
            <a:t> </a:t>
          </a:r>
          <a:r>
            <a:rPr lang="sk-SK" sz="1000"/>
            <a:t>76</a:t>
          </a:r>
        </a:p>
        <a:p>
          <a:endParaRPr lang="sk-SK" sz="1000"/>
        </a:p>
      </xdr:txBody>
    </xdr:sp>
    <xdr:clientData/>
  </xdr:twoCellAnchor>
  <xdr:twoCellAnchor editAs="oneCell">
    <xdr:from>
      <xdr:col>14</xdr:col>
      <xdr:colOff>95250</xdr:colOff>
      <xdr:row>1</xdr:row>
      <xdr:rowOff>0</xdr:rowOff>
    </xdr:from>
    <xdr:to>
      <xdr:col>15</xdr:col>
      <xdr:colOff>150869</xdr:colOff>
      <xdr:row>2</xdr:row>
      <xdr:rowOff>107156</xdr:rowOff>
    </xdr:to>
    <xdr:sp macro="" textlink="">
      <xdr:nvSpPr>
        <xdr:cNvPr id="48" name="BlokTextu 47"/>
        <xdr:cNvSpPr txBox="1"/>
      </xdr:nvSpPr>
      <xdr:spPr>
        <a:xfrm>
          <a:off x="11544300" y="190500"/>
          <a:ext cx="665219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000"/>
            <a:t>87;</a:t>
          </a:r>
          <a:r>
            <a:rPr lang="sk-SK" sz="1000" baseline="0"/>
            <a:t> </a:t>
          </a:r>
          <a:r>
            <a:rPr lang="sk-SK" sz="1000"/>
            <a:t>88</a:t>
          </a:r>
        </a:p>
      </xdr:txBody>
    </xdr:sp>
    <xdr:clientData/>
  </xdr:twoCellAnchor>
  <xdr:twoCellAnchor editAs="oneCell">
    <xdr:from>
      <xdr:col>12</xdr:col>
      <xdr:colOff>76200</xdr:colOff>
      <xdr:row>1</xdr:row>
      <xdr:rowOff>0</xdr:rowOff>
    </xdr:from>
    <xdr:to>
      <xdr:col>13</xdr:col>
      <xdr:colOff>253262</xdr:colOff>
      <xdr:row>2</xdr:row>
      <xdr:rowOff>107156</xdr:rowOff>
    </xdr:to>
    <xdr:sp macro="" textlink="">
      <xdr:nvSpPr>
        <xdr:cNvPr id="49" name="BlokTextu 48"/>
        <xdr:cNvSpPr txBox="1"/>
      </xdr:nvSpPr>
      <xdr:spPr>
        <a:xfrm>
          <a:off x="10306050" y="190500"/>
          <a:ext cx="786662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000"/>
            <a:t>59;</a:t>
          </a:r>
          <a:r>
            <a:rPr lang="sk-SK" sz="1000" baseline="0"/>
            <a:t> </a:t>
          </a:r>
          <a:r>
            <a:rPr lang="sk-SK" sz="1000"/>
            <a:t>58</a:t>
          </a:r>
        </a:p>
      </xdr:txBody>
    </xdr:sp>
    <xdr:clientData/>
  </xdr:twoCellAnchor>
  <xdr:twoCellAnchor editAs="oneCell">
    <xdr:from>
      <xdr:col>12</xdr:col>
      <xdr:colOff>20410</xdr:colOff>
      <xdr:row>3</xdr:row>
      <xdr:rowOff>102053</xdr:rowOff>
    </xdr:from>
    <xdr:to>
      <xdr:col>14</xdr:col>
      <xdr:colOff>86404</xdr:colOff>
      <xdr:row>10</xdr:row>
      <xdr:rowOff>56298</xdr:rowOff>
    </xdr:to>
    <xdr:sp macro="" textlink="">
      <xdr:nvSpPr>
        <xdr:cNvPr id="51" name="Obdĺžnik 50"/>
        <xdr:cNvSpPr/>
      </xdr:nvSpPr>
      <xdr:spPr>
        <a:xfrm>
          <a:off x="10250260" y="711653"/>
          <a:ext cx="1285194" cy="13925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sk-SK" sz="1100"/>
        </a:p>
      </xdr:txBody>
    </xdr:sp>
    <xdr:clientData/>
  </xdr:twoCellAnchor>
  <xdr:twoCellAnchor editAs="oneCell">
    <xdr:from>
      <xdr:col>12</xdr:col>
      <xdr:colOff>447675</xdr:colOff>
      <xdr:row>2</xdr:row>
      <xdr:rowOff>28575</xdr:rowOff>
    </xdr:from>
    <xdr:to>
      <xdr:col>14</xdr:col>
      <xdr:colOff>513669</xdr:colOff>
      <xdr:row>8</xdr:row>
      <xdr:rowOff>170599</xdr:rowOff>
    </xdr:to>
    <xdr:sp macro="" textlink="">
      <xdr:nvSpPr>
        <xdr:cNvPr id="52" name="Obdĺžnik 51"/>
        <xdr:cNvSpPr/>
      </xdr:nvSpPr>
      <xdr:spPr>
        <a:xfrm>
          <a:off x="10677525" y="409575"/>
          <a:ext cx="1285194" cy="1427899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sk-SK" sz="1100"/>
        </a:p>
      </xdr:txBody>
    </xdr:sp>
    <xdr:clientData/>
  </xdr:twoCellAnchor>
  <xdr:twoCellAnchor editAs="oneCell">
    <xdr:from>
      <xdr:col>14</xdr:col>
      <xdr:colOff>80283</xdr:colOff>
      <xdr:row>8</xdr:row>
      <xdr:rowOff>156482</xdr:rowOff>
    </xdr:from>
    <xdr:to>
      <xdr:col>14</xdr:col>
      <xdr:colOff>538674</xdr:colOff>
      <xdr:row>10</xdr:row>
      <xdr:rowOff>67185</xdr:rowOff>
    </xdr:to>
    <xdr:cxnSp macro="">
      <xdr:nvCxnSpPr>
        <xdr:cNvPr id="55" name="Rovná spojnica 54"/>
        <xdr:cNvCxnSpPr/>
      </xdr:nvCxnSpPr>
      <xdr:spPr>
        <a:xfrm flipV="1">
          <a:off x="11529333" y="1823357"/>
          <a:ext cx="458391" cy="291703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9525</xdr:colOff>
      <xdr:row>8</xdr:row>
      <xdr:rowOff>141514</xdr:rowOff>
    </xdr:from>
    <xdr:to>
      <xdr:col>12</xdr:col>
      <xdr:colOff>467916</xdr:colOff>
      <xdr:row>10</xdr:row>
      <xdr:rowOff>52217</xdr:rowOff>
    </xdr:to>
    <xdr:cxnSp macro="">
      <xdr:nvCxnSpPr>
        <xdr:cNvPr id="56" name="Rovná spojnica 55"/>
        <xdr:cNvCxnSpPr/>
      </xdr:nvCxnSpPr>
      <xdr:spPr>
        <a:xfrm flipV="1">
          <a:off x="10239375" y="1808389"/>
          <a:ext cx="458391" cy="291703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220436</xdr:colOff>
      <xdr:row>10</xdr:row>
      <xdr:rowOff>180974</xdr:rowOff>
    </xdr:from>
    <xdr:to>
      <xdr:col>13</xdr:col>
      <xdr:colOff>420118</xdr:colOff>
      <xdr:row>11</xdr:row>
      <xdr:rowOff>2381</xdr:rowOff>
    </xdr:to>
    <xdr:cxnSp macro="">
      <xdr:nvCxnSpPr>
        <xdr:cNvPr id="57" name="Rovná spojovacia šípka 56"/>
        <xdr:cNvCxnSpPr/>
      </xdr:nvCxnSpPr>
      <xdr:spPr>
        <a:xfrm flipV="1">
          <a:off x="10450286" y="2228849"/>
          <a:ext cx="809282" cy="11907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198664</xdr:colOff>
      <xdr:row>11</xdr:row>
      <xdr:rowOff>78921</xdr:rowOff>
    </xdr:from>
    <xdr:to>
      <xdr:col>14</xdr:col>
      <xdr:colOff>348002</xdr:colOff>
      <xdr:row>13</xdr:row>
      <xdr:rowOff>5102</xdr:rowOff>
    </xdr:to>
    <xdr:sp macro="" textlink="">
      <xdr:nvSpPr>
        <xdr:cNvPr id="58" name="BlokTextu 57"/>
        <xdr:cNvSpPr txBox="1"/>
      </xdr:nvSpPr>
      <xdr:spPr>
        <a:xfrm>
          <a:off x="10428514" y="2317296"/>
          <a:ext cx="1368538" cy="3071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100"/>
            <a:t>prací</a:t>
          </a:r>
          <a:r>
            <a:rPr lang="sk-SK" sz="1100" baseline="0"/>
            <a:t> prášok</a:t>
          </a:r>
          <a:endParaRPr lang="sk-SK" sz="1100"/>
        </a:p>
      </xdr:txBody>
    </xdr:sp>
    <xdr:clientData/>
  </xdr:twoCellAnchor>
  <xdr:twoCellAnchor editAs="oneCell">
    <xdr:from>
      <xdr:col>14</xdr:col>
      <xdr:colOff>308882</xdr:colOff>
      <xdr:row>9</xdr:row>
      <xdr:rowOff>53068</xdr:rowOff>
    </xdr:from>
    <xdr:to>
      <xdr:col>15</xdr:col>
      <xdr:colOff>68033</xdr:colOff>
      <xdr:row>10</xdr:row>
      <xdr:rowOff>112598</xdr:rowOff>
    </xdr:to>
    <xdr:cxnSp macro="">
      <xdr:nvCxnSpPr>
        <xdr:cNvPr id="59" name="Rovná spojovacia šípka 58"/>
        <xdr:cNvCxnSpPr/>
      </xdr:nvCxnSpPr>
      <xdr:spPr>
        <a:xfrm flipV="1">
          <a:off x="11757932" y="1910443"/>
          <a:ext cx="368751" cy="25003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559253</xdr:colOff>
      <xdr:row>9</xdr:row>
      <xdr:rowOff>122465</xdr:rowOff>
    </xdr:from>
    <xdr:to>
      <xdr:col>16</xdr:col>
      <xdr:colOff>362967</xdr:colOff>
      <xdr:row>11</xdr:row>
      <xdr:rowOff>39121</xdr:rowOff>
    </xdr:to>
    <xdr:sp macro="" textlink="">
      <xdr:nvSpPr>
        <xdr:cNvPr id="60" name="BlokTextu 59"/>
        <xdr:cNvSpPr txBox="1"/>
      </xdr:nvSpPr>
      <xdr:spPr>
        <a:xfrm>
          <a:off x="12008303" y="1979840"/>
          <a:ext cx="1365814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100"/>
            <a:t>teplota</a:t>
          </a:r>
        </a:p>
      </xdr:txBody>
    </xdr:sp>
    <xdr:clientData/>
  </xdr:twoCellAnchor>
  <xdr:twoCellAnchor editAs="oneCell">
    <xdr:from>
      <xdr:col>15</xdr:col>
      <xdr:colOff>54428</xdr:colOff>
      <xdr:row>3</xdr:row>
      <xdr:rowOff>36739</xdr:rowOff>
    </xdr:from>
    <xdr:to>
      <xdr:col>15</xdr:col>
      <xdr:colOff>66334</xdr:colOff>
      <xdr:row>7</xdr:row>
      <xdr:rowOff>10032</xdr:rowOff>
    </xdr:to>
    <xdr:cxnSp macro="">
      <xdr:nvCxnSpPr>
        <xdr:cNvPr id="61" name="Rovná spojovacia šípka 60"/>
        <xdr:cNvCxnSpPr/>
      </xdr:nvCxnSpPr>
      <xdr:spPr>
        <a:xfrm>
          <a:off x="12113078" y="646339"/>
          <a:ext cx="11906" cy="840068"/>
        </a:xfrm>
        <a:prstGeom prst="straightConnector1">
          <a:avLst/>
        </a:prstGeom>
        <a:ln>
          <a:headEnd type="triangl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15</xdr:col>
      <xdr:colOff>106136</xdr:colOff>
      <xdr:row>4</xdr:row>
      <xdr:rowOff>171450</xdr:rowOff>
    </xdr:from>
    <xdr:to>
      <xdr:col>15</xdr:col>
      <xdr:colOff>581026</xdr:colOff>
      <xdr:row>6</xdr:row>
      <xdr:rowOff>89126</xdr:rowOff>
    </xdr:to>
    <xdr:sp macro="" textlink="">
      <xdr:nvSpPr>
        <xdr:cNvPr id="62" name="BlokTextu 61"/>
        <xdr:cNvSpPr txBox="1"/>
      </xdr:nvSpPr>
      <xdr:spPr>
        <a:xfrm>
          <a:off x="12164786" y="1009650"/>
          <a:ext cx="474890" cy="3653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100"/>
            <a:t>čas</a:t>
          </a:r>
        </a:p>
      </xdr:txBody>
    </xdr:sp>
    <xdr:clientData/>
  </xdr:twoCellAnchor>
  <xdr:twoCellAnchor editAs="oneCell">
    <xdr:from>
      <xdr:col>14</xdr:col>
      <xdr:colOff>556532</xdr:colOff>
      <xdr:row>6</xdr:row>
      <xdr:rowOff>65315</xdr:rowOff>
    </xdr:from>
    <xdr:to>
      <xdr:col>16</xdr:col>
      <xdr:colOff>360246</xdr:colOff>
      <xdr:row>7</xdr:row>
      <xdr:rowOff>171280</xdr:rowOff>
    </xdr:to>
    <xdr:sp macro="" textlink="">
      <xdr:nvSpPr>
        <xdr:cNvPr id="63" name="BlokTextu 62"/>
        <xdr:cNvSpPr txBox="1"/>
      </xdr:nvSpPr>
      <xdr:spPr>
        <a:xfrm>
          <a:off x="12005582" y="1351190"/>
          <a:ext cx="1365814" cy="296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800"/>
            <a:t>-</a:t>
          </a:r>
        </a:p>
      </xdr:txBody>
    </xdr:sp>
    <xdr:clientData/>
  </xdr:twoCellAnchor>
  <xdr:twoCellAnchor editAs="oneCell">
    <xdr:from>
      <xdr:col>14</xdr:col>
      <xdr:colOff>104774</xdr:colOff>
      <xdr:row>9</xdr:row>
      <xdr:rowOff>145596</xdr:rowOff>
    </xdr:from>
    <xdr:to>
      <xdr:col>15</xdr:col>
      <xdr:colOff>863712</xdr:colOff>
      <xdr:row>11</xdr:row>
      <xdr:rowOff>62252</xdr:rowOff>
    </xdr:to>
    <xdr:sp macro="" textlink="">
      <xdr:nvSpPr>
        <xdr:cNvPr id="64" name="BlokTextu 63"/>
        <xdr:cNvSpPr txBox="1"/>
      </xdr:nvSpPr>
      <xdr:spPr>
        <a:xfrm>
          <a:off x="11553824" y="2002971"/>
          <a:ext cx="1368538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800"/>
            <a:t>-</a:t>
          </a:r>
        </a:p>
      </xdr:txBody>
    </xdr:sp>
    <xdr:clientData/>
  </xdr:twoCellAnchor>
  <xdr:twoCellAnchor editAs="oneCell">
    <xdr:from>
      <xdr:col>11</xdr:col>
      <xdr:colOff>2076687</xdr:colOff>
      <xdr:row>10</xdr:row>
      <xdr:rowOff>8283</xdr:rowOff>
    </xdr:from>
    <xdr:to>
      <xdr:col>12</xdr:col>
      <xdr:colOff>252206</xdr:colOff>
      <xdr:row>11</xdr:row>
      <xdr:rowOff>118161</xdr:rowOff>
    </xdr:to>
    <xdr:sp macro="" textlink="">
      <xdr:nvSpPr>
        <xdr:cNvPr id="65" name="BlokTextu 64"/>
        <xdr:cNvSpPr txBox="1"/>
      </xdr:nvSpPr>
      <xdr:spPr>
        <a:xfrm>
          <a:off x="10096737" y="2056158"/>
          <a:ext cx="251969" cy="3003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800"/>
            <a:t>-</a:t>
          </a:r>
        </a:p>
      </xdr:txBody>
    </xdr:sp>
    <xdr:clientData/>
  </xdr:twoCellAnchor>
  <xdr:twoCellAnchor editAs="oneCell">
    <xdr:from>
      <xdr:col>13</xdr:col>
      <xdr:colOff>409575</xdr:colOff>
      <xdr:row>10</xdr:row>
      <xdr:rowOff>32657</xdr:rowOff>
    </xdr:from>
    <xdr:to>
      <xdr:col>15</xdr:col>
      <xdr:colOff>561294</xdr:colOff>
      <xdr:row>11</xdr:row>
      <xdr:rowOff>142535</xdr:rowOff>
    </xdr:to>
    <xdr:sp macro="" textlink="">
      <xdr:nvSpPr>
        <xdr:cNvPr id="66" name="BlokTextu 65"/>
        <xdr:cNvSpPr txBox="1"/>
      </xdr:nvSpPr>
      <xdr:spPr>
        <a:xfrm>
          <a:off x="11249025" y="2080532"/>
          <a:ext cx="1370919" cy="3003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300" b="1"/>
            <a:t>+</a:t>
          </a:r>
        </a:p>
      </xdr:txBody>
    </xdr:sp>
    <xdr:clientData/>
  </xdr:twoCellAnchor>
  <xdr:twoCellAnchor editAs="oneCell">
    <xdr:from>
      <xdr:col>15</xdr:col>
      <xdr:colOff>12246</xdr:colOff>
      <xdr:row>8</xdr:row>
      <xdr:rowOff>27215</xdr:rowOff>
    </xdr:from>
    <xdr:to>
      <xdr:col>16</xdr:col>
      <xdr:colOff>428284</xdr:colOff>
      <xdr:row>9</xdr:row>
      <xdr:rowOff>134371</xdr:rowOff>
    </xdr:to>
    <xdr:sp macro="" textlink="">
      <xdr:nvSpPr>
        <xdr:cNvPr id="67" name="BlokTextu 66"/>
        <xdr:cNvSpPr txBox="1"/>
      </xdr:nvSpPr>
      <xdr:spPr>
        <a:xfrm>
          <a:off x="12070896" y="1694090"/>
          <a:ext cx="1368538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300" b="1"/>
            <a:t>+</a:t>
          </a:r>
        </a:p>
      </xdr:txBody>
    </xdr:sp>
    <xdr:clientData/>
  </xdr:twoCellAnchor>
  <xdr:twoCellAnchor editAs="oneCell">
    <xdr:from>
      <xdr:col>14</xdr:col>
      <xdr:colOff>545646</xdr:colOff>
      <xdr:row>2</xdr:row>
      <xdr:rowOff>34018</xdr:rowOff>
    </xdr:from>
    <xdr:to>
      <xdr:col>16</xdr:col>
      <xdr:colOff>349360</xdr:colOff>
      <xdr:row>3</xdr:row>
      <xdr:rowOff>138453</xdr:rowOff>
    </xdr:to>
    <xdr:sp macro="" textlink="">
      <xdr:nvSpPr>
        <xdr:cNvPr id="68" name="BlokTextu 67"/>
        <xdr:cNvSpPr txBox="1"/>
      </xdr:nvSpPr>
      <xdr:spPr>
        <a:xfrm>
          <a:off x="11994696" y="415018"/>
          <a:ext cx="1365814" cy="3330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300" b="1"/>
            <a:t>+</a:t>
          </a:r>
        </a:p>
      </xdr:txBody>
    </xdr:sp>
    <xdr:clientData/>
  </xdr:twoCellAnchor>
  <xdr:twoCellAnchor editAs="oneCell">
    <xdr:from>
      <xdr:col>13</xdr:col>
      <xdr:colOff>223477</xdr:colOff>
      <xdr:row>8</xdr:row>
      <xdr:rowOff>161204</xdr:rowOff>
    </xdr:from>
    <xdr:to>
      <xdr:col>14</xdr:col>
      <xdr:colOff>145677</xdr:colOff>
      <xdr:row>10</xdr:row>
      <xdr:rowOff>77860</xdr:rowOff>
    </xdr:to>
    <xdr:sp macro="" textlink="">
      <xdr:nvSpPr>
        <xdr:cNvPr id="70" name="BlokTextu 69"/>
        <xdr:cNvSpPr txBox="1"/>
      </xdr:nvSpPr>
      <xdr:spPr>
        <a:xfrm>
          <a:off x="11048359" y="1819675"/>
          <a:ext cx="527318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000"/>
            <a:t>60;62</a:t>
          </a:r>
        </a:p>
      </xdr:txBody>
    </xdr:sp>
    <xdr:clientData/>
  </xdr:twoCellAnchor>
  <xdr:twoCellAnchor editAs="oneCell">
    <xdr:from>
      <xdr:col>11</xdr:col>
      <xdr:colOff>1724025</xdr:colOff>
      <xdr:row>2</xdr:row>
      <xdr:rowOff>142875</xdr:rowOff>
    </xdr:from>
    <xdr:to>
      <xdr:col>12</xdr:col>
      <xdr:colOff>553198</xdr:colOff>
      <xdr:row>4</xdr:row>
      <xdr:rowOff>25854</xdr:rowOff>
    </xdr:to>
    <xdr:sp macro="" textlink="">
      <xdr:nvSpPr>
        <xdr:cNvPr id="71" name="BlokTextu 70"/>
        <xdr:cNvSpPr txBox="1"/>
      </xdr:nvSpPr>
      <xdr:spPr>
        <a:xfrm>
          <a:off x="9744075" y="523875"/>
          <a:ext cx="553198" cy="340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000"/>
            <a:t>73; 76</a:t>
          </a:r>
        </a:p>
      </xdr:txBody>
    </xdr:sp>
    <xdr:clientData/>
  </xdr:twoCellAnchor>
  <xdr:twoCellAnchor editAs="oneCell">
    <xdr:from>
      <xdr:col>11</xdr:col>
      <xdr:colOff>1710122</xdr:colOff>
      <xdr:row>8</xdr:row>
      <xdr:rowOff>178904</xdr:rowOff>
    </xdr:from>
    <xdr:to>
      <xdr:col>12</xdr:col>
      <xdr:colOff>565488</xdr:colOff>
      <xdr:row>10</xdr:row>
      <xdr:rowOff>95560</xdr:rowOff>
    </xdr:to>
    <xdr:sp macro="" textlink="">
      <xdr:nvSpPr>
        <xdr:cNvPr id="72" name="BlokTextu 71"/>
        <xdr:cNvSpPr txBox="1"/>
      </xdr:nvSpPr>
      <xdr:spPr>
        <a:xfrm>
          <a:off x="9730172" y="1845779"/>
          <a:ext cx="569866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000"/>
            <a:t>60;</a:t>
          </a:r>
          <a:r>
            <a:rPr lang="sk-SK" sz="1000" baseline="0"/>
            <a:t> </a:t>
          </a:r>
          <a:r>
            <a:rPr lang="sk-SK" sz="1000"/>
            <a:t>59</a:t>
          </a:r>
        </a:p>
      </xdr:txBody>
    </xdr:sp>
    <xdr:clientData/>
  </xdr:twoCellAnchor>
  <xdr:twoCellAnchor editAs="oneCell">
    <xdr:from>
      <xdr:col>14</xdr:col>
      <xdr:colOff>72118</xdr:colOff>
      <xdr:row>6</xdr:row>
      <xdr:rowOff>163285</xdr:rowOff>
    </xdr:from>
    <xdr:to>
      <xdr:col>15</xdr:col>
      <xdr:colOff>19047</xdr:colOff>
      <xdr:row>8</xdr:row>
      <xdr:rowOff>79941</xdr:rowOff>
    </xdr:to>
    <xdr:sp macro="" textlink="">
      <xdr:nvSpPr>
        <xdr:cNvPr id="73" name="BlokTextu 72"/>
        <xdr:cNvSpPr txBox="1"/>
      </xdr:nvSpPr>
      <xdr:spPr>
        <a:xfrm>
          <a:off x="11521168" y="1449160"/>
          <a:ext cx="556529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000"/>
            <a:t>75;</a:t>
          </a:r>
          <a:r>
            <a:rPr lang="sk-SK" sz="1000" baseline="0"/>
            <a:t> </a:t>
          </a:r>
          <a:r>
            <a:rPr lang="sk-SK" sz="1000"/>
            <a:t>76</a:t>
          </a:r>
        </a:p>
        <a:p>
          <a:endParaRPr lang="sk-SK" sz="1000"/>
        </a:p>
      </xdr:txBody>
    </xdr:sp>
    <xdr:clientData/>
  </xdr:twoCellAnchor>
  <xdr:twoCellAnchor>
    <xdr:from>
      <xdr:col>1</xdr:col>
      <xdr:colOff>25774</xdr:colOff>
      <xdr:row>27</xdr:row>
      <xdr:rowOff>68355</xdr:rowOff>
    </xdr:from>
    <xdr:to>
      <xdr:col>2</xdr:col>
      <xdr:colOff>592792</xdr:colOff>
      <xdr:row>32</xdr:row>
      <xdr:rowOff>11205</xdr:rowOff>
    </xdr:to>
    <xdr:pic>
      <xdr:nvPicPr>
        <xdr:cNvPr id="77" name="Obrázok 7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374" y="5354730"/>
          <a:ext cx="1614768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28575</xdr:colOff>
      <xdr:row>97</xdr:row>
      <xdr:rowOff>19050</xdr:rowOff>
    </xdr:from>
    <xdr:to>
      <xdr:col>18</xdr:col>
      <xdr:colOff>266087</xdr:colOff>
      <xdr:row>102</xdr:row>
      <xdr:rowOff>171310</xdr:rowOff>
    </xdr:to>
    <xdr:pic>
      <xdr:nvPicPr>
        <xdr:cNvPr id="16" name="Obrázok 1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86950" y="18669000"/>
          <a:ext cx="4904762" cy="1123810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</xdr:colOff>
      <xdr:row>85</xdr:row>
      <xdr:rowOff>104775</xdr:rowOff>
    </xdr:from>
    <xdr:to>
      <xdr:col>19</xdr:col>
      <xdr:colOff>46961</xdr:colOff>
      <xdr:row>95</xdr:row>
      <xdr:rowOff>180724</xdr:rowOff>
    </xdr:to>
    <xdr:pic>
      <xdr:nvPicPr>
        <xdr:cNvPr id="21" name="Obrázok 2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239375" y="16440150"/>
          <a:ext cx="5314286" cy="2009524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</xdr:colOff>
      <xdr:row>62</xdr:row>
      <xdr:rowOff>47625</xdr:rowOff>
    </xdr:from>
    <xdr:to>
      <xdr:col>15</xdr:col>
      <xdr:colOff>847392</xdr:colOff>
      <xdr:row>66</xdr:row>
      <xdr:rowOff>57054</xdr:rowOff>
    </xdr:to>
    <xdr:pic>
      <xdr:nvPicPr>
        <xdr:cNvPr id="22" name="Obrázok 2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239375" y="12001500"/>
          <a:ext cx="2666667" cy="7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67</xdr:row>
      <xdr:rowOff>19050</xdr:rowOff>
    </xdr:from>
    <xdr:to>
      <xdr:col>18</xdr:col>
      <xdr:colOff>208946</xdr:colOff>
      <xdr:row>72</xdr:row>
      <xdr:rowOff>104645</xdr:rowOff>
    </xdr:to>
    <xdr:pic>
      <xdr:nvPicPr>
        <xdr:cNvPr id="23" name="Obrázok 2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277475" y="12925425"/>
          <a:ext cx="4828571" cy="1038095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</xdr:colOff>
      <xdr:row>49</xdr:row>
      <xdr:rowOff>38100</xdr:rowOff>
    </xdr:from>
    <xdr:to>
      <xdr:col>19</xdr:col>
      <xdr:colOff>75532</xdr:colOff>
      <xdr:row>59</xdr:row>
      <xdr:rowOff>180719</xdr:rowOff>
    </xdr:to>
    <xdr:pic>
      <xdr:nvPicPr>
        <xdr:cNvPr id="30" name="Obrázok 2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239375" y="9515475"/>
          <a:ext cx="5342857" cy="20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515223</xdr:colOff>
      <xdr:row>120</xdr:row>
      <xdr:rowOff>171450</xdr:rowOff>
    </xdr:from>
    <xdr:to>
      <xdr:col>7</xdr:col>
      <xdr:colOff>313627</xdr:colOff>
      <xdr:row>135</xdr:row>
      <xdr:rowOff>180430</xdr:rowOff>
    </xdr:to>
    <xdr:pic>
      <xdr:nvPicPr>
        <xdr:cNvPr id="46" name="Obrázok 4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24823" y="23231475"/>
          <a:ext cx="4922854" cy="3847555"/>
        </a:xfrm>
        <a:prstGeom prst="rect">
          <a:avLst/>
        </a:prstGeom>
      </xdr:spPr>
    </xdr:pic>
    <xdr:clientData/>
  </xdr:twoCellAnchor>
  <xdr:twoCellAnchor>
    <xdr:from>
      <xdr:col>15</xdr:col>
      <xdr:colOff>809625</xdr:colOff>
      <xdr:row>50</xdr:row>
      <xdr:rowOff>104775</xdr:rowOff>
    </xdr:from>
    <xdr:to>
      <xdr:col>16</xdr:col>
      <xdr:colOff>314325</xdr:colOff>
      <xdr:row>59</xdr:row>
      <xdr:rowOff>104775</xdr:rowOff>
    </xdr:to>
    <xdr:sp macro="" textlink="">
      <xdr:nvSpPr>
        <xdr:cNvPr id="50" name="Obdĺžnik 49"/>
        <xdr:cNvSpPr/>
      </xdr:nvSpPr>
      <xdr:spPr>
        <a:xfrm>
          <a:off x="12496800" y="9772650"/>
          <a:ext cx="457200" cy="1714500"/>
        </a:xfrm>
        <a:prstGeom prst="rect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4</xdr:col>
      <xdr:colOff>581024</xdr:colOff>
      <xdr:row>53</xdr:row>
      <xdr:rowOff>0</xdr:rowOff>
    </xdr:from>
    <xdr:to>
      <xdr:col>5</xdr:col>
      <xdr:colOff>571499</xdr:colOff>
      <xdr:row>60</xdr:row>
      <xdr:rowOff>180975</xdr:rowOff>
    </xdr:to>
    <xdr:sp macro="" textlink="">
      <xdr:nvSpPr>
        <xdr:cNvPr id="74" name="Obdĺžnik 73"/>
        <xdr:cNvSpPr/>
      </xdr:nvSpPr>
      <xdr:spPr>
        <a:xfrm>
          <a:off x="3428999" y="10239375"/>
          <a:ext cx="600075" cy="1514475"/>
        </a:xfrm>
        <a:prstGeom prst="rect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10</xdr:col>
      <xdr:colOff>828675</xdr:colOff>
      <xdr:row>52</xdr:row>
      <xdr:rowOff>133350</xdr:rowOff>
    </xdr:from>
    <xdr:to>
      <xdr:col>11</xdr:col>
      <xdr:colOff>1000125</xdr:colOff>
      <xdr:row>61</xdr:row>
      <xdr:rowOff>0</xdr:rowOff>
    </xdr:to>
    <xdr:sp macro="" textlink="">
      <xdr:nvSpPr>
        <xdr:cNvPr id="53" name="Obdĺžnik 52"/>
        <xdr:cNvSpPr/>
      </xdr:nvSpPr>
      <xdr:spPr>
        <a:xfrm>
          <a:off x="8448675" y="10182225"/>
          <a:ext cx="1038225" cy="1581150"/>
        </a:xfrm>
        <a:prstGeom prst="rect">
          <a:avLst/>
        </a:prstGeom>
        <a:noFill/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12</xdr:col>
      <xdr:colOff>19050</xdr:colOff>
      <xdr:row>66</xdr:row>
      <xdr:rowOff>180975</xdr:rowOff>
    </xdr:from>
    <xdr:to>
      <xdr:col>18</xdr:col>
      <xdr:colOff>190500</xdr:colOff>
      <xdr:row>72</xdr:row>
      <xdr:rowOff>123825</xdr:rowOff>
    </xdr:to>
    <xdr:sp macro="" textlink="">
      <xdr:nvSpPr>
        <xdr:cNvPr id="75" name="Obdĺžnik 74"/>
        <xdr:cNvSpPr/>
      </xdr:nvSpPr>
      <xdr:spPr>
        <a:xfrm>
          <a:off x="9877425" y="12896850"/>
          <a:ext cx="4838700" cy="1085850"/>
        </a:xfrm>
        <a:prstGeom prst="rect">
          <a:avLst/>
        </a:prstGeom>
        <a:noFill/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11</xdr:col>
      <xdr:colOff>714375</xdr:colOff>
      <xdr:row>61</xdr:row>
      <xdr:rowOff>133350</xdr:rowOff>
    </xdr:from>
    <xdr:to>
      <xdr:col>12</xdr:col>
      <xdr:colOff>152400</xdr:colOff>
      <xdr:row>66</xdr:row>
      <xdr:rowOff>114300</xdr:rowOff>
    </xdr:to>
    <xdr:cxnSp macro="">
      <xdr:nvCxnSpPr>
        <xdr:cNvPr id="69" name="Rovná spojovacia šípka 68"/>
        <xdr:cNvCxnSpPr/>
      </xdr:nvCxnSpPr>
      <xdr:spPr>
        <a:xfrm>
          <a:off x="9201150" y="11896725"/>
          <a:ext cx="809625" cy="9334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495301</xdr:colOff>
      <xdr:row>136</xdr:row>
      <xdr:rowOff>60142</xdr:rowOff>
    </xdr:from>
    <xdr:to>
      <xdr:col>7</xdr:col>
      <xdr:colOff>285751</xdr:colOff>
      <xdr:row>153</xdr:row>
      <xdr:rowOff>132907</xdr:rowOff>
    </xdr:to>
    <xdr:pic>
      <xdr:nvPicPr>
        <xdr:cNvPr id="76" name="Obrázok 7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04901" y="27149242"/>
          <a:ext cx="4914900" cy="333031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196</xdr:row>
      <xdr:rowOff>19050</xdr:rowOff>
    </xdr:from>
    <xdr:to>
      <xdr:col>8</xdr:col>
      <xdr:colOff>751773</xdr:colOff>
      <xdr:row>215</xdr:row>
      <xdr:rowOff>170979</xdr:rowOff>
    </xdr:to>
    <xdr:pic>
      <xdr:nvPicPr>
        <xdr:cNvPr id="78" name="Obrázok 7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57350" y="38576250"/>
          <a:ext cx="5619048" cy="37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175</xdr:row>
      <xdr:rowOff>0</xdr:rowOff>
    </xdr:from>
    <xdr:to>
      <xdr:col>8</xdr:col>
      <xdr:colOff>761296</xdr:colOff>
      <xdr:row>194</xdr:row>
      <xdr:rowOff>170976</xdr:rowOff>
    </xdr:to>
    <xdr:pic>
      <xdr:nvPicPr>
        <xdr:cNvPr id="79" name="Obrázok 7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19200" y="38157150"/>
          <a:ext cx="5628571" cy="3790476"/>
        </a:xfrm>
        <a:prstGeom prst="rect">
          <a:avLst/>
        </a:prstGeom>
      </xdr:spPr>
    </xdr:pic>
    <xdr:clientData/>
  </xdr:twoCellAnchor>
  <xdr:twoCellAnchor editAs="oneCell">
    <xdr:from>
      <xdr:col>8</xdr:col>
      <xdr:colOff>790575</xdr:colOff>
      <xdr:row>174</xdr:row>
      <xdr:rowOff>161925</xdr:rowOff>
    </xdr:from>
    <xdr:to>
      <xdr:col>15</xdr:col>
      <xdr:colOff>818446</xdr:colOff>
      <xdr:row>194</xdr:row>
      <xdr:rowOff>132877</xdr:rowOff>
    </xdr:to>
    <xdr:pic>
      <xdr:nvPicPr>
        <xdr:cNvPr id="80" name="Obrázok 79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877050" y="38128575"/>
          <a:ext cx="5628571" cy="3780952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</xdr:colOff>
      <xdr:row>196</xdr:row>
      <xdr:rowOff>0</xdr:rowOff>
    </xdr:from>
    <xdr:to>
      <xdr:col>15</xdr:col>
      <xdr:colOff>837508</xdr:colOff>
      <xdr:row>215</xdr:row>
      <xdr:rowOff>123357</xdr:rowOff>
    </xdr:to>
    <xdr:pic>
      <xdr:nvPicPr>
        <xdr:cNvPr id="81" name="Obrázok 80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429500" y="38557200"/>
          <a:ext cx="5533333" cy="3742857"/>
        </a:xfrm>
        <a:prstGeom prst="rect">
          <a:avLst/>
        </a:prstGeom>
      </xdr:spPr>
    </xdr:pic>
    <xdr:clientData/>
  </xdr:twoCellAnchor>
  <xdr:twoCellAnchor editAs="oneCell">
    <xdr:from>
      <xdr:col>19</xdr:col>
      <xdr:colOff>342900</xdr:colOff>
      <xdr:row>81</xdr:row>
      <xdr:rowOff>0</xdr:rowOff>
    </xdr:from>
    <xdr:to>
      <xdr:col>27</xdr:col>
      <xdr:colOff>237529</xdr:colOff>
      <xdr:row>95</xdr:row>
      <xdr:rowOff>142520</xdr:rowOff>
    </xdr:to>
    <xdr:pic>
      <xdr:nvPicPr>
        <xdr:cNvPr id="82" name="Obrázok 81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5478125" y="15573375"/>
          <a:ext cx="4771429" cy="2838095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87</xdr:row>
      <xdr:rowOff>57150</xdr:rowOff>
    </xdr:from>
    <xdr:to>
      <xdr:col>8</xdr:col>
      <xdr:colOff>1033</xdr:colOff>
      <xdr:row>91</xdr:row>
      <xdr:rowOff>95150</xdr:rowOff>
    </xdr:to>
    <xdr:pic>
      <xdr:nvPicPr>
        <xdr:cNvPr id="83" name="Obrázok 8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905250" y="16783050"/>
          <a:ext cx="2619048" cy="800000"/>
        </a:xfrm>
        <a:prstGeom prst="rect">
          <a:avLst/>
        </a:prstGeom>
      </xdr:spPr>
    </xdr:pic>
    <xdr:clientData/>
  </xdr:twoCellAnchor>
  <xdr:twoCellAnchor editAs="oneCell">
    <xdr:from>
      <xdr:col>20</xdr:col>
      <xdr:colOff>9525</xdr:colOff>
      <xdr:row>96</xdr:row>
      <xdr:rowOff>178210</xdr:rowOff>
    </xdr:from>
    <xdr:to>
      <xdr:col>28</xdr:col>
      <xdr:colOff>18349</xdr:colOff>
      <xdr:row>113</xdr:row>
      <xdr:rowOff>170982</xdr:rowOff>
    </xdr:to>
    <xdr:pic>
      <xdr:nvPicPr>
        <xdr:cNvPr id="84" name="Obrázok 8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6192500" y="18637660"/>
          <a:ext cx="4885624" cy="3259847"/>
        </a:xfrm>
        <a:prstGeom prst="rect">
          <a:avLst/>
        </a:prstGeom>
      </xdr:spPr>
    </xdr:pic>
    <xdr:clientData/>
  </xdr:twoCellAnchor>
  <xdr:twoCellAnchor editAs="oneCell">
    <xdr:from>
      <xdr:col>28</xdr:col>
      <xdr:colOff>88448</xdr:colOff>
      <xdr:row>96</xdr:row>
      <xdr:rowOff>47625</xdr:rowOff>
    </xdr:from>
    <xdr:to>
      <xdr:col>36</xdr:col>
      <xdr:colOff>304096</xdr:colOff>
      <xdr:row>114</xdr:row>
      <xdr:rowOff>28099</xdr:rowOff>
    </xdr:to>
    <xdr:pic>
      <xdr:nvPicPr>
        <xdr:cNvPr id="85" name="Obrázok 84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1148223" y="18507075"/>
          <a:ext cx="5092448" cy="3438049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154</xdr:row>
      <xdr:rowOff>13608</xdr:rowOff>
    </xdr:from>
    <xdr:to>
      <xdr:col>7</xdr:col>
      <xdr:colOff>259402</xdr:colOff>
      <xdr:row>170</xdr:row>
      <xdr:rowOff>147856</xdr:rowOff>
    </xdr:to>
    <xdr:pic>
      <xdr:nvPicPr>
        <xdr:cNvPr id="86" name="Obrázok 85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88571" y="30602465"/>
          <a:ext cx="4913045" cy="320129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11906</xdr:colOff>
      <xdr:row>2</xdr:row>
      <xdr:rowOff>148828</xdr:rowOff>
    </xdr:from>
    <xdr:to>
      <xdr:col>13</xdr:col>
      <xdr:colOff>83343</xdr:colOff>
      <xdr:row>8</xdr:row>
      <xdr:rowOff>154781</xdr:rowOff>
    </xdr:to>
    <xdr:sp macro="" textlink="">
      <xdr:nvSpPr>
        <xdr:cNvPr id="2" name="Obdĺžnik 1"/>
        <xdr:cNvSpPr/>
      </xdr:nvSpPr>
      <xdr:spPr>
        <a:xfrm>
          <a:off x="6717506" y="529828"/>
          <a:ext cx="1290637" cy="1291828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11</xdr:col>
      <xdr:colOff>464344</xdr:colOff>
      <xdr:row>1</xdr:row>
      <xdr:rowOff>41673</xdr:rowOff>
    </xdr:from>
    <xdr:to>
      <xdr:col>13</xdr:col>
      <xdr:colOff>535781</xdr:colOff>
      <xdr:row>7</xdr:row>
      <xdr:rowOff>47626</xdr:rowOff>
    </xdr:to>
    <xdr:sp macro="" textlink="">
      <xdr:nvSpPr>
        <xdr:cNvPr id="3" name="Obdĺžnik 2"/>
        <xdr:cNvSpPr/>
      </xdr:nvSpPr>
      <xdr:spPr>
        <a:xfrm>
          <a:off x="7169944" y="232173"/>
          <a:ext cx="1290637" cy="1291828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11</xdr:col>
      <xdr:colOff>0</xdr:colOff>
      <xdr:row>1</xdr:row>
      <xdr:rowOff>41672</xdr:rowOff>
    </xdr:from>
    <xdr:to>
      <xdr:col>11</xdr:col>
      <xdr:colOff>458391</xdr:colOff>
      <xdr:row>2</xdr:row>
      <xdr:rowOff>142875</xdr:rowOff>
    </xdr:to>
    <xdr:cxnSp macro="">
      <xdr:nvCxnSpPr>
        <xdr:cNvPr id="4" name="Rovná spojnica 3"/>
        <xdr:cNvCxnSpPr/>
      </xdr:nvCxnSpPr>
      <xdr:spPr>
        <a:xfrm flipV="1">
          <a:off x="6705600" y="232172"/>
          <a:ext cx="458391" cy="291703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69056</xdr:colOff>
      <xdr:row>1</xdr:row>
      <xdr:rowOff>51197</xdr:rowOff>
    </xdr:from>
    <xdr:to>
      <xdr:col>13</xdr:col>
      <xdr:colOff>527447</xdr:colOff>
      <xdr:row>2</xdr:row>
      <xdr:rowOff>152400</xdr:rowOff>
    </xdr:to>
    <xdr:cxnSp macro="">
      <xdr:nvCxnSpPr>
        <xdr:cNvPr id="5" name="Rovná spojnica 4"/>
        <xdr:cNvCxnSpPr/>
      </xdr:nvCxnSpPr>
      <xdr:spPr>
        <a:xfrm flipV="1">
          <a:off x="7993856" y="241697"/>
          <a:ext cx="458391" cy="291703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71438</xdr:colOff>
      <xdr:row>7</xdr:row>
      <xdr:rowOff>47625</xdr:rowOff>
    </xdr:from>
    <xdr:to>
      <xdr:col>13</xdr:col>
      <xdr:colOff>529829</xdr:colOff>
      <xdr:row>8</xdr:row>
      <xdr:rowOff>148828</xdr:rowOff>
    </xdr:to>
    <xdr:cxnSp macro="">
      <xdr:nvCxnSpPr>
        <xdr:cNvPr id="6" name="Rovná spojnica 5"/>
        <xdr:cNvCxnSpPr/>
      </xdr:nvCxnSpPr>
      <xdr:spPr>
        <a:xfrm flipV="1">
          <a:off x="7996238" y="1524000"/>
          <a:ext cx="458391" cy="291703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17860</xdr:colOff>
      <xdr:row>7</xdr:row>
      <xdr:rowOff>29766</xdr:rowOff>
    </xdr:from>
    <xdr:to>
      <xdr:col>11</xdr:col>
      <xdr:colOff>476251</xdr:colOff>
      <xdr:row>8</xdr:row>
      <xdr:rowOff>130969</xdr:rowOff>
    </xdr:to>
    <xdr:cxnSp macro="">
      <xdr:nvCxnSpPr>
        <xdr:cNvPr id="7" name="Rovná spojnica 6"/>
        <xdr:cNvCxnSpPr/>
      </xdr:nvCxnSpPr>
      <xdr:spPr>
        <a:xfrm flipV="1">
          <a:off x="6723460" y="1506141"/>
          <a:ext cx="458391" cy="291703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321468</xdr:colOff>
      <xdr:row>9</xdr:row>
      <xdr:rowOff>184547</xdr:rowOff>
    </xdr:from>
    <xdr:to>
      <xdr:col>12</xdr:col>
      <xdr:colOff>523874</xdr:colOff>
      <xdr:row>10</xdr:row>
      <xdr:rowOff>5954</xdr:rowOff>
    </xdr:to>
    <xdr:cxnSp macro="">
      <xdr:nvCxnSpPr>
        <xdr:cNvPr id="8" name="Rovná spojovacia šípka 7"/>
        <xdr:cNvCxnSpPr/>
      </xdr:nvCxnSpPr>
      <xdr:spPr>
        <a:xfrm flipV="1">
          <a:off x="7027068" y="2041922"/>
          <a:ext cx="812006" cy="11907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309561</xdr:colOff>
      <xdr:row>10</xdr:row>
      <xdr:rowOff>65484</xdr:rowOff>
    </xdr:from>
    <xdr:to>
      <xdr:col>13</xdr:col>
      <xdr:colOff>464342</xdr:colOff>
      <xdr:row>11</xdr:row>
      <xdr:rowOff>172640</xdr:rowOff>
    </xdr:to>
    <xdr:sp macro="" textlink="">
      <xdr:nvSpPr>
        <xdr:cNvPr id="9" name="BlokTextu 8"/>
        <xdr:cNvSpPr txBox="1"/>
      </xdr:nvSpPr>
      <xdr:spPr>
        <a:xfrm>
          <a:off x="7015161" y="2113359"/>
          <a:ext cx="1373981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prací</a:t>
          </a:r>
          <a:r>
            <a:rPr lang="sk-SK" sz="1100" baseline="0"/>
            <a:t> prášok</a:t>
          </a:r>
          <a:endParaRPr lang="sk-SK" sz="1100"/>
        </a:p>
      </xdr:txBody>
    </xdr:sp>
    <xdr:clientData/>
  </xdr:twoCellAnchor>
  <xdr:twoCellAnchor>
    <xdr:from>
      <xdr:col>13</xdr:col>
      <xdr:colOff>440531</xdr:colOff>
      <xdr:row>7</xdr:row>
      <xdr:rowOff>178595</xdr:rowOff>
    </xdr:from>
    <xdr:to>
      <xdr:col>14</xdr:col>
      <xdr:colOff>202406</xdr:colOff>
      <xdr:row>9</xdr:row>
      <xdr:rowOff>47625</xdr:rowOff>
    </xdr:to>
    <xdr:cxnSp macro="">
      <xdr:nvCxnSpPr>
        <xdr:cNvPr id="10" name="Rovná spojovacia šípka 9"/>
        <xdr:cNvCxnSpPr/>
      </xdr:nvCxnSpPr>
      <xdr:spPr>
        <a:xfrm flipV="1">
          <a:off x="8365331" y="1654970"/>
          <a:ext cx="371475" cy="25003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77390</xdr:colOff>
      <xdr:row>8</xdr:row>
      <xdr:rowOff>23812</xdr:rowOff>
    </xdr:from>
    <xdr:to>
      <xdr:col>16</xdr:col>
      <xdr:colOff>232172</xdr:colOff>
      <xdr:row>9</xdr:row>
      <xdr:rowOff>130968</xdr:rowOff>
    </xdr:to>
    <xdr:sp macro="" textlink="">
      <xdr:nvSpPr>
        <xdr:cNvPr id="11" name="BlokTextu 10"/>
        <xdr:cNvSpPr txBox="1"/>
      </xdr:nvSpPr>
      <xdr:spPr>
        <a:xfrm>
          <a:off x="8611790" y="1690687"/>
          <a:ext cx="1373982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teplota</a:t>
          </a:r>
        </a:p>
      </xdr:txBody>
    </xdr:sp>
    <xdr:clientData/>
  </xdr:twoCellAnchor>
  <xdr:twoCellAnchor>
    <xdr:from>
      <xdr:col>14</xdr:col>
      <xdr:colOff>273843</xdr:colOff>
      <xdr:row>2</xdr:row>
      <xdr:rowOff>71440</xdr:rowOff>
    </xdr:from>
    <xdr:to>
      <xdr:col>14</xdr:col>
      <xdr:colOff>285749</xdr:colOff>
      <xdr:row>5</xdr:row>
      <xdr:rowOff>125016</xdr:rowOff>
    </xdr:to>
    <xdr:cxnSp macro="">
      <xdr:nvCxnSpPr>
        <xdr:cNvPr id="12" name="Rovná spojovacia šípka 11"/>
        <xdr:cNvCxnSpPr/>
      </xdr:nvCxnSpPr>
      <xdr:spPr>
        <a:xfrm>
          <a:off x="8808243" y="452440"/>
          <a:ext cx="11906" cy="739376"/>
        </a:xfrm>
        <a:prstGeom prst="straightConnector1">
          <a:avLst/>
        </a:prstGeom>
        <a:ln>
          <a:headEnd type="triangl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369093</xdr:colOff>
      <xdr:row>3</xdr:row>
      <xdr:rowOff>83343</xdr:rowOff>
    </xdr:from>
    <xdr:to>
      <xdr:col>15</xdr:col>
      <xdr:colOff>142875</xdr:colOff>
      <xdr:row>4</xdr:row>
      <xdr:rowOff>154780</xdr:rowOff>
    </xdr:to>
    <xdr:sp macro="" textlink="">
      <xdr:nvSpPr>
        <xdr:cNvPr id="13" name="BlokTextu 12"/>
        <xdr:cNvSpPr txBox="1"/>
      </xdr:nvSpPr>
      <xdr:spPr>
        <a:xfrm>
          <a:off x="8903493" y="692943"/>
          <a:ext cx="383382" cy="3000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čas</a:t>
          </a:r>
        </a:p>
      </xdr:txBody>
    </xdr:sp>
    <xdr:clientData/>
  </xdr:twoCellAnchor>
  <xdr:twoCellAnchor>
    <xdr:from>
      <xdr:col>14</xdr:col>
      <xdr:colOff>166687</xdr:colOff>
      <xdr:row>5</xdr:row>
      <xdr:rowOff>23813</xdr:rowOff>
    </xdr:from>
    <xdr:to>
      <xdr:col>16</xdr:col>
      <xdr:colOff>321469</xdr:colOff>
      <xdr:row>6</xdr:row>
      <xdr:rowOff>101203</xdr:rowOff>
    </xdr:to>
    <xdr:sp macro="" textlink="">
      <xdr:nvSpPr>
        <xdr:cNvPr id="14" name="BlokTextu 13"/>
        <xdr:cNvSpPr txBox="1"/>
      </xdr:nvSpPr>
      <xdr:spPr>
        <a:xfrm>
          <a:off x="8701087" y="1090613"/>
          <a:ext cx="1373982" cy="296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800"/>
            <a:t>-</a:t>
          </a:r>
        </a:p>
      </xdr:txBody>
    </xdr:sp>
    <xdr:clientData/>
  </xdr:twoCellAnchor>
  <xdr:twoCellAnchor>
    <xdr:from>
      <xdr:col>13</xdr:col>
      <xdr:colOff>208359</xdr:colOff>
      <xdr:row>8</xdr:row>
      <xdr:rowOff>107156</xdr:rowOff>
    </xdr:from>
    <xdr:to>
      <xdr:col>13</xdr:col>
      <xdr:colOff>485775</xdr:colOff>
      <xdr:row>10</xdr:row>
      <xdr:rowOff>23812</xdr:rowOff>
    </xdr:to>
    <xdr:sp macro="" textlink="">
      <xdr:nvSpPr>
        <xdr:cNvPr id="15" name="BlokTextu 14"/>
        <xdr:cNvSpPr txBox="1"/>
      </xdr:nvSpPr>
      <xdr:spPr>
        <a:xfrm>
          <a:off x="8133159" y="1774031"/>
          <a:ext cx="277416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800"/>
            <a:t>-</a:t>
          </a:r>
        </a:p>
      </xdr:txBody>
    </xdr:sp>
    <xdr:clientData/>
  </xdr:twoCellAnchor>
  <xdr:twoCellAnchor>
    <xdr:from>
      <xdr:col>11</xdr:col>
      <xdr:colOff>23813</xdr:colOff>
      <xdr:row>8</xdr:row>
      <xdr:rowOff>182165</xdr:rowOff>
    </xdr:from>
    <xdr:to>
      <xdr:col>11</xdr:col>
      <xdr:colOff>304800</xdr:colOff>
      <xdr:row>10</xdr:row>
      <xdr:rowOff>98821</xdr:rowOff>
    </xdr:to>
    <xdr:sp macro="" textlink="">
      <xdr:nvSpPr>
        <xdr:cNvPr id="16" name="BlokTextu 15"/>
        <xdr:cNvSpPr txBox="1"/>
      </xdr:nvSpPr>
      <xdr:spPr>
        <a:xfrm>
          <a:off x="6729413" y="1849040"/>
          <a:ext cx="280987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800"/>
            <a:t>-</a:t>
          </a:r>
        </a:p>
      </xdr:txBody>
    </xdr:sp>
    <xdr:clientData/>
  </xdr:twoCellAnchor>
  <xdr:twoCellAnchor>
    <xdr:from>
      <xdr:col>12</xdr:col>
      <xdr:colOff>506015</xdr:colOff>
      <xdr:row>9</xdr:row>
      <xdr:rowOff>35719</xdr:rowOff>
    </xdr:from>
    <xdr:to>
      <xdr:col>13</xdr:col>
      <xdr:colOff>285750</xdr:colOff>
      <xdr:row>10</xdr:row>
      <xdr:rowOff>142875</xdr:rowOff>
    </xdr:to>
    <xdr:sp macro="" textlink="">
      <xdr:nvSpPr>
        <xdr:cNvPr id="17" name="BlokTextu 16"/>
        <xdr:cNvSpPr txBox="1"/>
      </xdr:nvSpPr>
      <xdr:spPr>
        <a:xfrm>
          <a:off x="7821215" y="1893094"/>
          <a:ext cx="389335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300"/>
            <a:t>+</a:t>
          </a:r>
        </a:p>
      </xdr:txBody>
    </xdr:sp>
    <xdr:clientData/>
  </xdr:twoCellAnchor>
  <xdr:twoCellAnchor>
    <xdr:from>
      <xdr:col>14</xdr:col>
      <xdr:colOff>142874</xdr:colOff>
      <xdr:row>6</xdr:row>
      <xdr:rowOff>154781</xdr:rowOff>
    </xdr:from>
    <xdr:to>
      <xdr:col>16</xdr:col>
      <xdr:colOff>297656</xdr:colOff>
      <xdr:row>8</xdr:row>
      <xdr:rowOff>71437</xdr:rowOff>
    </xdr:to>
    <xdr:sp macro="" textlink="">
      <xdr:nvSpPr>
        <xdr:cNvPr id="18" name="BlokTextu 17"/>
        <xdr:cNvSpPr txBox="1"/>
      </xdr:nvSpPr>
      <xdr:spPr>
        <a:xfrm>
          <a:off x="8677274" y="1440656"/>
          <a:ext cx="1373982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300"/>
            <a:t>+</a:t>
          </a:r>
        </a:p>
      </xdr:txBody>
    </xdr:sp>
    <xdr:clientData/>
  </xdr:twoCellAnchor>
  <xdr:twoCellAnchor>
    <xdr:from>
      <xdr:col>14</xdr:col>
      <xdr:colOff>130968</xdr:colOff>
      <xdr:row>1</xdr:row>
      <xdr:rowOff>0</xdr:rowOff>
    </xdr:from>
    <xdr:to>
      <xdr:col>16</xdr:col>
      <xdr:colOff>285750</xdr:colOff>
      <xdr:row>2</xdr:row>
      <xdr:rowOff>107156</xdr:rowOff>
    </xdr:to>
    <xdr:sp macro="" textlink="">
      <xdr:nvSpPr>
        <xdr:cNvPr id="19" name="BlokTextu 18"/>
        <xdr:cNvSpPr txBox="1"/>
      </xdr:nvSpPr>
      <xdr:spPr>
        <a:xfrm>
          <a:off x="8665368" y="190500"/>
          <a:ext cx="1373982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300"/>
            <a:t>+</a:t>
          </a:r>
        </a:p>
      </xdr:txBody>
    </xdr:sp>
    <xdr:clientData/>
  </xdr:twoCellAnchor>
  <xdr:twoCellAnchor>
    <xdr:from>
      <xdr:col>12</xdr:col>
      <xdr:colOff>283369</xdr:colOff>
      <xdr:row>1</xdr:row>
      <xdr:rowOff>109538</xdr:rowOff>
    </xdr:from>
    <xdr:to>
      <xdr:col>13</xdr:col>
      <xdr:colOff>219075</xdr:colOff>
      <xdr:row>2</xdr:row>
      <xdr:rowOff>219075</xdr:rowOff>
    </xdr:to>
    <xdr:sp macro="" textlink="">
      <xdr:nvSpPr>
        <xdr:cNvPr id="20" name="BlokTextu 19"/>
        <xdr:cNvSpPr txBox="1"/>
      </xdr:nvSpPr>
      <xdr:spPr>
        <a:xfrm>
          <a:off x="7598569" y="300038"/>
          <a:ext cx="545306" cy="3000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92;</a:t>
          </a:r>
          <a:r>
            <a:rPr lang="sk-SK" sz="1000" baseline="0"/>
            <a:t> </a:t>
          </a:r>
          <a:r>
            <a:rPr lang="sk-SK" sz="1000"/>
            <a:t>91</a:t>
          </a:r>
        </a:p>
      </xdr:txBody>
    </xdr:sp>
    <xdr:clientData/>
  </xdr:twoCellAnchor>
  <xdr:twoCellAnchor>
    <xdr:from>
      <xdr:col>12</xdr:col>
      <xdr:colOff>239313</xdr:colOff>
      <xdr:row>7</xdr:row>
      <xdr:rowOff>119062</xdr:rowOff>
    </xdr:from>
    <xdr:to>
      <xdr:col>13</xdr:col>
      <xdr:colOff>200024</xdr:colOff>
      <xdr:row>9</xdr:row>
      <xdr:rowOff>35718</xdr:rowOff>
    </xdr:to>
    <xdr:sp macro="" textlink="">
      <xdr:nvSpPr>
        <xdr:cNvPr id="21" name="BlokTextu 20"/>
        <xdr:cNvSpPr txBox="1"/>
      </xdr:nvSpPr>
      <xdr:spPr>
        <a:xfrm>
          <a:off x="7554513" y="1595437"/>
          <a:ext cx="570311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60;</a:t>
          </a:r>
          <a:r>
            <a:rPr lang="sk-SK" sz="1000" baseline="0"/>
            <a:t> </a:t>
          </a:r>
          <a:r>
            <a:rPr lang="sk-SK" sz="1000"/>
            <a:t>62</a:t>
          </a:r>
        </a:p>
      </xdr:txBody>
    </xdr:sp>
    <xdr:clientData/>
  </xdr:twoCellAnchor>
  <xdr:twoCellAnchor>
    <xdr:from>
      <xdr:col>10</xdr:col>
      <xdr:colOff>200025</xdr:colOff>
      <xdr:row>1</xdr:row>
      <xdr:rowOff>142875</xdr:rowOff>
    </xdr:from>
    <xdr:to>
      <xdr:col>11</xdr:col>
      <xdr:colOff>148829</xdr:colOff>
      <xdr:row>2</xdr:row>
      <xdr:rowOff>219075</xdr:rowOff>
    </xdr:to>
    <xdr:sp macro="" textlink="">
      <xdr:nvSpPr>
        <xdr:cNvPr id="22" name="BlokTextu 21"/>
        <xdr:cNvSpPr txBox="1"/>
      </xdr:nvSpPr>
      <xdr:spPr>
        <a:xfrm>
          <a:off x="6296025" y="333375"/>
          <a:ext cx="558404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73;76</a:t>
          </a:r>
        </a:p>
      </xdr:txBody>
    </xdr:sp>
    <xdr:clientData/>
  </xdr:twoCellAnchor>
  <xdr:twoCellAnchor>
    <xdr:from>
      <xdr:col>10</xdr:col>
      <xdr:colOff>152401</xdr:colOff>
      <xdr:row>7</xdr:row>
      <xdr:rowOff>105965</xdr:rowOff>
    </xdr:from>
    <xdr:to>
      <xdr:col>11</xdr:col>
      <xdr:colOff>117873</xdr:colOff>
      <xdr:row>9</xdr:row>
      <xdr:rowOff>142874</xdr:rowOff>
    </xdr:to>
    <xdr:sp macro="" textlink="">
      <xdr:nvSpPr>
        <xdr:cNvPr id="23" name="BlokTextu 22"/>
        <xdr:cNvSpPr txBox="1"/>
      </xdr:nvSpPr>
      <xdr:spPr>
        <a:xfrm>
          <a:off x="6248401" y="1582340"/>
          <a:ext cx="575072" cy="4179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60;</a:t>
          </a:r>
          <a:r>
            <a:rPr lang="sk-SK" sz="1000" baseline="0"/>
            <a:t> </a:t>
          </a:r>
          <a:r>
            <a:rPr lang="sk-SK" sz="1000"/>
            <a:t>59</a:t>
          </a:r>
        </a:p>
      </xdr:txBody>
    </xdr:sp>
    <xdr:clientData/>
  </xdr:twoCellAnchor>
  <xdr:twoCellAnchor>
    <xdr:from>
      <xdr:col>13</xdr:col>
      <xdr:colOff>85724</xdr:colOff>
      <xdr:row>6</xdr:row>
      <xdr:rowOff>11906</xdr:rowOff>
    </xdr:from>
    <xdr:to>
      <xdr:col>13</xdr:col>
      <xdr:colOff>609599</xdr:colOff>
      <xdr:row>7</xdr:row>
      <xdr:rowOff>119062</xdr:rowOff>
    </xdr:to>
    <xdr:sp macro="" textlink="">
      <xdr:nvSpPr>
        <xdr:cNvPr id="24" name="BlokTextu 23"/>
        <xdr:cNvSpPr txBox="1"/>
      </xdr:nvSpPr>
      <xdr:spPr>
        <a:xfrm>
          <a:off x="8010524" y="1297781"/>
          <a:ext cx="523875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75;</a:t>
          </a:r>
          <a:r>
            <a:rPr lang="sk-SK" sz="1000" baseline="0"/>
            <a:t> </a:t>
          </a:r>
          <a:r>
            <a:rPr lang="sk-SK" sz="1000"/>
            <a:t>76</a:t>
          </a:r>
        </a:p>
        <a:p>
          <a:endParaRPr lang="sk-SK" sz="1000"/>
        </a:p>
      </xdr:txBody>
    </xdr:sp>
    <xdr:clientData/>
  </xdr:twoCellAnchor>
  <xdr:twoCellAnchor>
    <xdr:from>
      <xdr:col>13</xdr:col>
      <xdr:colOff>94060</xdr:colOff>
      <xdr:row>0</xdr:row>
      <xdr:rowOff>0</xdr:rowOff>
    </xdr:from>
    <xdr:to>
      <xdr:col>14</xdr:col>
      <xdr:colOff>152400</xdr:colOff>
      <xdr:row>1</xdr:row>
      <xdr:rowOff>107156</xdr:rowOff>
    </xdr:to>
    <xdr:sp macro="" textlink="">
      <xdr:nvSpPr>
        <xdr:cNvPr id="25" name="BlokTextu 24"/>
        <xdr:cNvSpPr txBox="1"/>
      </xdr:nvSpPr>
      <xdr:spPr>
        <a:xfrm>
          <a:off x="8018860" y="0"/>
          <a:ext cx="667940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87; 88</a:t>
          </a:r>
        </a:p>
      </xdr:txBody>
    </xdr:sp>
    <xdr:clientData/>
  </xdr:twoCellAnchor>
  <xdr:twoCellAnchor>
    <xdr:from>
      <xdr:col>11</xdr:col>
      <xdr:colOff>76200</xdr:colOff>
      <xdr:row>0</xdr:row>
      <xdr:rowOff>0</xdr:rowOff>
    </xdr:from>
    <xdr:to>
      <xdr:col>12</xdr:col>
      <xdr:colOff>255983</xdr:colOff>
      <xdr:row>1</xdr:row>
      <xdr:rowOff>107156</xdr:rowOff>
    </xdr:to>
    <xdr:sp macro="" textlink="">
      <xdr:nvSpPr>
        <xdr:cNvPr id="26" name="BlokTextu 25"/>
        <xdr:cNvSpPr txBox="1"/>
      </xdr:nvSpPr>
      <xdr:spPr>
        <a:xfrm>
          <a:off x="6781800" y="0"/>
          <a:ext cx="789383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59; 58</a:t>
          </a:r>
        </a:p>
      </xdr:txBody>
    </xdr:sp>
    <xdr:clientData/>
  </xdr:twoCellAnchor>
  <xdr:twoCellAnchor>
    <xdr:from>
      <xdr:col>11</xdr:col>
      <xdr:colOff>45244</xdr:colOff>
      <xdr:row>6</xdr:row>
      <xdr:rowOff>2381</xdr:rowOff>
    </xdr:from>
    <xdr:to>
      <xdr:col>12</xdr:col>
      <xdr:colOff>19049</xdr:colOff>
      <xdr:row>7</xdr:row>
      <xdr:rowOff>109537</xdr:rowOff>
    </xdr:to>
    <xdr:sp macro="" textlink="">
      <xdr:nvSpPr>
        <xdr:cNvPr id="27" name="BlokTextu 26"/>
        <xdr:cNvSpPr txBox="1"/>
      </xdr:nvSpPr>
      <xdr:spPr>
        <a:xfrm>
          <a:off x="6750844" y="1288256"/>
          <a:ext cx="583405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42;</a:t>
          </a:r>
          <a:r>
            <a:rPr lang="sk-SK" sz="1000" baseline="0"/>
            <a:t> </a:t>
          </a:r>
          <a:r>
            <a:rPr lang="sk-SK" sz="1000"/>
            <a:t>39</a:t>
          </a:r>
        </a:p>
      </xdr:txBody>
    </xdr:sp>
    <xdr:clientData/>
  </xdr:twoCellAnchor>
  <xdr:twoCellAnchor>
    <xdr:from>
      <xdr:col>18</xdr:col>
      <xdr:colOff>11906</xdr:colOff>
      <xdr:row>2</xdr:row>
      <xdr:rowOff>148828</xdr:rowOff>
    </xdr:from>
    <xdr:to>
      <xdr:col>20</xdr:col>
      <xdr:colOff>83343</xdr:colOff>
      <xdr:row>8</xdr:row>
      <xdr:rowOff>154781</xdr:rowOff>
    </xdr:to>
    <xdr:sp macro="" textlink="">
      <xdr:nvSpPr>
        <xdr:cNvPr id="28" name="Obdĺžnik 27"/>
        <xdr:cNvSpPr/>
      </xdr:nvSpPr>
      <xdr:spPr>
        <a:xfrm>
          <a:off x="10984706" y="529828"/>
          <a:ext cx="1290637" cy="1291828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18</xdr:col>
      <xdr:colOff>464344</xdr:colOff>
      <xdr:row>1</xdr:row>
      <xdr:rowOff>41673</xdr:rowOff>
    </xdr:from>
    <xdr:to>
      <xdr:col>20</xdr:col>
      <xdr:colOff>535781</xdr:colOff>
      <xdr:row>7</xdr:row>
      <xdr:rowOff>47626</xdr:rowOff>
    </xdr:to>
    <xdr:sp macro="" textlink="">
      <xdr:nvSpPr>
        <xdr:cNvPr id="29" name="Obdĺžnik 28"/>
        <xdr:cNvSpPr/>
      </xdr:nvSpPr>
      <xdr:spPr>
        <a:xfrm>
          <a:off x="11437144" y="232173"/>
          <a:ext cx="1290637" cy="1291828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18</xdr:col>
      <xdr:colOff>0</xdr:colOff>
      <xdr:row>1</xdr:row>
      <xdr:rowOff>41672</xdr:rowOff>
    </xdr:from>
    <xdr:to>
      <xdr:col>18</xdr:col>
      <xdr:colOff>458391</xdr:colOff>
      <xdr:row>2</xdr:row>
      <xdr:rowOff>142875</xdr:rowOff>
    </xdr:to>
    <xdr:cxnSp macro="">
      <xdr:nvCxnSpPr>
        <xdr:cNvPr id="30" name="Rovná spojnica 29"/>
        <xdr:cNvCxnSpPr/>
      </xdr:nvCxnSpPr>
      <xdr:spPr>
        <a:xfrm flipV="1">
          <a:off x="10972800" y="232172"/>
          <a:ext cx="458391" cy="291703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69056</xdr:colOff>
      <xdr:row>1</xdr:row>
      <xdr:rowOff>51197</xdr:rowOff>
    </xdr:from>
    <xdr:to>
      <xdr:col>20</xdr:col>
      <xdr:colOff>527447</xdr:colOff>
      <xdr:row>2</xdr:row>
      <xdr:rowOff>152400</xdr:rowOff>
    </xdr:to>
    <xdr:cxnSp macro="">
      <xdr:nvCxnSpPr>
        <xdr:cNvPr id="31" name="Rovná spojnica 30"/>
        <xdr:cNvCxnSpPr/>
      </xdr:nvCxnSpPr>
      <xdr:spPr>
        <a:xfrm flipV="1">
          <a:off x="12261056" y="241697"/>
          <a:ext cx="458391" cy="291703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71438</xdr:colOff>
      <xdr:row>7</xdr:row>
      <xdr:rowOff>47625</xdr:rowOff>
    </xdr:from>
    <xdr:to>
      <xdr:col>20</xdr:col>
      <xdr:colOff>529829</xdr:colOff>
      <xdr:row>8</xdr:row>
      <xdr:rowOff>148828</xdr:rowOff>
    </xdr:to>
    <xdr:cxnSp macro="">
      <xdr:nvCxnSpPr>
        <xdr:cNvPr id="32" name="Rovná spojnica 31"/>
        <xdr:cNvCxnSpPr/>
      </xdr:nvCxnSpPr>
      <xdr:spPr>
        <a:xfrm flipV="1">
          <a:off x="12263438" y="1524000"/>
          <a:ext cx="458391" cy="291703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17860</xdr:colOff>
      <xdr:row>7</xdr:row>
      <xdr:rowOff>29766</xdr:rowOff>
    </xdr:from>
    <xdr:to>
      <xdr:col>18</xdr:col>
      <xdr:colOff>476251</xdr:colOff>
      <xdr:row>8</xdr:row>
      <xdr:rowOff>130969</xdr:rowOff>
    </xdr:to>
    <xdr:cxnSp macro="">
      <xdr:nvCxnSpPr>
        <xdr:cNvPr id="33" name="Rovná spojnica 32"/>
        <xdr:cNvCxnSpPr/>
      </xdr:nvCxnSpPr>
      <xdr:spPr>
        <a:xfrm flipV="1">
          <a:off x="10990660" y="1506141"/>
          <a:ext cx="458391" cy="291703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321468</xdr:colOff>
      <xdr:row>9</xdr:row>
      <xdr:rowOff>184547</xdr:rowOff>
    </xdr:from>
    <xdr:to>
      <xdr:col>19</xdr:col>
      <xdr:colOff>523874</xdr:colOff>
      <xdr:row>10</xdr:row>
      <xdr:rowOff>5954</xdr:rowOff>
    </xdr:to>
    <xdr:cxnSp macro="">
      <xdr:nvCxnSpPr>
        <xdr:cNvPr id="34" name="Rovná spojovacia šípka 33"/>
        <xdr:cNvCxnSpPr/>
      </xdr:nvCxnSpPr>
      <xdr:spPr>
        <a:xfrm flipV="1">
          <a:off x="11294268" y="2041922"/>
          <a:ext cx="812006" cy="11907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309561</xdr:colOff>
      <xdr:row>10</xdr:row>
      <xdr:rowOff>65484</xdr:rowOff>
    </xdr:from>
    <xdr:to>
      <xdr:col>20</xdr:col>
      <xdr:colOff>464342</xdr:colOff>
      <xdr:row>11</xdr:row>
      <xdr:rowOff>172640</xdr:rowOff>
    </xdr:to>
    <xdr:sp macro="" textlink="">
      <xdr:nvSpPr>
        <xdr:cNvPr id="35" name="BlokTextu 34"/>
        <xdr:cNvSpPr txBox="1"/>
      </xdr:nvSpPr>
      <xdr:spPr>
        <a:xfrm>
          <a:off x="11282361" y="2113359"/>
          <a:ext cx="1373981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prací</a:t>
          </a:r>
          <a:r>
            <a:rPr lang="sk-SK" sz="1100" baseline="0"/>
            <a:t> prášok</a:t>
          </a:r>
          <a:endParaRPr lang="sk-SK" sz="1100"/>
        </a:p>
      </xdr:txBody>
    </xdr:sp>
    <xdr:clientData/>
  </xdr:twoCellAnchor>
  <xdr:twoCellAnchor>
    <xdr:from>
      <xdr:col>20</xdr:col>
      <xdr:colOff>440531</xdr:colOff>
      <xdr:row>7</xdr:row>
      <xdr:rowOff>178595</xdr:rowOff>
    </xdr:from>
    <xdr:to>
      <xdr:col>21</xdr:col>
      <xdr:colOff>202406</xdr:colOff>
      <xdr:row>9</xdr:row>
      <xdr:rowOff>47625</xdr:rowOff>
    </xdr:to>
    <xdr:cxnSp macro="">
      <xdr:nvCxnSpPr>
        <xdr:cNvPr id="36" name="Rovná spojovacia šípka 35"/>
        <xdr:cNvCxnSpPr/>
      </xdr:nvCxnSpPr>
      <xdr:spPr>
        <a:xfrm flipV="1">
          <a:off x="12632531" y="1654970"/>
          <a:ext cx="371475" cy="25003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273843</xdr:colOff>
      <xdr:row>2</xdr:row>
      <xdr:rowOff>71440</xdr:rowOff>
    </xdr:from>
    <xdr:to>
      <xdr:col>21</xdr:col>
      <xdr:colOff>285749</xdr:colOff>
      <xdr:row>5</xdr:row>
      <xdr:rowOff>125016</xdr:rowOff>
    </xdr:to>
    <xdr:cxnSp macro="">
      <xdr:nvCxnSpPr>
        <xdr:cNvPr id="37" name="Rovná spojovacia šípka 36"/>
        <xdr:cNvCxnSpPr/>
      </xdr:nvCxnSpPr>
      <xdr:spPr>
        <a:xfrm>
          <a:off x="13075443" y="452440"/>
          <a:ext cx="11906" cy="739376"/>
        </a:xfrm>
        <a:prstGeom prst="straightConnector1">
          <a:avLst/>
        </a:prstGeom>
        <a:ln>
          <a:headEnd type="triangl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208359</xdr:colOff>
      <xdr:row>8</xdr:row>
      <xdr:rowOff>107156</xdr:rowOff>
    </xdr:from>
    <xdr:to>
      <xdr:col>20</xdr:col>
      <xdr:colOff>485775</xdr:colOff>
      <xdr:row>10</xdr:row>
      <xdr:rowOff>23812</xdr:rowOff>
    </xdr:to>
    <xdr:sp macro="" textlink="">
      <xdr:nvSpPr>
        <xdr:cNvPr id="38" name="BlokTextu 37"/>
        <xdr:cNvSpPr txBox="1"/>
      </xdr:nvSpPr>
      <xdr:spPr>
        <a:xfrm>
          <a:off x="12400359" y="1774031"/>
          <a:ext cx="277416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800"/>
            <a:t>-</a:t>
          </a:r>
        </a:p>
      </xdr:txBody>
    </xdr:sp>
    <xdr:clientData/>
  </xdr:twoCellAnchor>
  <xdr:twoCellAnchor>
    <xdr:from>
      <xdr:col>18</xdr:col>
      <xdr:colOff>23813</xdr:colOff>
      <xdr:row>9</xdr:row>
      <xdr:rowOff>1190</xdr:rowOff>
    </xdr:from>
    <xdr:to>
      <xdr:col>20</xdr:col>
      <xdr:colOff>178594</xdr:colOff>
      <xdr:row>10</xdr:row>
      <xdr:rowOff>108346</xdr:rowOff>
    </xdr:to>
    <xdr:sp macro="" textlink="">
      <xdr:nvSpPr>
        <xdr:cNvPr id="39" name="BlokTextu 38"/>
        <xdr:cNvSpPr txBox="1"/>
      </xdr:nvSpPr>
      <xdr:spPr>
        <a:xfrm>
          <a:off x="10996613" y="1858565"/>
          <a:ext cx="1373981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800"/>
            <a:t>-</a:t>
          </a:r>
        </a:p>
      </xdr:txBody>
    </xdr:sp>
    <xdr:clientData/>
  </xdr:twoCellAnchor>
  <xdr:twoCellAnchor>
    <xdr:from>
      <xdr:col>19</xdr:col>
      <xdr:colOff>506015</xdr:colOff>
      <xdr:row>9</xdr:row>
      <xdr:rowOff>35719</xdr:rowOff>
    </xdr:from>
    <xdr:to>
      <xdr:col>20</xdr:col>
      <xdr:colOff>285750</xdr:colOff>
      <xdr:row>10</xdr:row>
      <xdr:rowOff>142875</xdr:rowOff>
    </xdr:to>
    <xdr:sp macro="" textlink="">
      <xdr:nvSpPr>
        <xdr:cNvPr id="40" name="BlokTextu 39"/>
        <xdr:cNvSpPr txBox="1"/>
      </xdr:nvSpPr>
      <xdr:spPr>
        <a:xfrm>
          <a:off x="12088415" y="1893094"/>
          <a:ext cx="389335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300"/>
            <a:t>+</a:t>
          </a:r>
        </a:p>
      </xdr:txBody>
    </xdr:sp>
    <xdr:clientData/>
  </xdr:twoCellAnchor>
  <xdr:twoCellAnchor>
    <xdr:from>
      <xdr:col>19</xdr:col>
      <xdr:colOff>330994</xdr:colOff>
      <xdr:row>1</xdr:row>
      <xdr:rowOff>128588</xdr:rowOff>
    </xdr:from>
    <xdr:to>
      <xdr:col>20</xdr:col>
      <xdr:colOff>266700</xdr:colOff>
      <xdr:row>3</xdr:row>
      <xdr:rowOff>9525</xdr:rowOff>
    </xdr:to>
    <xdr:sp macro="" textlink="">
      <xdr:nvSpPr>
        <xdr:cNvPr id="41" name="BlokTextu 40"/>
        <xdr:cNvSpPr txBox="1"/>
      </xdr:nvSpPr>
      <xdr:spPr>
        <a:xfrm>
          <a:off x="11913394" y="319088"/>
          <a:ext cx="545306" cy="3000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91,5</a:t>
          </a:r>
        </a:p>
      </xdr:txBody>
    </xdr:sp>
    <xdr:clientData/>
  </xdr:twoCellAnchor>
  <xdr:twoCellAnchor>
    <xdr:from>
      <xdr:col>19</xdr:col>
      <xdr:colOff>420288</xdr:colOff>
      <xdr:row>7</xdr:row>
      <xdr:rowOff>109537</xdr:rowOff>
    </xdr:from>
    <xdr:to>
      <xdr:col>20</xdr:col>
      <xdr:colOff>380999</xdr:colOff>
      <xdr:row>9</xdr:row>
      <xdr:rowOff>26193</xdr:rowOff>
    </xdr:to>
    <xdr:sp macro="" textlink="">
      <xdr:nvSpPr>
        <xdr:cNvPr id="42" name="BlokTextu 41"/>
        <xdr:cNvSpPr txBox="1"/>
      </xdr:nvSpPr>
      <xdr:spPr>
        <a:xfrm>
          <a:off x="12002688" y="1585912"/>
          <a:ext cx="570311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61</a:t>
          </a:r>
        </a:p>
      </xdr:txBody>
    </xdr:sp>
    <xdr:clientData/>
  </xdr:twoCellAnchor>
  <xdr:twoCellAnchor>
    <xdr:from>
      <xdr:col>17</xdr:col>
      <xdr:colOff>247650</xdr:colOff>
      <xdr:row>1</xdr:row>
      <xdr:rowOff>142875</xdr:rowOff>
    </xdr:from>
    <xdr:to>
      <xdr:col>18</xdr:col>
      <xdr:colOff>196454</xdr:colOff>
      <xdr:row>2</xdr:row>
      <xdr:rowOff>219075</xdr:rowOff>
    </xdr:to>
    <xdr:sp macro="" textlink="">
      <xdr:nvSpPr>
        <xdr:cNvPr id="43" name="BlokTextu 42"/>
        <xdr:cNvSpPr txBox="1"/>
      </xdr:nvSpPr>
      <xdr:spPr>
        <a:xfrm>
          <a:off x="10610850" y="333375"/>
          <a:ext cx="558404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74,5</a:t>
          </a:r>
        </a:p>
      </xdr:txBody>
    </xdr:sp>
    <xdr:clientData/>
  </xdr:twoCellAnchor>
  <xdr:twoCellAnchor>
    <xdr:from>
      <xdr:col>17</xdr:col>
      <xdr:colOff>228601</xdr:colOff>
      <xdr:row>7</xdr:row>
      <xdr:rowOff>153590</xdr:rowOff>
    </xdr:from>
    <xdr:to>
      <xdr:col>18</xdr:col>
      <xdr:colOff>194073</xdr:colOff>
      <xdr:row>9</xdr:row>
      <xdr:rowOff>190499</xdr:rowOff>
    </xdr:to>
    <xdr:sp macro="" textlink="">
      <xdr:nvSpPr>
        <xdr:cNvPr id="44" name="BlokTextu 43"/>
        <xdr:cNvSpPr txBox="1"/>
      </xdr:nvSpPr>
      <xdr:spPr>
        <a:xfrm>
          <a:off x="10591801" y="1629965"/>
          <a:ext cx="575072" cy="4179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59,5</a:t>
          </a:r>
        </a:p>
      </xdr:txBody>
    </xdr:sp>
    <xdr:clientData/>
  </xdr:twoCellAnchor>
  <xdr:twoCellAnchor>
    <xdr:from>
      <xdr:col>20</xdr:col>
      <xdr:colOff>171449</xdr:colOff>
      <xdr:row>6</xdr:row>
      <xdr:rowOff>11906</xdr:rowOff>
    </xdr:from>
    <xdr:to>
      <xdr:col>21</xdr:col>
      <xdr:colOff>85724</xdr:colOff>
      <xdr:row>7</xdr:row>
      <xdr:rowOff>119062</xdr:rowOff>
    </xdr:to>
    <xdr:sp macro="" textlink="">
      <xdr:nvSpPr>
        <xdr:cNvPr id="45" name="BlokTextu 44"/>
        <xdr:cNvSpPr txBox="1"/>
      </xdr:nvSpPr>
      <xdr:spPr>
        <a:xfrm>
          <a:off x="12363449" y="1297781"/>
          <a:ext cx="523875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75,5</a:t>
          </a:r>
        </a:p>
        <a:p>
          <a:endParaRPr lang="sk-SK" sz="1000"/>
        </a:p>
      </xdr:txBody>
    </xdr:sp>
    <xdr:clientData/>
  </xdr:twoCellAnchor>
  <xdr:twoCellAnchor>
    <xdr:from>
      <xdr:col>20</xdr:col>
      <xdr:colOff>189310</xdr:colOff>
      <xdr:row>0</xdr:row>
      <xdr:rowOff>0</xdr:rowOff>
    </xdr:from>
    <xdr:to>
      <xdr:col>21</xdr:col>
      <xdr:colOff>247650</xdr:colOff>
      <xdr:row>1</xdr:row>
      <xdr:rowOff>107156</xdr:rowOff>
    </xdr:to>
    <xdr:sp macro="" textlink="">
      <xdr:nvSpPr>
        <xdr:cNvPr id="46" name="BlokTextu 45"/>
        <xdr:cNvSpPr txBox="1"/>
      </xdr:nvSpPr>
      <xdr:spPr>
        <a:xfrm>
          <a:off x="12381310" y="0"/>
          <a:ext cx="667940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87,5</a:t>
          </a:r>
        </a:p>
      </xdr:txBody>
    </xdr:sp>
    <xdr:clientData/>
  </xdr:twoCellAnchor>
  <xdr:twoCellAnchor>
    <xdr:from>
      <xdr:col>18</xdr:col>
      <xdr:colOff>76200</xdr:colOff>
      <xdr:row>0</xdr:row>
      <xdr:rowOff>0</xdr:rowOff>
    </xdr:from>
    <xdr:to>
      <xdr:col>19</xdr:col>
      <xdr:colOff>255983</xdr:colOff>
      <xdr:row>1</xdr:row>
      <xdr:rowOff>107156</xdr:rowOff>
    </xdr:to>
    <xdr:sp macro="" textlink="">
      <xdr:nvSpPr>
        <xdr:cNvPr id="47" name="BlokTextu 46"/>
        <xdr:cNvSpPr txBox="1"/>
      </xdr:nvSpPr>
      <xdr:spPr>
        <a:xfrm>
          <a:off x="11049000" y="0"/>
          <a:ext cx="789383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58,5</a:t>
          </a:r>
        </a:p>
      </xdr:txBody>
    </xdr:sp>
    <xdr:clientData/>
  </xdr:twoCellAnchor>
  <xdr:twoCellAnchor>
    <xdr:from>
      <xdr:col>18</xdr:col>
      <xdr:colOff>102394</xdr:colOff>
      <xdr:row>6</xdr:row>
      <xdr:rowOff>11906</xdr:rowOff>
    </xdr:from>
    <xdr:to>
      <xdr:col>19</xdr:col>
      <xdr:colOff>76199</xdr:colOff>
      <xdr:row>7</xdr:row>
      <xdr:rowOff>119062</xdr:rowOff>
    </xdr:to>
    <xdr:sp macro="" textlink="">
      <xdr:nvSpPr>
        <xdr:cNvPr id="48" name="BlokTextu 47"/>
        <xdr:cNvSpPr txBox="1"/>
      </xdr:nvSpPr>
      <xdr:spPr>
        <a:xfrm>
          <a:off x="11075194" y="1297781"/>
          <a:ext cx="583405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40,5</a:t>
          </a:r>
        </a:p>
        <a:p>
          <a:endParaRPr lang="sk-SK" sz="1000"/>
        </a:p>
      </xdr:txBody>
    </xdr:sp>
    <xdr:clientData/>
  </xdr:twoCellAnchor>
  <xdr:twoCellAnchor>
    <xdr:from>
      <xdr:col>15</xdr:col>
      <xdr:colOff>228600</xdr:colOff>
      <xdr:row>3</xdr:row>
      <xdr:rowOff>200025</xdr:rowOff>
    </xdr:from>
    <xdr:to>
      <xdr:col>17</xdr:col>
      <xdr:colOff>228600</xdr:colOff>
      <xdr:row>3</xdr:row>
      <xdr:rowOff>200025</xdr:rowOff>
    </xdr:to>
    <xdr:cxnSp macro="">
      <xdr:nvCxnSpPr>
        <xdr:cNvPr id="49" name="Rovná spojovacia šípka 48"/>
        <xdr:cNvCxnSpPr/>
      </xdr:nvCxnSpPr>
      <xdr:spPr>
        <a:xfrm>
          <a:off x="9372600" y="809625"/>
          <a:ext cx="1219200" cy="0"/>
        </a:xfrm>
        <a:prstGeom prst="straightConnector1">
          <a:avLst/>
        </a:prstGeom>
        <a:ln w="38100">
          <a:solidFill>
            <a:schemeClr val="bg1">
              <a:lumMod val="85000"/>
            </a:schemeClr>
          </a:solidFill>
          <a:prstDash val="lgDashDotDot"/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133350</xdr:colOff>
      <xdr:row>2</xdr:row>
      <xdr:rowOff>9526</xdr:rowOff>
    </xdr:from>
    <xdr:to>
      <xdr:col>17</xdr:col>
      <xdr:colOff>323850</xdr:colOff>
      <xdr:row>4</xdr:row>
      <xdr:rowOff>9526</xdr:rowOff>
    </xdr:to>
    <xdr:sp macro="" textlink="">
      <xdr:nvSpPr>
        <xdr:cNvPr id="50" name="BlokTextu 49"/>
        <xdr:cNvSpPr txBox="1"/>
      </xdr:nvSpPr>
      <xdr:spPr>
        <a:xfrm>
          <a:off x="9277350" y="390526"/>
          <a:ext cx="1409700" cy="457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900" i="1">
              <a:solidFill>
                <a:schemeClr val="bg1">
                  <a:lumMod val="65000"/>
                </a:schemeClr>
              </a:solidFill>
            </a:rPr>
            <a:t>C</a:t>
          </a:r>
          <a:r>
            <a:rPr lang="sk-SK" sz="900" i="1" baseline="0">
              <a:solidFill>
                <a:schemeClr val="bg1">
                  <a:lumMod val="65000"/>
                </a:schemeClr>
              </a:solidFill>
            </a:rPr>
            <a:t> plot s priemernymi nameranymi hodnotami</a:t>
          </a:r>
          <a:endParaRPr lang="sk-SK" sz="900" i="1">
            <a:solidFill>
              <a:schemeClr val="bg1">
                <a:lumMod val="65000"/>
              </a:schemeClr>
            </a:solidFill>
          </a:endParaRPr>
        </a:p>
      </xdr:txBody>
    </xdr:sp>
    <xdr:clientData/>
  </xdr:twoCellAnchor>
  <xdr:twoCellAnchor>
    <xdr:from>
      <xdr:col>21</xdr:col>
      <xdr:colOff>95250</xdr:colOff>
      <xdr:row>1</xdr:row>
      <xdr:rowOff>0</xdr:rowOff>
    </xdr:from>
    <xdr:to>
      <xdr:col>21</xdr:col>
      <xdr:colOff>484585</xdr:colOff>
      <xdr:row>2</xdr:row>
      <xdr:rowOff>107156</xdr:rowOff>
    </xdr:to>
    <xdr:sp macro="" textlink="">
      <xdr:nvSpPr>
        <xdr:cNvPr id="51" name="BlokTextu 50"/>
        <xdr:cNvSpPr txBox="1"/>
      </xdr:nvSpPr>
      <xdr:spPr>
        <a:xfrm>
          <a:off x="12896850" y="190500"/>
          <a:ext cx="389335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300"/>
            <a:t>+</a:t>
          </a:r>
        </a:p>
      </xdr:txBody>
    </xdr:sp>
    <xdr:clientData/>
  </xdr:twoCellAnchor>
  <xdr:twoCellAnchor>
    <xdr:from>
      <xdr:col>21</xdr:col>
      <xdr:colOff>142875</xdr:colOff>
      <xdr:row>6</xdr:row>
      <xdr:rowOff>152400</xdr:rowOff>
    </xdr:from>
    <xdr:to>
      <xdr:col>21</xdr:col>
      <xdr:colOff>532210</xdr:colOff>
      <xdr:row>8</xdr:row>
      <xdr:rowOff>69056</xdr:rowOff>
    </xdr:to>
    <xdr:sp macro="" textlink="">
      <xdr:nvSpPr>
        <xdr:cNvPr id="52" name="BlokTextu 51"/>
        <xdr:cNvSpPr txBox="1"/>
      </xdr:nvSpPr>
      <xdr:spPr>
        <a:xfrm>
          <a:off x="12944475" y="1438275"/>
          <a:ext cx="389335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300"/>
            <a:t>+</a:t>
          </a:r>
        </a:p>
      </xdr:txBody>
    </xdr:sp>
    <xdr:clientData/>
  </xdr:twoCellAnchor>
  <xdr:twoCellAnchor>
    <xdr:from>
      <xdr:col>21</xdr:col>
      <xdr:colOff>161925</xdr:colOff>
      <xdr:row>5</xdr:row>
      <xdr:rowOff>0</xdr:rowOff>
    </xdr:from>
    <xdr:to>
      <xdr:col>21</xdr:col>
      <xdr:colOff>439341</xdr:colOff>
      <xdr:row>6</xdr:row>
      <xdr:rowOff>78581</xdr:rowOff>
    </xdr:to>
    <xdr:sp macro="" textlink="">
      <xdr:nvSpPr>
        <xdr:cNvPr id="53" name="BlokTextu 52"/>
        <xdr:cNvSpPr txBox="1"/>
      </xdr:nvSpPr>
      <xdr:spPr>
        <a:xfrm>
          <a:off x="12963525" y="1066800"/>
          <a:ext cx="277416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800"/>
            <a:t>-</a:t>
          </a:r>
        </a:p>
      </xdr:txBody>
    </xdr:sp>
    <xdr:clientData/>
  </xdr:twoCellAnchor>
  <xdr:twoCellAnchor>
    <xdr:from>
      <xdr:col>21</xdr:col>
      <xdr:colOff>390525</xdr:colOff>
      <xdr:row>3</xdr:row>
      <xdr:rowOff>76200</xdr:rowOff>
    </xdr:from>
    <xdr:to>
      <xdr:col>22</xdr:col>
      <xdr:colOff>190500</xdr:colOff>
      <xdr:row>4</xdr:row>
      <xdr:rowOff>147637</xdr:rowOff>
    </xdr:to>
    <xdr:sp macro="" textlink="">
      <xdr:nvSpPr>
        <xdr:cNvPr id="54" name="BlokTextu 53"/>
        <xdr:cNvSpPr txBox="1"/>
      </xdr:nvSpPr>
      <xdr:spPr>
        <a:xfrm>
          <a:off x="13192125" y="685800"/>
          <a:ext cx="409575" cy="3000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čas</a:t>
          </a:r>
        </a:p>
      </xdr:txBody>
    </xdr:sp>
    <xdr:clientData/>
  </xdr:twoCellAnchor>
  <xdr:twoCellAnchor>
    <xdr:from>
      <xdr:col>21</xdr:col>
      <xdr:colOff>161925</xdr:colOff>
      <xdr:row>8</xdr:row>
      <xdr:rowOff>95250</xdr:rowOff>
    </xdr:from>
    <xdr:to>
      <xdr:col>22</xdr:col>
      <xdr:colOff>219075</xdr:colOff>
      <xdr:row>10</xdr:row>
      <xdr:rowOff>11906</xdr:rowOff>
    </xdr:to>
    <xdr:sp macro="" textlink="">
      <xdr:nvSpPr>
        <xdr:cNvPr id="55" name="BlokTextu 54"/>
        <xdr:cNvSpPr txBox="1"/>
      </xdr:nvSpPr>
      <xdr:spPr>
        <a:xfrm>
          <a:off x="12963525" y="1762125"/>
          <a:ext cx="666750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teplota</a:t>
          </a:r>
        </a:p>
      </xdr:txBody>
    </xdr:sp>
    <xdr:clientData/>
  </xdr:twoCellAnchor>
  <xdr:twoCellAnchor>
    <xdr:from>
      <xdr:col>11</xdr:col>
      <xdr:colOff>11906</xdr:colOff>
      <xdr:row>2</xdr:row>
      <xdr:rowOff>148828</xdr:rowOff>
    </xdr:from>
    <xdr:to>
      <xdr:col>13</xdr:col>
      <xdr:colOff>83343</xdr:colOff>
      <xdr:row>8</xdr:row>
      <xdr:rowOff>154781</xdr:rowOff>
    </xdr:to>
    <xdr:sp macro="" textlink="">
      <xdr:nvSpPr>
        <xdr:cNvPr id="56" name="Obdĺžnik 55"/>
        <xdr:cNvSpPr/>
      </xdr:nvSpPr>
      <xdr:spPr>
        <a:xfrm>
          <a:off x="6717506" y="529828"/>
          <a:ext cx="1290637" cy="1291828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11</xdr:col>
      <xdr:colOff>464344</xdr:colOff>
      <xdr:row>1</xdr:row>
      <xdr:rowOff>41673</xdr:rowOff>
    </xdr:from>
    <xdr:to>
      <xdr:col>13</xdr:col>
      <xdr:colOff>535781</xdr:colOff>
      <xdr:row>7</xdr:row>
      <xdr:rowOff>47626</xdr:rowOff>
    </xdr:to>
    <xdr:sp macro="" textlink="">
      <xdr:nvSpPr>
        <xdr:cNvPr id="57" name="Obdĺžnik 56"/>
        <xdr:cNvSpPr/>
      </xdr:nvSpPr>
      <xdr:spPr>
        <a:xfrm>
          <a:off x="7169944" y="232173"/>
          <a:ext cx="1290637" cy="1291828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11</xdr:col>
      <xdr:colOff>0</xdr:colOff>
      <xdr:row>1</xdr:row>
      <xdr:rowOff>41672</xdr:rowOff>
    </xdr:from>
    <xdr:to>
      <xdr:col>11</xdr:col>
      <xdr:colOff>458391</xdr:colOff>
      <xdr:row>2</xdr:row>
      <xdr:rowOff>142875</xdr:rowOff>
    </xdr:to>
    <xdr:cxnSp macro="">
      <xdr:nvCxnSpPr>
        <xdr:cNvPr id="58" name="Rovná spojnica 57"/>
        <xdr:cNvCxnSpPr/>
      </xdr:nvCxnSpPr>
      <xdr:spPr>
        <a:xfrm flipV="1">
          <a:off x="6705600" y="232172"/>
          <a:ext cx="458391" cy="291703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69056</xdr:colOff>
      <xdr:row>1</xdr:row>
      <xdr:rowOff>51197</xdr:rowOff>
    </xdr:from>
    <xdr:to>
      <xdr:col>13</xdr:col>
      <xdr:colOff>527447</xdr:colOff>
      <xdr:row>2</xdr:row>
      <xdr:rowOff>152400</xdr:rowOff>
    </xdr:to>
    <xdr:cxnSp macro="">
      <xdr:nvCxnSpPr>
        <xdr:cNvPr id="59" name="Rovná spojnica 58"/>
        <xdr:cNvCxnSpPr/>
      </xdr:nvCxnSpPr>
      <xdr:spPr>
        <a:xfrm flipV="1">
          <a:off x="7993856" y="241697"/>
          <a:ext cx="458391" cy="291703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71438</xdr:colOff>
      <xdr:row>7</xdr:row>
      <xdr:rowOff>47625</xdr:rowOff>
    </xdr:from>
    <xdr:to>
      <xdr:col>13</xdr:col>
      <xdr:colOff>529829</xdr:colOff>
      <xdr:row>8</xdr:row>
      <xdr:rowOff>148828</xdr:rowOff>
    </xdr:to>
    <xdr:cxnSp macro="">
      <xdr:nvCxnSpPr>
        <xdr:cNvPr id="60" name="Rovná spojnica 59"/>
        <xdr:cNvCxnSpPr/>
      </xdr:nvCxnSpPr>
      <xdr:spPr>
        <a:xfrm flipV="1">
          <a:off x="7996238" y="1524000"/>
          <a:ext cx="458391" cy="291703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17860</xdr:colOff>
      <xdr:row>7</xdr:row>
      <xdr:rowOff>29766</xdr:rowOff>
    </xdr:from>
    <xdr:to>
      <xdr:col>11</xdr:col>
      <xdr:colOff>476251</xdr:colOff>
      <xdr:row>8</xdr:row>
      <xdr:rowOff>130969</xdr:rowOff>
    </xdr:to>
    <xdr:cxnSp macro="">
      <xdr:nvCxnSpPr>
        <xdr:cNvPr id="61" name="Rovná spojnica 60"/>
        <xdr:cNvCxnSpPr/>
      </xdr:nvCxnSpPr>
      <xdr:spPr>
        <a:xfrm flipV="1">
          <a:off x="6723460" y="1506141"/>
          <a:ext cx="458391" cy="291703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321468</xdr:colOff>
      <xdr:row>9</xdr:row>
      <xdr:rowOff>184547</xdr:rowOff>
    </xdr:from>
    <xdr:to>
      <xdr:col>12</xdr:col>
      <xdr:colOff>523874</xdr:colOff>
      <xdr:row>10</xdr:row>
      <xdr:rowOff>5954</xdr:rowOff>
    </xdr:to>
    <xdr:cxnSp macro="">
      <xdr:nvCxnSpPr>
        <xdr:cNvPr id="62" name="Rovná spojovacia šípka 61"/>
        <xdr:cNvCxnSpPr/>
      </xdr:nvCxnSpPr>
      <xdr:spPr>
        <a:xfrm flipV="1">
          <a:off x="7027068" y="2041922"/>
          <a:ext cx="812006" cy="11907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309561</xdr:colOff>
      <xdr:row>10</xdr:row>
      <xdr:rowOff>65484</xdr:rowOff>
    </xdr:from>
    <xdr:to>
      <xdr:col>13</xdr:col>
      <xdr:colOff>464342</xdr:colOff>
      <xdr:row>11</xdr:row>
      <xdr:rowOff>172640</xdr:rowOff>
    </xdr:to>
    <xdr:sp macro="" textlink="">
      <xdr:nvSpPr>
        <xdr:cNvPr id="63" name="BlokTextu 62"/>
        <xdr:cNvSpPr txBox="1"/>
      </xdr:nvSpPr>
      <xdr:spPr>
        <a:xfrm>
          <a:off x="7015161" y="2113359"/>
          <a:ext cx="1373981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prací</a:t>
          </a:r>
          <a:r>
            <a:rPr lang="sk-SK" sz="1100" baseline="0"/>
            <a:t> prášok</a:t>
          </a:r>
          <a:endParaRPr lang="sk-SK" sz="1100"/>
        </a:p>
      </xdr:txBody>
    </xdr:sp>
    <xdr:clientData/>
  </xdr:twoCellAnchor>
  <xdr:twoCellAnchor>
    <xdr:from>
      <xdr:col>13</xdr:col>
      <xdr:colOff>440531</xdr:colOff>
      <xdr:row>7</xdr:row>
      <xdr:rowOff>178595</xdr:rowOff>
    </xdr:from>
    <xdr:to>
      <xdr:col>14</xdr:col>
      <xdr:colOff>202406</xdr:colOff>
      <xdr:row>9</xdr:row>
      <xdr:rowOff>47625</xdr:rowOff>
    </xdr:to>
    <xdr:cxnSp macro="">
      <xdr:nvCxnSpPr>
        <xdr:cNvPr id="64" name="Rovná spojovacia šípka 63"/>
        <xdr:cNvCxnSpPr/>
      </xdr:nvCxnSpPr>
      <xdr:spPr>
        <a:xfrm flipV="1">
          <a:off x="8365331" y="1654970"/>
          <a:ext cx="371475" cy="25003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77390</xdr:colOff>
      <xdr:row>8</xdr:row>
      <xdr:rowOff>23812</xdr:rowOff>
    </xdr:from>
    <xdr:to>
      <xdr:col>16</xdr:col>
      <xdr:colOff>232172</xdr:colOff>
      <xdr:row>9</xdr:row>
      <xdr:rowOff>130968</xdr:rowOff>
    </xdr:to>
    <xdr:sp macro="" textlink="">
      <xdr:nvSpPr>
        <xdr:cNvPr id="65" name="BlokTextu 64"/>
        <xdr:cNvSpPr txBox="1"/>
      </xdr:nvSpPr>
      <xdr:spPr>
        <a:xfrm>
          <a:off x="8611790" y="1690687"/>
          <a:ext cx="1373982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teplota</a:t>
          </a:r>
        </a:p>
      </xdr:txBody>
    </xdr:sp>
    <xdr:clientData/>
  </xdr:twoCellAnchor>
  <xdr:twoCellAnchor>
    <xdr:from>
      <xdr:col>14</xdr:col>
      <xdr:colOff>273843</xdr:colOff>
      <xdr:row>2</xdr:row>
      <xdr:rowOff>71440</xdr:rowOff>
    </xdr:from>
    <xdr:to>
      <xdr:col>14</xdr:col>
      <xdr:colOff>285749</xdr:colOff>
      <xdr:row>5</xdr:row>
      <xdr:rowOff>125016</xdr:rowOff>
    </xdr:to>
    <xdr:cxnSp macro="">
      <xdr:nvCxnSpPr>
        <xdr:cNvPr id="66" name="Rovná spojovacia šípka 65"/>
        <xdr:cNvCxnSpPr/>
      </xdr:nvCxnSpPr>
      <xdr:spPr>
        <a:xfrm>
          <a:off x="8808243" y="452440"/>
          <a:ext cx="11906" cy="739376"/>
        </a:xfrm>
        <a:prstGeom prst="straightConnector1">
          <a:avLst/>
        </a:prstGeom>
        <a:ln>
          <a:headEnd type="triangl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369093</xdr:colOff>
      <xdr:row>3</xdr:row>
      <xdr:rowOff>83343</xdr:rowOff>
    </xdr:from>
    <xdr:to>
      <xdr:col>15</xdr:col>
      <xdr:colOff>142875</xdr:colOff>
      <xdr:row>4</xdr:row>
      <xdr:rowOff>154780</xdr:rowOff>
    </xdr:to>
    <xdr:sp macro="" textlink="">
      <xdr:nvSpPr>
        <xdr:cNvPr id="67" name="BlokTextu 66"/>
        <xdr:cNvSpPr txBox="1"/>
      </xdr:nvSpPr>
      <xdr:spPr>
        <a:xfrm>
          <a:off x="8903493" y="692943"/>
          <a:ext cx="383382" cy="3000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čas</a:t>
          </a:r>
        </a:p>
      </xdr:txBody>
    </xdr:sp>
    <xdr:clientData/>
  </xdr:twoCellAnchor>
  <xdr:twoCellAnchor>
    <xdr:from>
      <xdr:col>14</xdr:col>
      <xdr:colOff>166687</xdr:colOff>
      <xdr:row>5</xdr:row>
      <xdr:rowOff>23813</xdr:rowOff>
    </xdr:from>
    <xdr:to>
      <xdr:col>16</xdr:col>
      <xdr:colOff>321469</xdr:colOff>
      <xdr:row>6</xdr:row>
      <xdr:rowOff>101203</xdr:rowOff>
    </xdr:to>
    <xdr:sp macro="" textlink="">
      <xdr:nvSpPr>
        <xdr:cNvPr id="68" name="BlokTextu 67"/>
        <xdr:cNvSpPr txBox="1"/>
      </xdr:nvSpPr>
      <xdr:spPr>
        <a:xfrm>
          <a:off x="8701087" y="1090613"/>
          <a:ext cx="1373982" cy="296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800"/>
            <a:t>-</a:t>
          </a:r>
        </a:p>
      </xdr:txBody>
    </xdr:sp>
    <xdr:clientData/>
  </xdr:twoCellAnchor>
  <xdr:twoCellAnchor>
    <xdr:from>
      <xdr:col>13</xdr:col>
      <xdr:colOff>208359</xdr:colOff>
      <xdr:row>8</xdr:row>
      <xdr:rowOff>107156</xdr:rowOff>
    </xdr:from>
    <xdr:to>
      <xdr:col>13</xdr:col>
      <xdr:colOff>485775</xdr:colOff>
      <xdr:row>10</xdr:row>
      <xdr:rowOff>23812</xdr:rowOff>
    </xdr:to>
    <xdr:sp macro="" textlink="">
      <xdr:nvSpPr>
        <xdr:cNvPr id="69" name="BlokTextu 68"/>
        <xdr:cNvSpPr txBox="1"/>
      </xdr:nvSpPr>
      <xdr:spPr>
        <a:xfrm>
          <a:off x="8133159" y="1774031"/>
          <a:ext cx="277416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800"/>
            <a:t>-</a:t>
          </a:r>
        </a:p>
      </xdr:txBody>
    </xdr:sp>
    <xdr:clientData/>
  </xdr:twoCellAnchor>
  <xdr:twoCellAnchor>
    <xdr:from>
      <xdr:col>11</xdr:col>
      <xdr:colOff>23813</xdr:colOff>
      <xdr:row>8</xdr:row>
      <xdr:rowOff>182165</xdr:rowOff>
    </xdr:from>
    <xdr:to>
      <xdr:col>11</xdr:col>
      <xdr:colOff>304800</xdr:colOff>
      <xdr:row>10</xdr:row>
      <xdr:rowOff>98821</xdr:rowOff>
    </xdr:to>
    <xdr:sp macro="" textlink="">
      <xdr:nvSpPr>
        <xdr:cNvPr id="70" name="BlokTextu 69"/>
        <xdr:cNvSpPr txBox="1"/>
      </xdr:nvSpPr>
      <xdr:spPr>
        <a:xfrm>
          <a:off x="6729413" y="1849040"/>
          <a:ext cx="280987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800"/>
            <a:t>-</a:t>
          </a:r>
        </a:p>
      </xdr:txBody>
    </xdr:sp>
    <xdr:clientData/>
  </xdr:twoCellAnchor>
  <xdr:twoCellAnchor>
    <xdr:from>
      <xdr:col>12</xdr:col>
      <xdr:colOff>506015</xdr:colOff>
      <xdr:row>9</xdr:row>
      <xdr:rowOff>35719</xdr:rowOff>
    </xdr:from>
    <xdr:to>
      <xdr:col>13</xdr:col>
      <xdr:colOff>285750</xdr:colOff>
      <xdr:row>10</xdr:row>
      <xdr:rowOff>142875</xdr:rowOff>
    </xdr:to>
    <xdr:sp macro="" textlink="">
      <xdr:nvSpPr>
        <xdr:cNvPr id="71" name="BlokTextu 70"/>
        <xdr:cNvSpPr txBox="1"/>
      </xdr:nvSpPr>
      <xdr:spPr>
        <a:xfrm>
          <a:off x="7821215" y="1893094"/>
          <a:ext cx="389335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300"/>
            <a:t>+</a:t>
          </a:r>
        </a:p>
      </xdr:txBody>
    </xdr:sp>
    <xdr:clientData/>
  </xdr:twoCellAnchor>
  <xdr:twoCellAnchor>
    <xdr:from>
      <xdr:col>14</xdr:col>
      <xdr:colOff>142874</xdr:colOff>
      <xdr:row>6</xdr:row>
      <xdr:rowOff>154781</xdr:rowOff>
    </xdr:from>
    <xdr:to>
      <xdr:col>16</xdr:col>
      <xdr:colOff>297656</xdr:colOff>
      <xdr:row>8</xdr:row>
      <xdr:rowOff>71437</xdr:rowOff>
    </xdr:to>
    <xdr:sp macro="" textlink="">
      <xdr:nvSpPr>
        <xdr:cNvPr id="72" name="BlokTextu 71"/>
        <xdr:cNvSpPr txBox="1"/>
      </xdr:nvSpPr>
      <xdr:spPr>
        <a:xfrm>
          <a:off x="8677274" y="1440656"/>
          <a:ext cx="1373982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300"/>
            <a:t>+</a:t>
          </a:r>
        </a:p>
      </xdr:txBody>
    </xdr:sp>
    <xdr:clientData/>
  </xdr:twoCellAnchor>
  <xdr:twoCellAnchor>
    <xdr:from>
      <xdr:col>14</xdr:col>
      <xdr:colOff>130968</xdr:colOff>
      <xdr:row>1</xdr:row>
      <xdr:rowOff>0</xdr:rowOff>
    </xdr:from>
    <xdr:to>
      <xdr:col>16</xdr:col>
      <xdr:colOff>285750</xdr:colOff>
      <xdr:row>2</xdr:row>
      <xdr:rowOff>107156</xdr:rowOff>
    </xdr:to>
    <xdr:sp macro="" textlink="">
      <xdr:nvSpPr>
        <xdr:cNvPr id="73" name="BlokTextu 72"/>
        <xdr:cNvSpPr txBox="1"/>
      </xdr:nvSpPr>
      <xdr:spPr>
        <a:xfrm>
          <a:off x="8665368" y="190500"/>
          <a:ext cx="1373982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300"/>
            <a:t>+</a:t>
          </a:r>
        </a:p>
      </xdr:txBody>
    </xdr:sp>
    <xdr:clientData/>
  </xdr:twoCellAnchor>
  <xdr:twoCellAnchor>
    <xdr:from>
      <xdr:col>12</xdr:col>
      <xdr:colOff>283369</xdr:colOff>
      <xdr:row>1</xdr:row>
      <xdr:rowOff>109538</xdr:rowOff>
    </xdr:from>
    <xdr:to>
      <xdr:col>13</xdr:col>
      <xdr:colOff>219075</xdr:colOff>
      <xdr:row>2</xdr:row>
      <xdr:rowOff>219075</xdr:rowOff>
    </xdr:to>
    <xdr:sp macro="" textlink="">
      <xdr:nvSpPr>
        <xdr:cNvPr id="74" name="BlokTextu 73"/>
        <xdr:cNvSpPr txBox="1"/>
      </xdr:nvSpPr>
      <xdr:spPr>
        <a:xfrm>
          <a:off x="7598569" y="300038"/>
          <a:ext cx="545306" cy="3000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92;</a:t>
          </a:r>
          <a:r>
            <a:rPr lang="sk-SK" sz="1000" baseline="0"/>
            <a:t> </a:t>
          </a:r>
          <a:r>
            <a:rPr lang="sk-SK" sz="1000"/>
            <a:t>91</a:t>
          </a:r>
        </a:p>
      </xdr:txBody>
    </xdr:sp>
    <xdr:clientData/>
  </xdr:twoCellAnchor>
  <xdr:twoCellAnchor>
    <xdr:from>
      <xdr:col>12</xdr:col>
      <xdr:colOff>239313</xdr:colOff>
      <xdr:row>7</xdr:row>
      <xdr:rowOff>119062</xdr:rowOff>
    </xdr:from>
    <xdr:to>
      <xdr:col>13</xdr:col>
      <xdr:colOff>200024</xdr:colOff>
      <xdr:row>9</xdr:row>
      <xdr:rowOff>35718</xdr:rowOff>
    </xdr:to>
    <xdr:sp macro="" textlink="">
      <xdr:nvSpPr>
        <xdr:cNvPr id="75" name="BlokTextu 74"/>
        <xdr:cNvSpPr txBox="1"/>
      </xdr:nvSpPr>
      <xdr:spPr>
        <a:xfrm>
          <a:off x="7554513" y="1595437"/>
          <a:ext cx="570311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60;</a:t>
          </a:r>
          <a:r>
            <a:rPr lang="sk-SK" sz="1000" baseline="0"/>
            <a:t> </a:t>
          </a:r>
          <a:r>
            <a:rPr lang="sk-SK" sz="1000"/>
            <a:t>62</a:t>
          </a:r>
        </a:p>
      </xdr:txBody>
    </xdr:sp>
    <xdr:clientData/>
  </xdr:twoCellAnchor>
  <xdr:twoCellAnchor>
    <xdr:from>
      <xdr:col>10</xdr:col>
      <xdr:colOff>200025</xdr:colOff>
      <xdr:row>1</xdr:row>
      <xdr:rowOff>142875</xdr:rowOff>
    </xdr:from>
    <xdr:to>
      <xdr:col>11</xdr:col>
      <xdr:colOff>148829</xdr:colOff>
      <xdr:row>2</xdr:row>
      <xdr:rowOff>219075</xdr:rowOff>
    </xdr:to>
    <xdr:sp macro="" textlink="">
      <xdr:nvSpPr>
        <xdr:cNvPr id="76" name="BlokTextu 75"/>
        <xdr:cNvSpPr txBox="1"/>
      </xdr:nvSpPr>
      <xdr:spPr>
        <a:xfrm>
          <a:off x="6296025" y="333375"/>
          <a:ext cx="558404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73;76</a:t>
          </a:r>
        </a:p>
      </xdr:txBody>
    </xdr:sp>
    <xdr:clientData/>
  </xdr:twoCellAnchor>
  <xdr:twoCellAnchor>
    <xdr:from>
      <xdr:col>10</xdr:col>
      <xdr:colOff>152401</xdr:colOff>
      <xdr:row>7</xdr:row>
      <xdr:rowOff>105965</xdr:rowOff>
    </xdr:from>
    <xdr:to>
      <xdr:col>11</xdr:col>
      <xdr:colOff>117873</xdr:colOff>
      <xdr:row>9</xdr:row>
      <xdr:rowOff>142874</xdr:rowOff>
    </xdr:to>
    <xdr:sp macro="" textlink="">
      <xdr:nvSpPr>
        <xdr:cNvPr id="77" name="BlokTextu 76"/>
        <xdr:cNvSpPr txBox="1"/>
      </xdr:nvSpPr>
      <xdr:spPr>
        <a:xfrm>
          <a:off x="6248401" y="1582340"/>
          <a:ext cx="575072" cy="4179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60;</a:t>
          </a:r>
          <a:r>
            <a:rPr lang="sk-SK" sz="1000" baseline="0"/>
            <a:t> </a:t>
          </a:r>
          <a:r>
            <a:rPr lang="sk-SK" sz="1000"/>
            <a:t>59</a:t>
          </a:r>
        </a:p>
      </xdr:txBody>
    </xdr:sp>
    <xdr:clientData/>
  </xdr:twoCellAnchor>
  <xdr:twoCellAnchor>
    <xdr:from>
      <xdr:col>13</xdr:col>
      <xdr:colOff>85724</xdr:colOff>
      <xdr:row>6</xdr:row>
      <xdr:rowOff>11906</xdr:rowOff>
    </xdr:from>
    <xdr:to>
      <xdr:col>13</xdr:col>
      <xdr:colOff>609599</xdr:colOff>
      <xdr:row>7</xdr:row>
      <xdr:rowOff>119062</xdr:rowOff>
    </xdr:to>
    <xdr:sp macro="" textlink="">
      <xdr:nvSpPr>
        <xdr:cNvPr id="78" name="BlokTextu 77"/>
        <xdr:cNvSpPr txBox="1"/>
      </xdr:nvSpPr>
      <xdr:spPr>
        <a:xfrm>
          <a:off x="8010524" y="1297781"/>
          <a:ext cx="523875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75;</a:t>
          </a:r>
          <a:r>
            <a:rPr lang="sk-SK" sz="1000" baseline="0"/>
            <a:t> </a:t>
          </a:r>
          <a:r>
            <a:rPr lang="sk-SK" sz="1000"/>
            <a:t>76</a:t>
          </a:r>
        </a:p>
        <a:p>
          <a:endParaRPr lang="sk-SK" sz="1000"/>
        </a:p>
      </xdr:txBody>
    </xdr:sp>
    <xdr:clientData/>
  </xdr:twoCellAnchor>
  <xdr:twoCellAnchor>
    <xdr:from>
      <xdr:col>13</xdr:col>
      <xdr:colOff>94060</xdr:colOff>
      <xdr:row>0</xdr:row>
      <xdr:rowOff>0</xdr:rowOff>
    </xdr:from>
    <xdr:to>
      <xdr:col>14</xdr:col>
      <xdr:colOff>152400</xdr:colOff>
      <xdr:row>1</xdr:row>
      <xdr:rowOff>107156</xdr:rowOff>
    </xdr:to>
    <xdr:sp macro="" textlink="">
      <xdr:nvSpPr>
        <xdr:cNvPr id="79" name="BlokTextu 78"/>
        <xdr:cNvSpPr txBox="1"/>
      </xdr:nvSpPr>
      <xdr:spPr>
        <a:xfrm>
          <a:off x="8018860" y="0"/>
          <a:ext cx="667940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87; 88</a:t>
          </a:r>
        </a:p>
      </xdr:txBody>
    </xdr:sp>
    <xdr:clientData/>
  </xdr:twoCellAnchor>
  <xdr:twoCellAnchor>
    <xdr:from>
      <xdr:col>11</xdr:col>
      <xdr:colOff>76200</xdr:colOff>
      <xdr:row>0</xdr:row>
      <xdr:rowOff>0</xdr:rowOff>
    </xdr:from>
    <xdr:to>
      <xdr:col>12</xdr:col>
      <xdr:colOff>255983</xdr:colOff>
      <xdr:row>1</xdr:row>
      <xdr:rowOff>107156</xdr:rowOff>
    </xdr:to>
    <xdr:sp macro="" textlink="">
      <xdr:nvSpPr>
        <xdr:cNvPr id="80" name="BlokTextu 79"/>
        <xdr:cNvSpPr txBox="1"/>
      </xdr:nvSpPr>
      <xdr:spPr>
        <a:xfrm>
          <a:off x="6781800" y="0"/>
          <a:ext cx="789383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59; 58</a:t>
          </a:r>
        </a:p>
      </xdr:txBody>
    </xdr:sp>
    <xdr:clientData/>
  </xdr:twoCellAnchor>
  <xdr:twoCellAnchor>
    <xdr:from>
      <xdr:col>11</xdr:col>
      <xdr:colOff>45244</xdr:colOff>
      <xdr:row>6</xdr:row>
      <xdr:rowOff>2381</xdr:rowOff>
    </xdr:from>
    <xdr:to>
      <xdr:col>12</xdr:col>
      <xdr:colOff>19049</xdr:colOff>
      <xdr:row>7</xdr:row>
      <xdr:rowOff>109537</xdr:rowOff>
    </xdr:to>
    <xdr:sp macro="" textlink="">
      <xdr:nvSpPr>
        <xdr:cNvPr id="81" name="BlokTextu 80"/>
        <xdr:cNvSpPr txBox="1"/>
      </xdr:nvSpPr>
      <xdr:spPr>
        <a:xfrm>
          <a:off x="6750844" y="1288256"/>
          <a:ext cx="583405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42;</a:t>
          </a:r>
          <a:r>
            <a:rPr lang="sk-SK" sz="1000" baseline="0"/>
            <a:t> </a:t>
          </a:r>
          <a:r>
            <a:rPr lang="sk-SK" sz="1000"/>
            <a:t>39</a:t>
          </a:r>
        </a:p>
      </xdr:txBody>
    </xdr:sp>
    <xdr:clientData/>
  </xdr:twoCellAnchor>
  <xdr:twoCellAnchor>
    <xdr:from>
      <xdr:col>18</xdr:col>
      <xdr:colOff>11906</xdr:colOff>
      <xdr:row>2</xdr:row>
      <xdr:rowOff>148828</xdr:rowOff>
    </xdr:from>
    <xdr:to>
      <xdr:col>20</xdr:col>
      <xdr:colOff>83343</xdr:colOff>
      <xdr:row>8</xdr:row>
      <xdr:rowOff>154781</xdr:rowOff>
    </xdr:to>
    <xdr:sp macro="" textlink="">
      <xdr:nvSpPr>
        <xdr:cNvPr id="82" name="Obdĺžnik 81"/>
        <xdr:cNvSpPr/>
      </xdr:nvSpPr>
      <xdr:spPr>
        <a:xfrm>
          <a:off x="10984706" y="529828"/>
          <a:ext cx="1290637" cy="1291828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18</xdr:col>
      <xdr:colOff>464344</xdr:colOff>
      <xdr:row>1</xdr:row>
      <xdr:rowOff>41673</xdr:rowOff>
    </xdr:from>
    <xdr:to>
      <xdr:col>20</xdr:col>
      <xdr:colOff>535781</xdr:colOff>
      <xdr:row>7</xdr:row>
      <xdr:rowOff>47626</xdr:rowOff>
    </xdr:to>
    <xdr:sp macro="" textlink="">
      <xdr:nvSpPr>
        <xdr:cNvPr id="83" name="Obdĺžnik 82"/>
        <xdr:cNvSpPr/>
      </xdr:nvSpPr>
      <xdr:spPr>
        <a:xfrm>
          <a:off x="11437144" y="232173"/>
          <a:ext cx="1290637" cy="1291828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18</xdr:col>
      <xdr:colOff>0</xdr:colOff>
      <xdr:row>1</xdr:row>
      <xdr:rowOff>41672</xdr:rowOff>
    </xdr:from>
    <xdr:to>
      <xdr:col>18</xdr:col>
      <xdr:colOff>458391</xdr:colOff>
      <xdr:row>2</xdr:row>
      <xdr:rowOff>142875</xdr:rowOff>
    </xdr:to>
    <xdr:cxnSp macro="">
      <xdr:nvCxnSpPr>
        <xdr:cNvPr id="84" name="Rovná spojnica 83"/>
        <xdr:cNvCxnSpPr/>
      </xdr:nvCxnSpPr>
      <xdr:spPr>
        <a:xfrm flipV="1">
          <a:off x="10972800" y="232172"/>
          <a:ext cx="458391" cy="291703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69056</xdr:colOff>
      <xdr:row>1</xdr:row>
      <xdr:rowOff>51197</xdr:rowOff>
    </xdr:from>
    <xdr:to>
      <xdr:col>20</xdr:col>
      <xdr:colOff>527447</xdr:colOff>
      <xdr:row>2</xdr:row>
      <xdr:rowOff>152400</xdr:rowOff>
    </xdr:to>
    <xdr:cxnSp macro="">
      <xdr:nvCxnSpPr>
        <xdr:cNvPr id="85" name="Rovná spojnica 84"/>
        <xdr:cNvCxnSpPr/>
      </xdr:nvCxnSpPr>
      <xdr:spPr>
        <a:xfrm flipV="1">
          <a:off x="12261056" y="241697"/>
          <a:ext cx="458391" cy="291703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71438</xdr:colOff>
      <xdr:row>7</xdr:row>
      <xdr:rowOff>47625</xdr:rowOff>
    </xdr:from>
    <xdr:to>
      <xdr:col>20</xdr:col>
      <xdr:colOff>529829</xdr:colOff>
      <xdr:row>8</xdr:row>
      <xdr:rowOff>148828</xdr:rowOff>
    </xdr:to>
    <xdr:cxnSp macro="">
      <xdr:nvCxnSpPr>
        <xdr:cNvPr id="86" name="Rovná spojnica 85"/>
        <xdr:cNvCxnSpPr/>
      </xdr:nvCxnSpPr>
      <xdr:spPr>
        <a:xfrm flipV="1">
          <a:off x="12263438" y="1524000"/>
          <a:ext cx="458391" cy="291703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17860</xdr:colOff>
      <xdr:row>7</xdr:row>
      <xdr:rowOff>29766</xdr:rowOff>
    </xdr:from>
    <xdr:to>
      <xdr:col>18</xdr:col>
      <xdr:colOff>476251</xdr:colOff>
      <xdr:row>8</xdr:row>
      <xdr:rowOff>130969</xdr:rowOff>
    </xdr:to>
    <xdr:cxnSp macro="">
      <xdr:nvCxnSpPr>
        <xdr:cNvPr id="87" name="Rovná spojnica 86"/>
        <xdr:cNvCxnSpPr/>
      </xdr:nvCxnSpPr>
      <xdr:spPr>
        <a:xfrm flipV="1">
          <a:off x="10990660" y="1506141"/>
          <a:ext cx="458391" cy="291703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321468</xdr:colOff>
      <xdr:row>9</xdr:row>
      <xdr:rowOff>184547</xdr:rowOff>
    </xdr:from>
    <xdr:to>
      <xdr:col>19</xdr:col>
      <xdr:colOff>523874</xdr:colOff>
      <xdr:row>10</xdr:row>
      <xdr:rowOff>5954</xdr:rowOff>
    </xdr:to>
    <xdr:cxnSp macro="">
      <xdr:nvCxnSpPr>
        <xdr:cNvPr id="88" name="Rovná spojovacia šípka 87"/>
        <xdr:cNvCxnSpPr/>
      </xdr:nvCxnSpPr>
      <xdr:spPr>
        <a:xfrm flipV="1">
          <a:off x="11294268" y="2041922"/>
          <a:ext cx="812006" cy="11907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309561</xdr:colOff>
      <xdr:row>10</xdr:row>
      <xdr:rowOff>65484</xdr:rowOff>
    </xdr:from>
    <xdr:to>
      <xdr:col>20</xdr:col>
      <xdr:colOff>464342</xdr:colOff>
      <xdr:row>11</xdr:row>
      <xdr:rowOff>172640</xdr:rowOff>
    </xdr:to>
    <xdr:sp macro="" textlink="">
      <xdr:nvSpPr>
        <xdr:cNvPr id="89" name="BlokTextu 88"/>
        <xdr:cNvSpPr txBox="1"/>
      </xdr:nvSpPr>
      <xdr:spPr>
        <a:xfrm>
          <a:off x="11282361" y="2113359"/>
          <a:ext cx="1373981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prací</a:t>
          </a:r>
          <a:r>
            <a:rPr lang="sk-SK" sz="1100" baseline="0"/>
            <a:t> prášok</a:t>
          </a:r>
          <a:endParaRPr lang="sk-SK" sz="1100"/>
        </a:p>
      </xdr:txBody>
    </xdr:sp>
    <xdr:clientData/>
  </xdr:twoCellAnchor>
  <xdr:twoCellAnchor>
    <xdr:from>
      <xdr:col>20</xdr:col>
      <xdr:colOff>440531</xdr:colOff>
      <xdr:row>7</xdr:row>
      <xdr:rowOff>178595</xdr:rowOff>
    </xdr:from>
    <xdr:to>
      <xdr:col>21</xdr:col>
      <xdr:colOff>202406</xdr:colOff>
      <xdr:row>9</xdr:row>
      <xdr:rowOff>47625</xdr:rowOff>
    </xdr:to>
    <xdr:cxnSp macro="">
      <xdr:nvCxnSpPr>
        <xdr:cNvPr id="90" name="Rovná spojovacia šípka 89"/>
        <xdr:cNvCxnSpPr/>
      </xdr:nvCxnSpPr>
      <xdr:spPr>
        <a:xfrm flipV="1">
          <a:off x="12632531" y="1654970"/>
          <a:ext cx="371475" cy="25003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273843</xdr:colOff>
      <xdr:row>2</xdr:row>
      <xdr:rowOff>71440</xdr:rowOff>
    </xdr:from>
    <xdr:to>
      <xdr:col>21</xdr:col>
      <xdr:colOff>285749</xdr:colOff>
      <xdr:row>5</xdr:row>
      <xdr:rowOff>125016</xdr:rowOff>
    </xdr:to>
    <xdr:cxnSp macro="">
      <xdr:nvCxnSpPr>
        <xdr:cNvPr id="91" name="Rovná spojovacia šípka 90"/>
        <xdr:cNvCxnSpPr/>
      </xdr:nvCxnSpPr>
      <xdr:spPr>
        <a:xfrm>
          <a:off x="13075443" y="452440"/>
          <a:ext cx="11906" cy="739376"/>
        </a:xfrm>
        <a:prstGeom prst="straightConnector1">
          <a:avLst/>
        </a:prstGeom>
        <a:ln>
          <a:headEnd type="triangl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208359</xdr:colOff>
      <xdr:row>8</xdr:row>
      <xdr:rowOff>107156</xdr:rowOff>
    </xdr:from>
    <xdr:to>
      <xdr:col>20</xdr:col>
      <xdr:colOff>485775</xdr:colOff>
      <xdr:row>10</xdr:row>
      <xdr:rowOff>23812</xdr:rowOff>
    </xdr:to>
    <xdr:sp macro="" textlink="">
      <xdr:nvSpPr>
        <xdr:cNvPr id="92" name="BlokTextu 91"/>
        <xdr:cNvSpPr txBox="1"/>
      </xdr:nvSpPr>
      <xdr:spPr>
        <a:xfrm>
          <a:off x="12400359" y="1774031"/>
          <a:ext cx="277416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800"/>
            <a:t>-</a:t>
          </a:r>
        </a:p>
      </xdr:txBody>
    </xdr:sp>
    <xdr:clientData/>
  </xdr:twoCellAnchor>
  <xdr:twoCellAnchor>
    <xdr:from>
      <xdr:col>18</xdr:col>
      <xdr:colOff>23813</xdr:colOff>
      <xdr:row>9</xdr:row>
      <xdr:rowOff>1190</xdr:rowOff>
    </xdr:from>
    <xdr:to>
      <xdr:col>20</xdr:col>
      <xdr:colOff>178594</xdr:colOff>
      <xdr:row>10</xdr:row>
      <xdr:rowOff>108346</xdr:rowOff>
    </xdr:to>
    <xdr:sp macro="" textlink="">
      <xdr:nvSpPr>
        <xdr:cNvPr id="93" name="BlokTextu 92"/>
        <xdr:cNvSpPr txBox="1"/>
      </xdr:nvSpPr>
      <xdr:spPr>
        <a:xfrm>
          <a:off x="10996613" y="1858565"/>
          <a:ext cx="1373981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800"/>
            <a:t>-</a:t>
          </a:r>
        </a:p>
      </xdr:txBody>
    </xdr:sp>
    <xdr:clientData/>
  </xdr:twoCellAnchor>
  <xdr:twoCellAnchor>
    <xdr:from>
      <xdr:col>19</xdr:col>
      <xdr:colOff>506015</xdr:colOff>
      <xdr:row>9</xdr:row>
      <xdr:rowOff>35719</xdr:rowOff>
    </xdr:from>
    <xdr:to>
      <xdr:col>20</xdr:col>
      <xdr:colOff>285750</xdr:colOff>
      <xdr:row>10</xdr:row>
      <xdr:rowOff>142875</xdr:rowOff>
    </xdr:to>
    <xdr:sp macro="" textlink="">
      <xdr:nvSpPr>
        <xdr:cNvPr id="94" name="BlokTextu 93"/>
        <xdr:cNvSpPr txBox="1"/>
      </xdr:nvSpPr>
      <xdr:spPr>
        <a:xfrm>
          <a:off x="12088415" y="1893094"/>
          <a:ext cx="389335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300"/>
            <a:t>+</a:t>
          </a:r>
        </a:p>
      </xdr:txBody>
    </xdr:sp>
    <xdr:clientData/>
  </xdr:twoCellAnchor>
  <xdr:twoCellAnchor>
    <xdr:from>
      <xdr:col>19</xdr:col>
      <xdr:colOff>330994</xdr:colOff>
      <xdr:row>1</xdr:row>
      <xdr:rowOff>128588</xdr:rowOff>
    </xdr:from>
    <xdr:to>
      <xdr:col>20</xdr:col>
      <xdr:colOff>266700</xdr:colOff>
      <xdr:row>3</xdr:row>
      <xdr:rowOff>9525</xdr:rowOff>
    </xdr:to>
    <xdr:sp macro="" textlink="">
      <xdr:nvSpPr>
        <xdr:cNvPr id="95" name="BlokTextu 94"/>
        <xdr:cNvSpPr txBox="1"/>
      </xdr:nvSpPr>
      <xdr:spPr>
        <a:xfrm>
          <a:off x="11913394" y="319088"/>
          <a:ext cx="545306" cy="3000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91,5</a:t>
          </a:r>
        </a:p>
      </xdr:txBody>
    </xdr:sp>
    <xdr:clientData/>
  </xdr:twoCellAnchor>
  <xdr:twoCellAnchor>
    <xdr:from>
      <xdr:col>19</xdr:col>
      <xdr:colOff>420288</xdr:colOff>
      <xdr:row>7</xdr:row>
      <xdr:rowOff>109537</xdr:rowOff>
    </xdr:from>
    <xdr:to>
      <xdr:col>20</xdr:col>
      <xdr:colOff>380999</xdr:colOff>
      <xdr:row>9</xdr:row>
      <xdr:rowOff>26193</xdr:rowOff>
    </xdr:to>
    <xdr:sp macro="" textlink="">
      <xdr:nvSpPr>
        <xdr:cNvPr id="96" name="BlokTextu 95"/>
        <xdr:cNvSpPr txBox="1"/>
      </xdr:nvSpPr>
      <xdr:spPr>
        <a:xfrm>
          <a:off x="12002688" y="1585912"/>
          <a:ext cx="570311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61</a:t>
          </a:r>
        </a:p>
      </xdr:txBody>
    </xdr:sp>
    <xdr:clientData/>
  </xdr:twoCellAnchor>
  <xdr:twoCellAnchor>
    <xdr:from>
      <xdr:col>17</xdr:col>
      <xdr:colOff>247650</xdr:colOff>
      <xdr:row>1</xdr:row>
      <xdr:rowOff>142875</xdr:rowOff>
    </xdr:from>
    <xdr:to>
      <xdr:col>18</xdr:col>
      <xdr:colOff>196454</xdr:colOff>
      <xdr:row>2</xdr:row>
      <xdr:rowOff>219075</xdr:rowOff>
    </xdr:to>
    <xdr:sp macro="" textlink="">
      <xdr:nvSpPr>
        <xdr:cNvPr id="97" name="BlokTextu 96"/>
        <xdr:cNvSpPr txBox="1"/>
      </xdr:nvSpPr>
      <xdr:spPr>
        <a:xfrm>
          <a:off x="10610850" y="333375"/>
          <a:ext cx="558404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74,5</a:t>
          </a:r>
        </a:p>
      </xdr:txBody>
    </xdr:sp>
    <xdr:clientData/>
  </xdr:twoCellAnchor>
  <xdr:twoCellAnchor>
    <xdr:from>
      <xdr:col>17</xdr:col>
      <xdr:colOff>228601</xdr:colOff>
      <xdr:row>7</xdr:row>
      <xdr:rowOff>153590</xdr:rowOff>
    </xdr:from>
    <xdr:to>
      <xdr:col>18</xdr:col>
      <xdr:colOff>194073</xdr:colOff>
      <xdr:row>9</xdr:row>
      <xdr:rowOff>190499</xdr:rowOff>
    </xdr:to>
    <xdr:sp macro="" textlink="">
      <xdr:nvSpPr>
        <xdr:cNvPr id="98" name="BlokTextu 97"/>
        <xdr:cNvSpPr txBox="1"/>
      </xdr:nvSpPr>
      <xdr:spPr>
        <a:xfrm>
          <a:off x="10591801" y="1629965"/>
          <a:ext cx="575072" cy="4179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59,5</a:t>
          </a:r>
        </a:p>
      </xdr:txBody>
    </xdr:sp>
    <xdr:clientData/>
  </xdr:twoCellAnchor>
  <xdr:twoCellAnchor>
    <xdr:from>
      <xdr:col>20</xdr:col>
      <xdr:colOff>171449</xdr:colOff>
      <xdr:row>6</xdr:row>
      <xdr:rowOff>11906</xdr:rowOff>
    </xdr:from>
    <xdr:to>
      <xdr:col>21</xdr:col>
      <xdr:colOff>85724</xdr:colOff>
      <xdr:row>7</xdr:row>
      <xdr:rowOff>119062</xdr:rowOff>
    </xdr:to>
    <xdr:sp macro="" textlink="">
      <xdr:nvSpPr>
        <xdr:cNvPr id="99" name="BlokTextu 98"/>
        <xdr:cNvSpPr txBox="1"/>
      </xdr:nvSpPr>
      <xdr:spPr>
        <a:xfrm>
          <a:off x="12363449" y="1297781"/>
          <a:ext cx="523875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75,5</a:t>
          </a:r>
        </a:p>
        <a:p>
          <a:endParaRPr lang="sk-SK" sz="1000"/>
        </a:p>
      </xdr:txBody>
    </xdr:sp>
    <xdr:clientData/>
  </xdr:twoCellAnchor>
  <xdr:twoCellAnchor>
    <xdr:from>
      <xdr:col>20</xdr:col>
      <xdr:colOff>189310</xdr:colOff>
      <xdr:row>0</xdr:row>
      <xdr:rowOff>0</xdr:rowOff>
    </xdr:from>
    <xdr:to>
      <xdr:col>21</xdr:col>
      <xdr:colOff>247650</xdr:colOff>
      <xdr:row>1</xdr:row>
      <xdr:rowOff>107156</xdr:rowOff>
    </xdr:to>
    <xdr:sp macro="" textlink="">
      <xdr:nvSpPr>
        <xdr:cNvPr id="100" name="BlokTextu 99"/>
        <xdr:cNvSpPr txBox="1"/>
      </xdr:nvSpPr>
      <xdr:spPr>
        <a:xfrm>
          <a:off x="12381310" y="0"/>
          <a:ext cx="667940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87,5</a:t>
          </a:r>
        </a:p>
      </xdr:txBody>
    </xdr:sp>
    <xdr:clientData/>
  </xdr:twoCellAnchor>
  <xdr:twoCellAnchor>
    <xdr:from>
      <xdr:col>18</xdr:col>
      <xdr:colOff>76200</xdr:colOff>
      <xdr:row>0</xdr:row>
      <xdr:rowOff>0</xdr:rowOff>
    </xdr:from>
    <xdr:to>
      <xdr:col>19</xdr:col>
      <xdr:colOff>255983</xdr:colOff>
      <xdr:row>1</xdr:row>
      <xdr:rowOff>107156</xdr:rowOff>
    </xdr:to>
    <xdr:sp macro="" textlink="">
      <xdr:nvSpPr>
        <xdr:cNvPr id="101" name="BlokTextu 100"/>
        <xdr:cNvSpPr txBox="1"/>
      </xdr:nvSpPr>
      <xdr:spPr>
        <a:xfrm>
          <a:off x="11049000" y="0"/>
          <a:ext cx="789383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58,5</a:t>
          </a:r>
        </a:p>
      </xdr:txBody>
    </xdr:sp>
    <xdr:clientData/>
  </xdr:twoCellAnchor>
  <xdr:twoCellAnchor>
    <xdr:from>
      <xdr:col>18</xdr:col>
      <xdr:colOff>102394</xdr:colOff>
      <xdr:row>6</xdr:row>
      <xdr:rowOff>11906</xdr:rowOff>
    </xdr:from>
    <xdr:to>
      <xdr:col>19</xdr:col>
      <xdr:colOff>76199</xdr:colOff>
      <xdr:row>7</xdr:row>
      <xdr:rowOff>119062</xdr:rowOff>
    </xdr:to>
    <xdr:sp macro="" textlink="">
      <xdr:nvSpPr>
        <xdr:cNvPr id="102" name="BlokTextu 101"/>
        <xdr:cNvSpPr txBox="1"/>
      </xdr:nvSpPr>
      <xdr:spPr>
        <a:xfrm>
          <a:off x="11075194" y="1297781"/>
          <a:ext cx="583405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40,5</a:t>
          </a:r>
        </a:p>
        <a:p>
          <a:endParaRPr lang="sk-SK" sz="1000"/>
        </a:p>
      </xdr:txBody>
    </xdr:sp>
    <xdr:clientData/>
  </xdr:twoCellAnchor>
  <xdr:twoCellAnchor>
    <xdr:from>
      <xdr:col>15</xdr:col>
      <xdr:colOff>228600</xdr:colOff>
      <xdr:row>3</xdr:row>
      <xdr:rowOff>200025</xdr:rowOff>
    </xdr:from>
    <xdr:to>
      <xdr:col>17</xdr:col>
      <xdr:colOff>228600</xdr:colOff>
      <xdr:row>3</xdr:row>
      <xdr:rowOff>200025</xdr:rowOff>
    </xdr:to>
    <xdr:cxnSp macro="">
      <xdr:nvCxnSpPr>
        <xdr:cNvPr id="103" name="Rovná spojovacia šípka 102"/>
        <xdr:cNvCxnSpPr/>
      </xdr:nvCxnSpPr>
      <xdr:spPr>
        <a:xfrm>
          <a:off x="9372600" y="809625"/>
          <a:ext cx="1219200" cy="0"/>
        </a:xfrm>
        <a:prstGeom prst="straightConnector1">
          <a:avLst/>
        </a:prstGeom>
        <a:ln w="38100">
          <a:solidFill>
            <a:schemeClr val="bg1">
              <a:lumMod val="85000"/>
            </a:schemeClr>
          </a:solidFill>
          <a:prstDash val="lgDashDotDot"/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133350</xdr:colOff>
      <xdr:row>2</xdr:row>
      <xdr:rowOff>9526</xdr:rowOff>
    </xdr:from>
    <xdr:to>
      <xdr:col>17</xdr:col>
      <xdr:colOff>323850</xdr:colOff>
      <xdr:row>4</xdr:row>
      <xdr:rowOff>9526</xdr:rowOff>
    </xdr:to>
    <xdr:sp macro="" textlink="">
      <xdr:nvSpPr>
        <xdr:cNvPr id="104" name="BlokTextu 103"/>
        <xdr:cNvSpPr txBox="1"/>
      </xdr:nvSpPr>
      <xdr:spPr>
        <a:xfrm>
          <a:off x="9277350" y="390526"/>
          <a:ext cx="1409700" cy="457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900" i="1">
              <a:solidFill>
                <a:schemeClr val="bg1">
                  <a:lumMod val="65000"/>
                </a:schemeClr>
              </a:solidFill>
            </a:rPr>
            <a:t>C</a:t>
          </a:r>
          <a:r>
            <a:rPr lang="sk-SK" sz="900" i="1" baseline="0">
              <a:solidFill>
                <a:schemeClr val="bg1">
                  <a:lumMod val="65000"/>
                </a:schemeClr>
              </a:solidFill>
            </a:rPr>
            <a:t> plot s priemernymi nameranymi hodnotami</a:t>
          </a:r>
          <a:endParaRPr lang="sk-SK" sz="900" i="1">
            <a:solidFill>
              <a:schemeClr val="bg1">
                <a:lumMod val="65000"/>
              </a:schemeClr>
            </a:solidFill>
          </a:endParaRPr>
        </a:p>
      </xdr:txBody>
    </xdr:sp>
    <xdr:clientData/>
  </xdr:twoCellAnchor>
  <xdr:twoCellAnchor>
    <xdr:from>
      <xdr:col>21</xdr:col>
      <xdr:colOff>95250</xdr:colOff>
      <xdr:row>1</xdr:row>
      <xdr:rowOff>0</xdr:rowOff>
    </xdr:from>
    <xdr:to>
      <xdr:col>21</xdr:col>
      <xdr:colOff>484585</xdr:colOff>
      <xdr:row>2</xdr:row>
      <xdr:rowOff>107156</xdr:rowOff>
    </xdr:to>
    <xdr:sp macro="" textlink="">
      <xdr:nvSpPr>
        <xdr:cNvPr id="105" name="BlokTextu 104"/>
        <xdr:cNvSpPr txBox="1"/>
      </xdr:nvSpPr>
      <xdr:spPr>
        <a:xfrm>
          <a:off x="12896850" y="190500"/>
          <a:ext cx="389335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300"/>
            <a:t>+</a:t>
          </a:r>
        </a:p>
      </xdr:txBody>
    </xdr:sp>
    <xdr:clientData/>
  </xdr:twoCellAnchor>
  <xdr:twoCellAnchor>
    <xdr:from>
      <xdr:col>21</xdr:col>
      <xdr:colOff>142875</xdr:colOff>
      <xdr:row>6</xdr:row>
      <xdr:rowOff>152400</xdr:rowOff>
    </xdr:from>
    <xdr:to>
      <xdr:col>21</xdr:col>
      <xdr:colOff>532210</xdr:colOff>
      <xdr:row>8</xdr:row>
      <xdr:rowOff>69056</xdr:rowOff>
    </xdr:to>
    <xdr:sp macro="" textlink="">
      <xdr:nvSpPr>
        <xdr:cNvPr id="106" name="BlokTextu 105"/>
        <xdr:cNvSpPr txBox="1"/>
      </xdr:nvSpPr>
      <xdr:spPr>
        <a:xfrm>
          <a:off x="12944475" y="1438275"/>
          <a:ext cx="389335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300"/>
            <a:t>+</a:t>
          </a:r>
        </a:p>
      </xdr:txBody>
    </xdr:sp>
    <xdr:clientData/>
  </xdr:twoCellAnchor>
  <xdr:twoCellAnchor>
    <xdr:from>
      <xdr:col>21</xdr:col>
      <xdr:colOff>161925</xdr:colOff>
      <xdr:row>5</xdr:row>
      <xdr:rowOff>0</xdr:rowOff>
    </xdr:from>
    <xdr:to>
      <xdr:col>21</xdr:col>
      <xdr:colOff>439341</xdr:colOff>
      <xdr:row>6</xdr:row>
      <xdr:rowOff>78581</xdr:rowOff>
    </xdr:to>
    <xdr:sp macro="" textlink="">
      <xdr:nvSpPr>
        <xdr:cNvPr id="107" name="BlokTextu 106"/>
        <xdr:cNvSpPr txBox="1"/>
      </xdr:nvSpPr>
      <xdr:spPr>
        <a:xfrm>
          <a:off x="12963525" y="1066800"/>
          <a:ext cx="277416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800"/>
            <a:t>-</a:t>
          </a:r>
        </a:p>
      </xdr:txBody>
    </xdr:sp>
    <xdr:clientData/>
  </xdr:twoCellAnchor>
  <xdr:twoCellAnchor>
    <xdr:from>
      <xdr:col>21</xdr:col>
      <xdr:colOff>390525</xdr:colOff>
      <xdr:row>3</xdr:row>
      <xdr:rowOff>76200</xdr:rowOff>
    </xdr:from>
    <xdr:to>
      <xdr:col>22</xdr:col>
      <xdr:colOff>190500</xdr:colOff>
      <xdr:row>4</xdr:row>
      <xdr:rowOff>147637</xdr:rowOff>
    </xdr:to>
    <xdr:sp macro="" textlink="">
      <xdr:nvSpPr>
        <xdr:cNvPr id="108" name="BlokTextu 107"/>
        <xdr:cNvSpPr txBox="1"/>
      </xdr:nvSpPr>
      <xdr:spPr>
        <a:xfrm>
          <a:off x="13192125" y="685800"/>
          <a:ext cx="409575" cy="3000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čas</a:t>
          </a:r>
        </a:p>
      </xdr:txBody>
    </xdr:sp>
    <xdr:clientData/>
  </xdr:twoCellAnchor>
  <xdr:twoCellAnchor>
    <xdr:from>
      <xdr:col>21</xdr:col>
      <xdr:colOff>161925</xdr:colOff>
      <xdr:row>8</xdr:row>
      <xdr:rowOff>95250</xdr:rowOff>
    </xdr:from>
    <xdr:to>
      <xdr:col>22</xdr:col>
      <xdr:colOff>219075</xdr:colOff>
      <xdr:row>10</xdr:row>
      <xdr:rowOff>11906</xdr:rowOff>
    </xdr:to>
    <xdr:sp macro="" textlink="">
      <xdr:nvSpPr>
        <xdr:cNvPr id="109" name="BlokTextu 108"/>
        <xdr:cNvSpPr txBox="1"/>
      </xdr:nvSpPr>
      <xdr:spPr>
        <a:xfrm>
          <a:off x="12963525" y="1762125"/>
          <a:ext cx="666750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teplota</a:t>
          </a:r>
        </a:p>
      </xdr:txBody>
    </xdr:sp>
    <xdr:clientData/>
  </xdr:twoCellAnchor>
  <xdr:twoCellAnchor>
    <xdr:from>
      <xdr:col>11</xdr:col>
      <xdr:colOff>11906</xdr:colOff>
      <xdr:row>2</xdr:row>
      <xdr:rowOff>148828</xdr:rowOff>
    </xdr:from>
    <xdr:to>
      <xdr:col>13</xdr:col>
      <xdr:colOff>83343</xdr:colOff>
      <xdr:row>8</xdr:row>
      <xdr:rowOff>154781</xdr:rowOff>
    </xdr:to>
    <xdr:sp macro="" textlink="">
      <xdr:nvSpPr>
        <xdr:cNvPr id="110" name="Obdĺžnik 109"/>
        <xdr:cNvSpPr/>
      </xdr:nvSpPr>
      <xdr:spPr>
        <a:xfrm>
          <a:off x="6717506" y="529828"/>
          <a:ext cx="1290637" cy="1291828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11</xdr:col>
      <xdr:colOff>464344</xdr:colOff>
      <xdr:row>1</xdr:row>
      <xdr:rowOff>41673</xdr:rowOff>
    </xdr:from>
    <xdr:to>
      <xdr:col>13</xdr:col>
      <xdr:colOff>535781</xdr:colOff>
      <xdr:row>7</xdr:row>
      <xdr:rowOff>47626</xdr:rowOff>
    </xdr:to>
    <xdr:sp macro="" textlink="">
      <xdr:nvSpPr>
        <xdr:cNvPr id="111" name="Obdĺžnik 110"/>
        <xdr:cNvSpPr/>
      </xdr:nvSpPr>
      <xdr:spPr>
        <a:xfrm>
          <a:off x="7169944" y="232173"/>
          <a:ext cx="1290637" cy="1291828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11</xdr:col>
      <xdr:colOff>0</xdr:colOff>
      <xdr:row>1</xdr:row>
      <xdr:rowOff>41672</xdr:rowOff>
    </xdr:from>
    <xdr:to>
      <xdr:col>11</xdr:col>
      <xdr:colOff>458391</xdr:colOff>
      <xdr:row>2</xdr:row>
      <xdr:rowOff>142875</xdr:rowOff>
    </xdr:to>
    <xdr:cxnSp macro="">
      <xdr:nvCxnSpPr>
        <xdr:cNvPr id="112" name="Rovná spojnica 111"/>
        <xdr:cNvCxnSpPr/>
      </xdr:nvCxnSpPr>
      <xdr:spPr>
        <a:xfrm flipV="1">
          <a:off x="6705600" y="232172"/>
          <a:ext cx="458391" cy="291703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69056</xdr:colOff>
      <xdr:row>1</xdr:row>
      <xdr:rowOff>51197</xdr:rowOff>
    </xdr:from>
    <xdr:to>
      <xdr:col>13</xdr:col>
      <xdr:colOff>527447</xdr:colOff>
      <xdr:row>2</xdr:row>
      <xdr:rowOff>152400</xdr:rowOff>
    </xdr:to>
    <xdr:cxnSp macro="">
      <xdr:nvCxnSpPr>
        <xdr:cNvPr id="113" name="Rovná spojnica 112"/>
        <xdr:cNvCxnSpPr/>
      </xdr:nvCxnSpPr>
      <xdr:spPr>
        <a:xfrm flipV="1">
          <a:off x="7993856" y="241697"/>
          <a:ext cx="458391" cy="291703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71438</xdr:colOff>
      <xdr:row>7</xdr:row>
      <xdr:rowOff>47625</xdr:rowOff>
    </xdr:from>
    <xdr:to>
      <xdr:col>13</xdr:col>
      <xdr:colOff>529829</xdr:colOff>
      <xdr:row>8</xdr:row>
      <xdr:rowOff>148828</xdr:rowOff>
    </xdr:to>
    <xdr:cxnSp macro="">
      <xdr:nvCxnSpPr>
        <xdr:cNvPr id="114" name="Rovná spojnica 113"/>
        <xdr:cNvCxnSpPr/>
      </xdr:nvCxnSpPr>
      <xdr:spPr>
        <a:xfrm flipV="1">
          <a:off x="7996238" y="1524000"/>
          <a:ext cx="458391" cy="291703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17860</xdr:colOff>
      <xdr:row>7</xdr:row>
      <xdr:rowOff>29766</xdr:rowOff>
    </xdr:from>
    <xdr:to>
      <xdr:col>11</xdr:col>
      <xdr:colOff>476251</xdr:colOff>
      <xdr:row>8</xdr:row>
      <xdr:rowOff>130969</xdr:rowOff>
    </xdr:to>
    <xdr:cxnSp macro="">
      <xdr:nvCxnSpPr>
        <xdr:cNvPr id="115" name="Rovná spojnica 114"/>
        <xdr:cNvCxnSpPr/>
      </xdr:nvCxnSpPr>
      <xdr:spPr>
        <a:xfrm flipV="1">
          <a:off x="6723460" y="1506141"/>
          <a:ext cx="458391" cy="291703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321468</xdr:colOff>
      <xdr:row>9</xdr:row>
      <xdr:rowOff>184547</xdr:rowOff>
    </xdr:from>
    <xdr:to>
      <xdr:col>12</xdr:col>
      <xdr:colOff>523874</xdr:colOff>
      <xdr:row>10</xdr:row>
      <xdr:rowOff>5954</xdr:rowOff>
    </xdr:to>
    <xdr:cxnSp macro="">
      <xdr:nvCxnSpPr>
        <xdr:cNvPr id="116" name="Rovná spojovacia šípka 115"/>
        <xdr:cNvCxnSpPr/>
      </xdr:nvCxnSpPr>
      <xdr:spPr>
        <a:xfrm flipV="1">
          <a:off x="7027068" y="2041922"/>
          <a:ext cx="812006" cy="11907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309561</xdr:colOff>
      <xdr:row>10</xdr:row>
      <xdr:rowOff>65484</xdr:rowOff>
    </xdr:from>
    <xdr:to>
      <xdr:col>13</xdr:col>
      <xdr:colOff>464342</xdr:colOff>
      <xdr:row>11</xdr:row>
      <xdr:rowOff>172640</xdr:rowOff>
    </xdr:to>
    <xdr:sp macro="" textlink="">
      <xdr:nvSpPr>
        <xdr:cNvPr id="117" name="BlokTextu 116"/>
        <xdr:cNvSpPr txBox="1"/>
      </xdr:nvSpPr>
      <xdr:spPr>
        <a:xfrm>
          <a:off x="7015161" y="2113359"/>
          <a:ext cx="1373981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prací</a:t>
          </a:r>
          <a:r>
            <a:rPr lang="sk-SK" sz="1100" baseline="0"/>
            <a:t> prášok</a:t>
          </a:r>
          <a:endParaRPr lang="sk-SK" sz="1100"/>
        </a:p>
      </xdr:txBody>
    </xdr:sp>
    <xdr:clientData/>
  </xdr:twoCellAnchor>
  <xdr:twoCellAnchor>
    <xdr:from>
      <xdr:col>13</xdr:col>
      <xdr:colOff>440531</xdr:colOff>
      <xdr:row>7</xdr:row>
      <xdr:rowOff>178595</xdr:rowOff>
    </xdr:from>
    <xdr:to>
      <xdr:col>14</xdr:col>
      <xdr:colOff>202406</xdr:colOff>
      <xdr:row>9</xdr:row>
      <xdr:rowOff>47625</xdr:rowOff>
    </xdr:to>
    <xdr:cxnSp macro="">
      <xdr:nvCxnSpPr>
        <xdr:cNvPr id="118" name="Rovná spojovacia šípka 117"/>
        <xdr:cNvCxnSpPr/>
      </xdr:nvCxnSpPr>
      <xdr:spPr>
        <a:xfrm flipV="1">
          <a:off x="8365331" y="1654970"/>
          <a:ext cx="371475" cy="25003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77390</xdr:colOff>
      <xdr:row>8</xdr:row>
      <xdr:rowOff>23812</xdr:rowOff>
    </xdr:from>
    <xdr:to>
      <xdr:col>16</xdr:col>
      <xdr:colOff>232172</xdr:colOff>
      <xdr:row>9</xdr:row>
      <xdr:rowOff>130968</xdr:rowOff>
    </xdr:to>
    <xdr:sp macro="" textlink="">
      <xdr:nvSpPr>
        <xdr:cNvPr id="119" name="BlokTextu 118"/>
        <xdr:cNvSpPr txBox="1"/>
      </xdr:nvSpPr>
      <xdr:spPr>
        <a:xfrm>
          <a:off x="8611790" y="1690687"/>
          <a:ext cx="1373982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teplota</a:t>
          </a:r>
        </a:p>
      </xdr:txBody>
    </xdr:sp>
    <xdr:clientData/>
  </xdr:twoCellAnchor>
  <xdr:twoCellAnchor>
    <xdr:from>
      <xdr:col>14</xdr:col>
      <xdr:colOff>273843</xdr:colOff>
      <xdr:row>2</xdr:row>
      <xdr:rowOff>71440</xdr:rowOff>
    </xdr:from>
    <xdr:to>
      <xdr:col>14</xdr:col>
      <xdr:colOff>285749</xdr:colOff>
      <xdr:row>5</xdr:row>
      <xdr:rowOff>125016</xdr:rowOff>
    </xdr:to>
    <xdr:cxnSp macro="">
      <xdr:nvCxnSpPr>
        <xdr:cNvPr id="120" name="Rovná spojovacia šípka 119"/>
        <xdr:cNvCxnSpPr/>
      </xdr:nvCxnSpPr>
      <xdr:spPr>
        <a:xfrm>
          <a:off x="8808243" y="452440"/>
          <a:ext cx="11906" cy="739376"/>
        </a:xfrm>
        <a:prstGeom prst="straightConnector1">
          <a:avLst/>
        </a:prstGeom>
        <a:ln>
          <a:headEnd type="triangl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369093</xdr:colOff>
      <xdr:row>3</xdr:row>
      <xdr:rowOff>83343</xdr:rowOff>
    </xdr:from>
    <xdr:to>
      <xdr:col>15</xdr:col>
      <xdr:colOff>142875</xdr:colOff>
      <xdr:row>4</xdr:row>
      <xdr:rowOff>154780</xdr:rowOff>
    </xdr:to>
    <xdr:sp macro="" textlink="">
      <xdr:nvSpPr>
        <xdr:cNvPr id="121" name="BlokTextu 120"/>
        <xdr:cNvSpPr txBox="1"/>
      </xdr:nvSpPr>
      <xdr:spPr>
        <a:xfrm>
          <a:off x="8903493" y="692943"/>
          <a:ext cx="383382" cy="3000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čas</a:t>
          </a:r>
        </a:p>
      </xdr:txBody>
    </xdr:sp>
    <xdr:clientData/>
  </xdr:twoCellAnchor>
  <xdr:twoCellAnchor>
    <xdr:from>
      <xdr:col>14</xdr:col>
      <xdr:colOff>166687</xdr:colOff>
      <xdr:row>5</xdr:row>
      <xdr:rowOff>23813</xdr:rowOff>
    </xdr:from>
    <xdr:to>
      <xdr:col>16</xdr:col>
      <xdr:colOff>321469</xdr:colOff>
      <xdr:row>6</xdr:row>
      <xdr:rowOff>101203</xdr:rowOff>
    </xdr:to>
    <xdr:sp macro="" textlink="">
      <xdr:nvSpPr>
        <xdr:cNvPr id="122" name="BlokTextu 121"/>
        <xdr:cNvSpPr txBox="1"/>
      </xdr:nvSpPr>
      <xdr:spPr>
        <a:xfrm>
          <a:off x="8701087" y="1090613"/>
          <a:ext cx="1373982" cy="296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800"/>
            <a:t>-</a:t>
          </a:r>
        </a:p>
      </xdr:txBody>
    </xdr:sp>
    <xdr:clientData/>
  </xdr:twoCellAnchor>
  <xdr:twoCellAnchor>
    <xdr:from>
      <xdr:col>13</xdr:col>
      <xdr:colOff>208359</xdr:colOff>
      <xdr:row>8</xdr:row>
      <xdr:rowOff>107156</xdr:rowOff>
    </xdr:from>
    <xdr:to>
      <xdr:col>13</xdr:col>
      <xdr:colOff>485775</xdr:colOff>
      <xdr:row>10</xdr:row>
      <xdr:rowOff>23812</xdr:rowOff>
    </xdr:to>
    <xdr:sp macro="" textlink="">
      <xdr:nvSpPr>
        <xdr:cNvPr id="123" name="BlokTextu 122"/>
        <xdr:cNvSpPr txBox="1"/>
      </xdr:nvSpPr>
      <xdr:spPr>
        <a:xfrm>
          <a:off x="8133159" y="1774031"/>
          <a:ext cx="277416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800"/>
            <a:t>-</a:t>
          </a:r>
        </a:p>
      </xdr:txBody>
    </xdr:sp>
    <xdr:clientData/>
  </xdr:twoCellAnchor>
  <xdr:twoCellAnchor>
    <xdr:from>
      <xdr:col>11</xdr:col>
      <xdr:colOff>23813</xdr:colOff>
      <xdr:row>8</xdr:row>
      <xdr:rowOff>182165</xdr:rowOff>
    </xdr:from>
    <xdr:to>
      <xdr:col>11</xdr:col>
      <xdr:colOff>304800</xdr:colOff>
      <xdr:row>10</xdr:row>
      <xdr:rowOff>98821</xdr:rowOff>
    </xdr:to>
    <xdr:sp macro="" textlink="">
      <xdr:nvSpPr>
        <xdr:cNvPr id="124" name="BlokTextu 123"/>
        <xdr:cNvSpPr txBox="1"/>
      </xdr:nvSpPr>
      <xdr:spPr>
        <a:xfrm>
          <a:off x="6729413" y="1849040"/>
          <a:ext cx="280987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800"/>
            <a:t>-</a:t>
          </a:r>
        </a:p>
      </xdr:txBody>
    </xdr:sp>
    <xdr:clientData/>
  </xdr:twoCellAnchor>
  <xdr:twoCellAnchor>
    <xdr:from>
      <xdr:col>12</xdr:col>
      <xdr:colOff>506015</xdr:colOff>
      <xdr:row>9</xdr:row>
      <xdr:rowOff>35719</xdr:rowOff>
    </xdr:from>
    <xdr:to>
      <xdr:col>13</xdr:col>
      <xdr:colOff>285750</xdr:colOff>
      <xdr:row>10</xdr:row>
      <xdr:rowOff>142875</xdr:rowOff>
    </xdr:to>
    <xdr:sp macro="" textlink="">
      <xdr:nvSpPr>
        <xdr:cNvPr id="125" name="BlokTextu 124"/>
        <xdr:cNvSpPr txBox="1"/>
      </xdr:nvSpPr>
      <xdr:spPr>
        <a:xfrm>
          <a:off x="7821215" y="1893094"/>
          <a:ext cx="389335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300"/>
            <a:t>+</a:t>
          </a:r>
        </a:p>
      </xdr:txBody>
    </xdr:sp>
    <xdr:clientData/>
  </xdr:twoCellAnchor>
  <xdr:twoCellAnchor>
    <xdr:from>
      <xdr:col>14</xdr:col>
      <xdr:colOff>142874</xdr:colOff>
      <xdr:row>6</xdr:row>
      <xdr:rowOff>154781</xdr:rowOff>
    </xdr:from>
    <xdr:to>
      <xdr:col>16</xdr:col>
      <xdr:colOff>297656</xdr:colOff>
      <xdr:row>8</xdr:row>
      <xdr:rowOff>71437</xdr:rowOff>
    </xdr:to>
    <xdr:sp macro="" textlink="">
      <xdr:nvSpPr>
        <xdr:cNvPr id="126" name="BlokTextu 125"/>
        <xdr:cNvSpPr txBox="1"/>
      </xdr:nvSpPr>
      <xdr:spPr>
        <a:xfrm>
          <a:off x="8677274" y="1440656"/>
          <a:ext cx="1373982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300"/>
            <a:t>+</a:t>
          </a:r>
        </a:p>
      </xdr:txBody>
    </xdr:sp>
    <xdr:clientData/>
  </xdr:twoCellAnchor>
  <xdr:twoCellAnchor>
    <xdr:from>
      <xdr:col>14</xdr:col>
      <xdr:colOff>130968</xdr:colOff>
      <xdr:row>1</xdr:row>
      <xdr:rowOff>0</xdr:rowOff>
    </xdr:from>
    <xdr:to>
      <xdr:col>16</xdr:col>
      <xdr:colOff>285750</xdr:colOff>
      <xdr:row>2</xdr:row>
      <xdr:rowOff>107156</xdr:rowOff>
    </xdr:to>
    <xdr:sp macro="" textlink="">
      <xdr:nvSpPr>
        <xdr:cNvPr id="127" name="BlokTextu 126"/>
        <xdr:cNvSpPr txBox="1"/>
      </xdr:nvSpPr>
      <xdr:spPr>
        <a:xfrm>
          <a:off x="8665368" y="190500"/>
          <a:ext cx="1373982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300"/>
            <a:t>+</a:t>
          </a:r>
        </a:p>
      </xdr:txBody>
    </xdr:sp>
    <xdr:clientData/>
  </xdr:twoCellAnchor>
  <xdr:twoCellAnchor>
    <xdr:from>
      <xdr:col>12</xdr:col>
      <xdr:colOff>283369</xdr:colOff>
      <xdr:row>1</xdr:row>
      <xdr:rowOff>109538</xdr:rowOff>
    </xdr:from>
    <xdr:to>
      <xdr:col>13</xdr:col>
      <xdr:colOff>219075</xdr:colOff>
      <xdr:row>2</xdr:row>
      <xdr:rowOff>219075</xdr:rowOff>
    </xdr:to>
    <xdr:sp macro="" textlink="">
      <xdr:nvSpPr>
        <xdr:cNvPr id="128" name="BlokTextu 127"/>
        <xdr:cNvSpPr txBox="1"/>
      </xdr:nvSpPr>
      <xdr:spPr>
        <a:xfrm>
          <a:off x="7598569" y="300038"/>
          <a:ext cx="545306" cy="3000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92;</a:t>
          </a:r>
          <a:r>
            <a:rPr lang="sk-SK" sz="1000" baseline="0"/>
            <a:t> </a:t>
          </a:r>
          <a:r>
            <a:rPr lang="sk-SK" sz="1000"/>
            <a:t>91</a:t>
          </a:r>
        </a:p>
      </xdr:txBody>
    </xdr:sp>
    <xdr:clientData/>
  </xdr:twoCellAnchor>
  <xdr:twoCellAnchor>
    <xdr:from>
      <xdr:col>12</xdr:col>
      <xdr:colOff>239313</xdr:colOff>
      <xdr:row>7</xdr:row>
      <xdr:rowOff>119062</xdr:rowOff>
    </xdr:from>
    <xdr:to>
      <xdr:col>13</xdr:col>
      <xdr:colOff>200024</xdr:colOff>
      <xdr:row>9</xdr:row>
      <xdr:rowOff>35718</xdr:rowOff>
    </xdr:to>
    <xdr:sp macro="" textlink="">
      <xdr:nvSpPr>
        <xdr:cNvPr id="129" name="BlokTextu 128"/>
        <xdr:cNvSpPr txBox="1"/>
      </xdr:nvSpPr>
      <xdr:spPr>
        <a:xfrm>
          <a:off x="7554513" y="1595437"/>
          <a:ext cx="570311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60;</a:t>
          </a:r>
          <a:r>
            <a:rPr lang="sk-SK" sz="1000" baseline="0"/>
            <a:t> </a:t>
          </a:r>
          <a:r>
            <a:rPr lang="sk-SK" sz="1000"/>
            <a:t>62</a:t>
          </a:r>
        </a:p>
      </xdr:txBody>
    </xdr:sp>
    <xdr:clientData/>
  </xdr:twoCellAnchor>
  <xdr:twoCellAnchor>
    <xdr:from>
      <xdr:col>10</xdr:col>
      <xdr:colOff>200025</xdr:colOff>
      <xdr:row>1</xdr:row>
      <xdr:rowOff>142875</xdr:rowOff>
    </xdr:from>
    <xdr:to>
      <xdr:col>11</xdr:col>
      <xdr:colOff>148829</xdr:colOff>
      <xdr:row>2</xdr:row>
      <xdr:rowOff>219075</xdr:rowOff>
    </xdr:to>
    <xdr:sp macro="" textlink="">
      <xdr:nvSpPr>
        <xdr:cNvPr id="130" name="BlokTextu 129"/>
        <xdr:cNvSpPr txBox="1"/>
      </xdr:nvSpPr>
      <xdr:spPr>
        <a:xfrm>
          <a:off x="6296025" y="333375"/>
          <a:ext cx="558404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73;76</a:t>
          </a:r>
        </a:p>
      </xdr:txBody>
    </xdr:sp>
    <xdr:clientData/>
  </xdr:twoCellAnchor>
  <xdr:twoCellAnchor>
    <xdr:from>
      <xdr:col>10</xdr:col>
      <xdr:colOff>152401</xdr:colOff>
      <xdr:row>7</xdr:row>
      <xdr:rowOff>105965</xdr:rowOff>
    </xdr:from>
    <xdr:to>
      <xdr:col>11</xdr:col>
      <xdr:colOff>117873</xdr:colOff>
      <xdr:row>9</xdr:row>
      <xdr:rowOff>142874</xdr:rowOff>
    </xdr:to>
    <xdr:sp macro="" textlink="">
      <xdr:nvSpPr>
        <xdr:cNvPr id="131" name="BlokTextu 130"/>
        <xdr:cNvSpPr txBox="1"/>
      </xdr:nvSpPr>
      <xdr:spPr>
        <a:xfrm>
          <a:off x="6248401" y="1582340"/>
          <a:ext cx="575072" cy="4179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60;</a:t>
          </a:r>
          <a:r>
            <a:rPr lang="sk-SK" sz="1000" baseline="0"/>
            <a:t> </a:t>
          </a:r>
          <a:r>
            <a:rPr lang="sk-SK" sz="1000"/>
            <a:t>59</a:t>
          </a:r>
        </a:p>
      </xdr:txBody>
    </xdr:sp>
    <xdr:clientData/>
  </xdr:twoCellAnchor>
  <xdr:twoCellAnchor>
    <xdr:from>
      <xdr:col>13</xdr:col>
      <xdr:colOff>85724</xdr:colOff>
      <xdr:row>6</xdr:row>
      <xdr:rowOff>11906</xdr:rowOff>
    </xdr:from>
    <xdr:to>
      <xdr:col>13</xdr:col>
      <xdr:colOff>609599</xdr:colOff>
      <xdr:row>7</xdr:row>
      <xdr:rowOff>119062</xdr:rowOff>
    </xdr:to>
    <xdr:sp macro="" textlink="">
      <xdr:nvSpPr>
        <xdr:cNvPr id="132" name="BlokTextu 131"/>
        <xdr:cNvSpPr txBox="1"/>
      </xdr:nvSpPr>
      <xdr:spPr>
        <a:xfrm>
          <a:off x="8010524" y="1297781"/>
          <a:ext cx="523875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75;</a:t>
          </a:r>
          <a:r>
            <a:rPr lang="sk-SK" sz="1000" baseline="0"/>
            <a:t> </a:t>
          </a:r>
          <a:r>
            <a:rPr lang="sk-SK" sz="1000"/>
            <a:t>76</a:t>
          </a:r>
        </a:p>
        <a:p>
          <a:endParaRPr lang="sk-SK" sz="1000"/>
        </a:p>
      </xdr:txBody>
    </xdr:sp>
    <xdr:clientData/>
  </xdr:twoCellAnchor>
  <xdr:twoCellAnchor>
    <xdr:from>
      <xdr:col>13</xdr:col>
      <xdr:colOff>94060</xdr:colOff>
      <xdr:row>0</xdr:row>
      <xdr:rowOff>0</xdr:rowOff>
    </xdr:from>
    <xdr:to>
      <xdr:col>14</xdr:col>
      <xdr:colOff>152400</xdr:colOff>
      <xdr:row>1</xdr:row>
      <xdr:rowOff>107156</xdr:rowOff>
    </xdr:to>
    <xdr:sp macro="" textlink="">
      <xdr:nvSpPr>
        <xdr:cNvPr id="133" name="BlokTextu 132"/>
        <xdr:cNvSpPr txBox="1"/>
      </xdr:nvSpPr>
      <xdr:spPr>
        <a:xfrm>
          <a:off x="8018860" y="0"/>
          <a:ext cx="667940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87; 88</a:t>
          </a:r>
        </a:p>
      </xdr:txBody>
    </xdr:sp>
    <xdr:clientData/>
  </xdr:twoCellAnchor>
  <xdr:twoCellAnchor>
    <xdr:from>
      <xdr:col>11</xdr:col>
      <xdr:colOff>76200</xdr:colOff>
      <xdr:row>0</xdr:row>
      <xdr:rowOff>0</xdr:rowOff>
    </xdr:from>
    <xdr:to>
      <xdr:col>12</xdr:col>
      <xdr:colOff>255983</xdr:colOff>
      <xdr:row>1</xdr:row>
      <xdr:rowOff>107156</xdr:rowOff>
    </xdr:to>
    <xdr:sp macro="" textlink="">
      <xdr:nvSpPr>
        <xdr:cNvPr id="134" name="BlokTextu 133"/>
        <xdr:cNvSpPr txBox="1"/>
      </xdr:nvSpPr>
      <xdr:spPr>
        <a:xfrm>
          <a:off x="6781800" y="0"/>
          <a:ext cx="789383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59; 58</a:t>
          </a:r>
        </a:p>
      </xdr:txBody>
    </xdr:sp>
    <xdr:clientData/>
  </xdr:twoCellAnchor>
  <xdr:twoCellAnchor>
    <xdr:from>
      <xdr:col>11</xdr:col>
      <xdr:colOff>45244</xdr:colOff>
      <xdr:row>6</xdr:row>
      <xdr:rowOff>2381</xdr:rowOff>
    </xdr:from>
    <xdr:to>
      <xdr:col>12</xdr:col>
      <xdr:colOff>19049</xdr:colOff>
      <xdr:row>7</xdr:row>
      <xdr:rowOff>109537</xdr:rowOff>
    </xdr:to>
    <xdr:sp macro="" textlink="">
      <xdr:nvSpPr>
        <xdr:cNvPr id="135" name="BlokTextu 134"/>
        <xdr:cNvSpPr txBox="1"/>
      </xdr:nvSpPr>
      <xdr:spPr>
        <a:xfrm>
          <a:off x="6750844" y="1288256"/>
          <a:ext cx="583405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42;</a:t>
          </a:r>
          <a:r>
            <a:rPr lang="sk-SK" sz="1000" baseline="0"/>
            <a:t> </a:t>
          </a:r>
          <a:r>
            <a:rPr lang="sk-SK" sz="1000"/>
            <a:t>39</a:t>
          </a:r>
        </a:p>
      </xdr:txBody>
    </xdr:sp>
    <xdr:clientData/>
  </xdr:twoCellAnchor>
  <xdr:twoCellAnchor>
    <xdr:from>
      <xdr:col>18</xdr:col>
      <xdr:colOff>11906</xdr:colOff>
      <xdr:row>2</xdr:row>
      <xdr:rowOff>148828</xdr:rowOff>
    </xdr:from>
    <xdr:to>
      <xdr:col>20</xdr:col>
      <xdr:colOff>83343</xdr:colOff>
      <xdr:row>8</xdr:row>
      <xdr:rowOff>154781</xdr:rowOff>
    </xdr:to>
    <xdr:sp macro="" textlink="">
      <xdr:nvSpPr>
        <xdr:cNvPr id="136" name="Obdĺžnik 135"/>
        <xdr:cNvSpPr/>
      </xdr:nvSpPr>
      <xdr:spPr>
        <a:xfrm>
          <a:off x="10984706" y="529828"/>
          <a:ext cx="1290637" cy="1291828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18</xdr:col>
      <xdr:colOff>464344</xdr:colOff>
      <xdr:row>1</xdr:row>
      <xdr:rowOff>41673</xdr:rowOff>
    </xdr:from>
    <xdr:to>
      <xdr:col>20</xdr:col>
      <xdr:colOff>535781</xdr:colOff>
      <xdr:row>7</xdr:row>
      <xdr:rowOff>47626</xdr:rowOff>
    </xdr:to>
    <xdr:sp macro="" textlink="">
      <xdr:nvSpPr>
        <xdr:cNvPr id="137" name="Obdĺžnik 136"/>
        <xdr:cNvSpPr/>
      </xdr:nvSpPr>
      <xdr:spPr>
        <a:xfrm>
          <a:off x="11437144" y="232173"/>
          <a:ext cx="1290637" cy="1291828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18</xdr:col>
      <xdr:colOff>0</xdr:colOff>
      <xdr:row>1</xdr:row>
      <xdr:rowOff>41672</xdr:rowOff>
    </xdr:from>
    <xdr:to>
      <xdr:col>18</xdr:col>
      <xdr:colOff>458391</xdr:colOff>
      <xdr:row>2</xdr:row>
      <xdr:rowOff>142875</xdr:rowOff>
    </xdr:to>
    <xdr:cxnSp macro="">
      <xdr:nvCxnSpPr>
        <xdr:cNvPr id="138" name="Rovná spojnica 137"/>
        <xdr:cNvCxnSpPr/>
      </xdr:nvCxnSpPr>
      <xdr:spPr>
        <a:xfrm flipV="1">
          <a:off x="10972800" y="232172"/>
          <a:ext cx="458391" cy="291703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69056</xdr:colOff>
      <xdr:row>1</xdr:row>
      <xdr:rowOff>51197</xdr:rowOff>
    </xdr:from>
    <xdr:to>
      <xdr:col>20</xdr:col>
      <xdr:colOff>527447</xdr:colOff>
      <xdr:row>2</xdr:row>
      <xdr:rowOff>152400</xdr:rowOff>
    </xdr:to>
    <xdr:cxnSp macro="">
      <xdr:nvCxnSpPr>
        <xdr:cNvPr id="139" name="Rovná spojnica 138"/>
        <xdr:cNvCxnSpPr/>
      </xdr:nvCxnSpPr>
      <xdr:spPr>
        <a:xfrm flipV="1">
          <a:off x="12261056" y="241697"/>
          <a:ext cx="458391" cy="291703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71438</xdr:colOff>
      <xdr:row>7</xdr:row>
      <xdr:rowOff>47625</xdr:rowOff>
    </xdr:from>
    <xdr:to>
      <xdr:col>20</xdr:col>
      <xdr:colOff>529829</xdr:colOff>
      <xdr:row>8</xdr:row>
      <xdr:rowOff>148828</xdr:rowOff>
    </xdr:to>
    <xdr:cxnSp macro="">
      <xdr:nvCxnSpPr>
        <xdr:cNvPr id="140" name="Rovná spojnica 139"/>
        <xdr:cNvCxnSpPr/>
      </xdr:nvCxnSpPr>
      <xdr:spPr>
        <a:xfrm flipV="1">
          <a:off x="12263438" y="1524000"/>
          <a:ext cx="458391" cy="291703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17860</xdr:colOff>
      <xdr:row>7</xdr:row>
      <xdr:rowOff>29766</xdr:rowOff>
    </xdr:from>
    <xdr:to>
      <xdr:col>18</xdr:col>
      <xdr:colOff>476251</xdr:colOff>
      <xdr:row>8</xdr:row>
      <xdr:rowOff>130969</xdr:rowOff>
    </xdr:to>
    <xdr:cxnSp macro="">
      <xdr:nvCxnSpPr>
        <xdr:cNvPr id="141" name="Rovná spojnica 140"/>
        <xdr:cNvCxnSpPr/>
      </xdr:nvCxnSpPr>
      <xdr:spPr>
        <a:xfrm flipV="1">
          <a:off x="10990660" y="1506141"/>
          <a:ext cx="458391" cy="291703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321468</xdr:colOff>
      <xdr:row>9</xdr:row>
      <xdr:rowOff>184547</xdr:rowOff>
    </xdr:from>
    <xdr:to>
      <xdr:col>19</xdr:col>
      <xdr:colOff>523874</xdr:colOff>
      <xdr:row>10</xdr:row>
      <xdr:rowOff>5954</xdr:rowOff>
    </xdr:to>
    <xdr:cxnSp macro="">
      <xdr:nvCxnSpPr>
        <xdr:cNvPr id="142" name="Rovná spojovacia šípka 141"/>
        <xdr:cNvCxnSpPr/>
      </xdr:nvCxnSpPr>
      <xdr:spPr>
        <a:xfrm flipV="1">
          <a:off x="11294268" y="2041922"/>
          <a:ext cx="812006" cy="11907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309561</xdr:colOff>
      <xdr:row>10</xdr:row>
      <xdr:rowOff>65484</xdr:rowOff>
    </xdr:from>
    <xdr:to>
      <xdr:col>20</xdr:col>
      <xdr:colOff>464342</xdr:colOff>
      <xdr:row>11</xdr:row>
      <xdr:rowOff>172640</xdr:rowOff>
    </xdr:to>
    <xdr:sp macro="" textlink="">
      <xdr:nvSpPr>
        <xdr:cNvPr id="143" name="BlokTextu 142"/>
        <xdr:cNvSpPr txBox="1"/>
      </xdr:nvSpPr>
      <xdr:spPr>
        <a:xfrm>
          <a:off x="11282361" y="2113359"/>
          <a:ext cx="1373981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prací</a:t>
          </a:r>
          <a:r>
            <a:rPr lang="sk-SK" sz="1100" baseline="0"/>
            <a:t> prášok</a:t>
          </a:r>
          <a:endParaRPr lang="sk-SK" sz="1100"/>
        </a:p>
      </xdr:txBody>
    </xdr:sp>
    <xdr:clientData/>
  </xdr:twoCellAnchor>
  <xdr:twoCellAnchor>
    <xdr:from>
      <xdr:col>20</xdr:col>
      <xdr:colOff>440531</xdr:colOff>
      <xdr:row>7</xdr:row>
      <xdr:rowOff>178595</xdr:rowOff>
    </xdr:from>
    <xdr:to>
      <xdr:col>21</xdr:col>
      <xdr:colOff>202406</xdr:colOff>
      <xdr:row>9</xdr:row>
      <xdr:rowOff>47625</xdr:rowOff>
    </xdr:to>
    <xdr:cxnSp macro="">
      <xdr:nvCxnSpPr>
        <xdr:cNvPr id="144" name="Rovná spojovacia šípka 143"/>
        <xdr:cNvCxnSpPr/>
      </xdr:nvCxnSpPr>
      <xdr:spPr>
        <a:xfrm flipV="1">
          <a:off x="12632531" y="1654970"/>
          <a:ext cx="371475" cy="25003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273843</xdr:colOff>
      <xdr:row>2</xdr:row>
      <xdr:rowOff>71440</xdr:rowOff>
    </xdr:from>
    <xdr:to>
      <xdr:col>21</xdr:col>
      <xdr:colOff>285749</xdr:colOff>
      <xdr:row>5</xdr:row>
      <xdr:rowOff>125016</xdr:rowOff>
    </xdr:to>
    <xdr:cxnSp macro="">
      <xdr:nvCxnSpPr>
        <xdr:cNvPr id="145" name="Rovná spojovacia šípka 144"/>
        <xdr:cNvCxnSpPr/>
      </xdr:nvCxnSpPr>
      <xdr:spPr>
        <a:xfrm>
          <a:off x="13075443" y="452440"/>
          <a:ext cx="11906" cy="739376"/>
        </a:xfrm>
        <a:prstGeom prst="straightConnector1">
          <a:avLst/>
        </a:prstGeom>
        <a:ln>
          <a:headEnd type="triangl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208359</xdr:colOff>
      <xdr:row>8</xdr:row>
      <xdr:rowOff>107156</xdr:rowOff>
    </xdr:from>
    <xdr:to>
      <xdr:col>20</xdr:col>
      <xdr:colOff>485775</xdr:colOff>
      <xdr:row>10</xdr:row>
      <xdr:rowOff>23812</xdr:rowOff>
    </xdr:to>
    <xdr:sp macro="" textlink="">
      <xdr:nvSpPr>
        <xdr:cNvPr id="146" name="BlokTextu 145"/>
        <xdr:cNvSpPr txBox="1"/>
      </xdr:nvSpPr>
      <xdr:spPr>
        <a:xfrm>
          <a:off x="12400359" y="1774031"/>
          <a:ext cx="277416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800"/>
            <a:t>-</a:t>
          </a:r>
        </a:p>
      </xdr:txBody>
    </xdr:sp>
    <xdr:clientData/>
  </xdr:twoCellAnchor>
  <xdr:twoCellAnchor>
    <xdr:from>
      <xdr:col>18</xdr:col>
      <xdr:colOff>23813</xdr:colOff>
      <xdr:row>9</xdr:row>
      <xdr:rowOff>1190</xdr:rowOff>
    </xdr:from>
    <xdr:to>
      <xdr:col>20</xdr:col>
      <xdr:colOff>178594</xdr:colOff>
      <xdr:row>10</xdr:row>
      <xdr:rowOff>108346</xdr:rowOff>
    </xdr:to>
    <xdr:sp macro="" textlink="">
      <xdr:nvSpPr>
        <xdr:cNvPr id="147" name="BlokTextu 146"/>
        <xdr:cNvSpPr txBox="1"/>
      </xdr:nvSpPr>
      <xdr:spPr>
        <a:xfrm>
          <a:off x="10996613" y="1858565"/>
          <a:ext cx="1373981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800"/>
            <a:t>-</a:t>
          </a:r>
        </a:p>
      </xdr:txBody>
    </xdr:sp>
    <xdr:clientData/>
  </xdr:twoCellAnchor>
  <xdr:twoCellAnchor>
    <xdr:from>
      <xdr:col>19</xdr:col>
      <xdr:colOff>506015</xdr:colOff>
      <xdr:row>9</xdr:row>
      <xdr:rowOff>35719</xdr:rowOff>
    </xdr:from>
    <xdr:to>
      <xdr:col>20</xdr:col>
      <xdr:colOff>285750</xdr:colOff>
      <xdr:row>10</xdr:row>
      <xdr:rowOff>142875</xdr:rowOff>
    </xdr:to>
    <xdr:sp macro="" textlink="">
      <xdr:nvSpPr>
        <xdr:cNvPr id="148" name="BlokTextu 147"/>
        <xdr:cNvSpPr txBox="1"/>
      </xdr:nvSpPr>
      <xdr:spPr>
        <a:xfrm>
          <a:off x="12088415" y="1893094"/>
          <a:ext cx="389335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300"/>
            <a:t>+</a:t>
          </a:r>
        </a:p>
      </xdr:txBody>
    </xdr:sp>
    <xdr:clientData/>
  </xdr:twoCellAnchor>
  <xdr:twoCellAnchor>
    <xdr:from>
      <xdr:col>19</xdr:col>
      <xdr:colOff>330994</xdr:colOff>
      <xdr:row>1</xdr:row>
      <xdr:rowOff>128588</xdr:rowOff>
    </xdr:from>
    <xdr:to>
      <xdr:col>20</xdr:col>
      <xdr:colOff>266700</xdr:colOff>
      <xdr:row>3</xdr:row>
      <xdr:rowOff>9525</xdr:rowOff>
    </xdr:to>
    <xdr:sp macro="" textlink="">
      <xdr:nvSpPr>
        <xdr:cNvPr id="149" name="BlokTextu 148"/>
        <xdr:cNvSpPr txBox="1"/>
      </xdr:nvSpPr>
      <xdr:spPr>
        <a:xfrm>
          <a:off x="11913394" y="319088"/>
          <a:ext cx="545306" cy="3000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91,5</a:t>
          </a:r>
        </a:p>
      </xdr:txBody>
    </xdr:sp>
    <xdr:clientData/>
  </xdr:twoCellAnchor>
  <xdr:twoCellAnchor>
    <xdr:from>
      <xdr:col>19</xdr:col>
      <xdr:colOff>420288</xdr:colOff>
      <xdr:row>7</xdr:row>
      <xdr:rowOff>109537</xdr:rowOff>
    </xdr:from>
    <xdr:to>
      <xdr:col>20</xdr:col>
      <xdr:colOff>380999</xdr:colOff>
      <xdr:row>9</xdr:row>
      <xdr:rowOff>26193</xdr:rowOff>
    </xdr:to>
    <xdr:sp macro="" textlink="">
      <xdr:nvSpPr>
        <xdr:cNvPr id="150" name="BlokTextu 149"/>
        <xdr:cNvSpPr txBox="1"/>
      </xdr:nvSpPr>
      <xdr:spPr>
        <a:xfrm>
          <a:off x="12002688" y="1585912"/>
          <a:ext cx="570311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61</a:t>
          </a:r>
        </a:p>
      </xdr:txBody>
    </xdr:sp>
    <xdr:clientData/>
  </xdr:twoCellAnchor>
  <xdr:twoCellAnchor>
    <xdr:from>
      <xdr:col>17</xdr:col>
      <xdr:colOff>247650</xdr:colOff>
      <xdr:row>1</xdr:row>
      <xdr:rowOff>142875</xdr:rowOff>
    </xdr:from>
    <xdr:to>
      <xdr:col>18</xdr:col>
      <xdr:colOff>196454</xdr:colOff>
      <xdr:row>2</xdr:row>
      <xdr:rowOff>219075</xdr:rowOff>
    </xdr:to>
    <xdr:sp macro="" textlink="">
      <xdr:nvSpPr>
        <xdr:cNvPr id="151" name="BlokTextu 150"/>
        <xdr:cNvSpPr txBox="1"/>
      </xdr:nvSpPr>
      <xdr:spPr>
        <a:xfrm>
          <a:off x="10610850" y="333375"/>
          <a:ext cx="558404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74,5</a:t>
          </a:r>
        </a:p>
      </xdr:txBody>
    </xdr:sp>
    <xdr:clientData/>
  </xdr:twoCellAnchor>
  <xdr:twoCellAnchor>
    <xdr:from>
      <xdr:col>17</xdr:col>
      <xdr:colOff>228601</xdr:colOff>
      <xdr:row>7</xdr:row>
      <xdr:rowOff>153590</xdr:rowOff>
    </xdr:from>
    <xdr:to>
      <xdr:col>18</xdr:col>
      <xdr:colOff>194073</xdr:colOff>
      <xdr:row>9</xdr:row>
      <xdr:rowOff>190499</xdr:rowOff>
    </xdr:to>
    <xdr:sp macro="" textlink="">
      <xdr:nvSpPr>
        <xdr:cNvPr id="152" name="BlokTextu 151"/>
        <xdr:cNvSpPr txBox="1"/>
      </xdr:nvSpPr>
      <xdr:spPr>
        <a:xfrm>
          <a:off x="10591801" y="1629965"/>
          <a:ext cx="575072" cy="4179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59,5</a:t>
          </a:r>
        </a:p>
      </xdr:txBody>
    </xdr:sp>
    <xdr:clientData/>
  </xdr:twoCellAnchor>
  <xdr:twoCellAnchor>
    <xdr:from>
      <xdr:col>20</xdr:col>
      <xdr:colOff>171449</xdr:colOff>
      <xdr:row>6</xdr:row>
      <xdr:rowOff>11906</xdr:rowOff>
    </xdr:from>
    <xdr:to>
      <xdr:col>21</xdr:col>
      <xdr:colOff>85724</xdr:colOff>
      <xdr:row>7</xdr:row>
      <xdr:rowOff>119062</xdr:rowOff>
    </xdr:to>
    <xdr:sp macro="" textlink="">
      <xdr:nvSpPr>
        <xdr:cNvPr id="153" name="BlokTextu 152"/>
        <xdr:cNvSpPr txBox="1"/>
      </xdr:nvSpPr>
      <xdr:spPr>
        <a:xfrm>
          <a:off x="12363449" y="1297781"/>
          <a:ext cx="523875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75,5</a:t>
          </a:r>
        </a:p>
        <a:p>
          <a:endParaRPr lang="sk-SK" sz="1000"/>
        </a:p>
      </xdr:txBody>
    </xdr:sp>
    <xdr:clientData/>
  </xdr:twoCellAnchor>
  <xdr:twoCellAnchor>
    <xdr:from>
      <xdr:col>20</xdr:col>
      <xdr:colOff>189310</xdr:colOff>
      <xdr:row>0</xdr:row>
      <xdr:rowOff>0</xdr:rowOff>
    </xdr:from>
    <xdr:to>
      <xdr:col>21</xdr:col>
      <xdr:colOff>247650</xdr:colOff>
      <xdr:row>1</xdr:row>
      <xdr:rowOff>107156</xdr:rowOff>
    </xdr:to>
    <xdr:sp macro="" textlink="">
      <xdr:nvSpPr>
        <xdr:cNvPr id="154" name="BlokTextu 153"/>
        <xdr:cNvSpPr txBox="1"/>
      </xdr:nvSpPr>
      <xdr:spPr>
        <a:xfrm>
          <a:off x="12381310" y="0"/>
          <a:ext cx="667940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87,5</a:t>
          </a:r>
        </a:p>
      </xdr:txBody>
    </xdr:sp>
    <xdr:clientData/>
  </xdr:twoCellAnchor>
  <xdr:twoCellAnchor>
    <xdr:from>
      <xdr:col>18</xdr:col>
      <xdr:colOff>76200</xdr:colOff>
      <xdr:row>0</xdr:row>
      <xdr:rowOff>0</xdr:rowOff>
    </xdr:from>
    <xdr:to>
      <xdr:col>19</xdr:col>
      <xdr:colOff>255983</xdr:colOff>
      <xdr:row>1</xdr:row>
      <xdr:rowOff>107156</xdr:rowOff>
    </xdr:to>
    <xdr:sp macro="" textlink="">
      <xdr:nvSpPr>
        <xdr:cNvPr id="155" name="BlokTextu 154"/>
        <xdr:cNvSpPr txBox="1"/>
      </xdr:nvSpPr>
      <xdr:spPr>
        <a:xfrm>
          <a:off x="11049000" y="0"/>
          <a:ext cx="789383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58,5</a:t>
          </a:r>
        </a:p>
      </xdr:txBody>
    </xdr:sp>
    <xdr:clientData/>
  </xdr:twoCellAnchor>
  <xdr:twoCellAnchor>
    <xdr:from>
      <xdr:col>18</xdr:col>
      <xdr:colOff>102394</xdr:colOff>
      <xdr:row>6</xdr:row>
      <xdr:rowOff>11906</xdr:rowOff>
    </xdr:from>
    <xdr:to>
      <xdr:col>19</xdr:col>
      <xdr:colOff>76199</xdr:colOff>
      <xdr:row>7</xdr:row>
      <xdr:rowOff>119062</xdr:rowOff>
    </xdr:to>
    <xdr:sp macro="" textlink="">
      <xdr:nvSpPr>
        <xdr:cNvPr id="156" name="BlokTextu 155"/>
        <xdr:cNvSpPr txBox="1"/>
      </xdr:nvSpPr>
      <xdr:spPr>
        <a:xfrm>
          <a:off x="11075194" y="1297781"/>
          <a:ext cx="583405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40,5</a:t>
          </a:r>
        </a:p>
        <a:p>
          <a:endParaRPr lang="sk-SK" sz="1000"/>
        </a:p>
      </xdr:txBody>
    </xdr:sp>
    <xdr:clientData/>
  </xdr:twoCellAnchor>
  <xdr:twoCellAnchor>
    <xdr:from>
      <xdr:col>15</xdr:col>
      <xdr:colOff>228600</xdr:colOff>
      <xdr:row>3</xdr:row>
      <xdr:rowOff>200025</xdr:rowOff>
    </xdr:from>
    <xdr:to>
      <xdr:col>17</xdr:col>
      <xdr:colOff>228600</xdr:colOff>
      <xdr:row>3</xdr:row>
      <xdr:rowOff>200025</xdr:rowOff>
    </xdr:to>
    <xdr:cxnSp macro="">
      <xdr:nvCxnSpPr>
        <xdr:cNvPr id="157" name="Rovná spojovacia šípka 156"/>
        <xdr:cNvCxnSpPr/>
      </xdr:nvCxnSpPr>
      <xdr:spPr>
        <a:xfrm>
          <a:off x="9372600" y="809625"/>
          <a:ext cx="1219200" cy="0"/>
        </a:xfrm>
        <a:prstGeom prst="straightConnector1">
          <a:avLst/>
        </a:prstGeom>
        <a:ln w="38100">
          <a:solidFill>
            <a:schemeClr val="bg1">
              <a:lumMod val="85000"/>
            </a:schemeClr>
          </a:solidFill>
          <a:prstDash val="lgDashDotDot"/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133350</xdr:colOff>
      <xdr:row>2</xdr:row>
      <xdr:rowOff>9526</xdr:rowOff>
    </xdr:from>
    <xdr:to>
      <xdr:col>17</xdr:col>
      <xdr:colOff>323850</xdr:colOff>
      <xdr:row>4</xdr:row>
      <xdr:rowOff>9526</xdr:rowOff>
    </xdr:to>
    <xdr:sp macro="" textlink="">
      <xdr:nvSpPr>
        <xdr:cNvPr id="158" name="BlokTextu 157"/>
        <xdr:cNvSpPr txBox="1"/>
      </xdr:nvSpPr>
      <xdr:spPr>
        <a:xfrm>
          <a:off x="9277350" y="390526"/>
          <a:ext cx="1409700" cy="457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900" i="1">
              <a:solidFill>
                <a:schemeClr val="bg1">
                  <a:lumMod val="65000"/>
                </a:schemeClr>
              </a:solidFill>
            </a:rPr>
            <a:t>C</a:t>
          </a:r>
          <a:r>
            <a:rPr lang="sk-SK" sz="900" i="1" baseline="0">
              <a:solidFill>
                <a:schemeClr val="bg1">
                  <a:lumMod val="65000"/>
                </a:schemeClr>
              </a:solidFill>
            </a:rPr>
            <a:t> plot s priemernymi nameranymi hodnotami</a:t>
          </a:r>
          <a:endParaRPr lang="sk-SK" sz="900" i="1">
            <a:solidFill>
              <a:schemeClr val="bg1">
                <a:lumMod val="65000"/>
              </a:schemeClr>
            </a:solidFill>
          </a:endParaRPr>
        </a:p>
      </xdr:txBody>
    </xdr:sp>
    <xdr:clientData/>
  </xdr:twoCellAnchor>
  <xdr:twoCellAnchor>
    <xdr:from>
      <xdr:col>21</xdr:col>
      <xdr:colOff>95250</xdr:colOff>
      <xdr:row>1</xdr:row>
      <xdr:rowOff>0</xdr:rowOff>
    </xdr:from>
    <xdr:to>
      <xdr:col>21</xdr:col>
      <xdr:colOff>484585</xdr:colOff>
      <xdr:row>2</xdr:row>
      <xdr:rowOff>107156</xdr:rowOff>
    </xdr:to>
    <xdr:sp macro="" textlink="">
      <xdr:nvSpPr>
        <xdr:cNvPr id="159" name="BlokTextu 158"/>
        <xdr:cNvSpPr txBox="1"/>
      </xdr:nvSpPr>
      <xdr:spPr>
        <a:xfrm>
          <a:off x="12896850" y="190500"/>
          <a:ext cx="389335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300"/>
            <a:t>+</a:t>
          </a:r>
        </a:p>
      </xdr:txBody>
    </xdr:sp>
    <xdr:clientData/>
  </xdr:twoCellAnchor>
  <xdr:twoCellAnchor>
    <xdr:from>
      <xdr:col>21</xdr:col>
      <xdr:colOff>142875</xdr:colOff>
      <xdr:row>6</xdr:row>
      <xdr:rowOff>152400</xdr:rowOff>
    </xdr:from>
    <xdr:to>
      <xdr:col>21</xdr:col>
      <xdr:colOff>532210</xdr:colOff>
      <xdr:row>8</xdr:row>
      <xdr:rowOff>69056</xdr:rowOff>
    </xdr:to>
    <xdr:sp macro="" textlink="">
      <xdr:nvSpPr>
        <xdr:cNvPr id="160" name="BlokTextu 159"/>
        <xdr:cNvSpPr txBox="1"/>
      </xdr:nvSpPr>
      <xdr:spPr>
        <a:xfrm>
          <a:off x="12944475" y="1438275"/>
          <a:ext cx="389335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300"/>
            <a:t>+</a:t>
          </a:r>
        </a:p>
      </xdr:txBody>
    </xdr:sp>
    <xdr:clientData/>
  </xdr:twoCellAnchor>
  <xdr:twoCellAnchor>
    <xdr:from>
      <xdr:col>21</xdr:col>
      <xdr:colOff>161925</xdr:colOff>
      <xdr:row>5</xdr:row>
      <xdr:rowOff>0</xdr:rowOff>
    </xdr:from>
    <xdr:to>
      <xdr:col>21</xdr:col>
      <xdr:colOff>439341</xdr:colOff>
      <xdr:row>6</xdr:row>
      <xdr:rowOff>78581</xdr:rowOff>
    </xdr:to>
    <xdr:sp macro="" textlink="">
      <xdr:nvSpPr>
        <xdr:cNvPr id="161" name="BlokTextu 160"/>
        <xdr:cNvSpPr txBox="1"/>
      </xdr:nvSpPr>
      <xdr:spPr>
        <a:xfrm>
          <a:off x="12963525" y="1066800"/>
          <a:ext cx="277416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800"/>
            <a:t>-</a:t>
          </a:r>
        </a:p>
      </xdr:txBody>
    </xdr:sp>
    <xdr:clientData/>
  </xdr:twoCellAnchor>
  <xdr:twoCellAnchor>
    <xdr:from>
      <xdr:col>21</xdr:col>
      <xdr:colOff>390525</xdr:colOff>
      <xdr:row>3</xdr:row>
      <xdr:rowOff>76200</xdr:rowOff>
    </xdr:from>
    <xdr:to>
      <xdr:col>22</xdr:col>
      <xdr:colOff>190500</xdr:colOff>
      <xdr:row>4</xdr:row>
      <xdr:rowOff>147637</xdr:rowOff>
    </xdr:to>
    <xdr:sp macro="" textlink="">
      <xdr:nvSpPr>
        <xdr:cNvPr id="162" name="BlokTextu 161"/>
        <xdr:cNvSpPr txBox="1"/>
      </xdr:nvSpPr>
      <xdr:spPr>
        <a:xfrm>
          <a:off x="13192125" y="685800"/>
          <a:ext cx="409575" cy="3000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čas</a:t>
          </a:r>
        </a:p>
      </xdr:txBody>
    </xdr:sp>
    <xdr:clientData/>
  </xdr:twoCellAnchor>
  <xdr:twoCellAnchor>
    <xdr:from>
      <xdr:col>21</xdr:col>
      <xdr:colOff>161925</xdr:colOff>
      <xdr:row>8</xdr:row>
      <xdr:rowOff>95250</xdr:rowOff>
    </xdr:from>
    <xdr:to>
      <xdr:col>22</xdr:col>
      <xdr:colOff>219075</xdr:colOff>
      <xdr:row>10</xdr:row>
      <xdr:rowOff>11906</xdr:rowOff>
    </xdr:to>
    <xdr:sp macro="" textlink="">
      <xdr:nvSpPr>
        <xdr:cNvPr id="163" name="BlokTextu 162"/>
        <xdr:cNvSpPr txBox="1"/>
      </xdr:nvSpPr>
      <xdr:spPr>
        <a:xfrm>
          <a:off x="12963525" y="1762125"/>
          <a:ext cx="666750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teplota</a:t>
          </a:r>
        </a:p>
      </xdr:txBody>
    </xdr:sp>
    <xdr:clientData/>
  </xdr:twoCellAnchor>
  <xdr:twoCellAnchor>
    <xdr:from>
      <xdr:col>15</xdr:col>
      <xdr:colOff>380999</xdr:colOff>
      <xdr:row>25</xdr:row>
      <xdr:rowOff>133351</xdr:rowOff>
    </xdr:from>
    <xdr:to>
      <xdr:col>20</xdr:col>
      <xdr:colOff>219074</xdr:colOff>
      <xdr:row>34</xdr:row>
      <xdr:rowOff>171451</xdr:rowOff>
    </xdr:to>
    <xdr:graphicFrame macro="">
      <xdr:nvGraphicFramePr>
        <xdr:cNvPr id="164" name="Graf 1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257175</xdr:colOff>
      <xdr:row>25</xdr:row>
      <xdr:rowOff>133350</xdr:rowOff>
    </xdr:from>
    <xdr:to>
      <xdr:col>25</xdr:col>
      <xdr:colOff>57150</xdr:colOff>
      <xdr:row>34</xdr:row>
      <xdr:rowOff>163581</xdr:rowOff>
    </xdr:to>
    <xdr:graphicFrame macro="">
      <xdr:nvGraphicFramePr>
        <xdr:cNvPr id="165" name="Graf 1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76200</xdr:colOff>
      <xdr:row>25</xdr:row>
      <xdr:rowOff>114300</xdr:rowOff>
    </xdr:from>
    <xdr:to>
      <xdr:col>29</xdr:col>
      <xdr:colOff>573156</xdr:colOff>
      <xdr:row>34</xdr:row>
      <xdr:rowOff>182631</xdr:rowOff>
    </xdr:to>
    <xdr:graphicFrame macro="">
      <xdr:nvGraphicFramePr>
        <xdr:cNvPr id="166" name="Graf 1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184588</xdr:colOff>
      <xdr:row>43</xdr:row>
      <xdr:rowOff>83426</xdr:rowOff>
    </xdr:from>
    <xdr:to>
      <xdr:col>7</xdr:col>
      <xdr:colOff>480191</xdr:colOff>
      <xdr:row>57</xdr:row>
      <xdr:rowOff>159626</xdr:rowOff>
    </xdr:to>
    <xdr:graphicFrame macro="">
      <xdr:nvGraphicFramePr>
        <xdr:cNvPr id="167" name="Graf 1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584637</xdr:colOff>
      <xdr:row>43</xdr:row>
      <xdr:rowOff>72259</xdr:rowOff>
    </xdr:from>
    <xdr:to>
      <xdr:col>15</xdr:col>
      <xdr:colOff>269327</xdr:colOff>
      <xdr:row>57</xdr:row>
      <xdr:rowOff>148459</xdr:rowOff>
    </xdr:to>
    <xdr:graphicFrame macro="">
      <xdr:nvGraphicFramePr>
        <xdr:cNvPr id="168" name="Graf 1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30</xdr:col>
      <xdr:colOff>123825</xdr:colOff>
      <xdr:row>18</xdr:row>
      <xdr:rowOff>62311</xdr:rowOff>
    </xdr:from>
    <xdr:to>
      <xdr:col>37</xdr:col>
      <xdr:colOff>532675</xdr:colOff>
      <xdr:row>35</xdr:row>
      <xdr:rowOff>94743</xdr:rowOff>
    </xdr:to>
    <xdr:pic>
      <xdr:nvPicPr>
        <xdr:cNvPr id="169" name="Obrázok 16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411825" y="3634186"/>
          <a:ext cx="4676050" cy="3270932"/>
        </a:xfrm>
        <a:prstGeom prst="rect">
          <a:avLst/>
        </a:prstGeom>
      </xdr:spPr>
    </xdr:pic>
    <xdr:clientData/>
  </xdr:twoCellAnchor>
  <xdr:twoCellAnchor editAs="oneCell">
    <xdr:from>
      <xdr:col>18</xdr:col>
      <xdr:colOff>43532</xdr:colOff>
      <xdr:row>39</xdr:row>
      <xdr:rowOff>76200</xdr:rowOff>
    </xdr:from>
    <xdr:to>
      <xdr:col>26</xdr:col>
      <xdr:colOff>37400</xdr:colOff>
      <xdr:row>57</xdr:row>
      <xdr:rowOff>18564</xdr:rowOff>
    </xdr:to>
    <xdr:pic>
      <xdr:nvPicPr>
        <xdr:cNvPr id="170" name="Obrázok 16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016332" y="7791450"/>
          <a:ext cx="4870668" cy="337136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</xdr:row>
      <xdr:rowOff>9525</xdr:rowOff>
    </xdr:from>
    <xdr:to>
      <xdr:col>21</xdr:col>
      <xdr:colOff>465905</xdr:colOff>
      <xdr:row>23</xdr:row>
      <xdr:rowOff>104239</xdr:rowOff>
    </xdr:to>
    <xdr:pic>
      <xdr:nvPicPr>
        <xdr:cNvPr id="2" name="Obrázo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05600" y="390525"/>
          <a:ext cx="6561905" cy="42857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10</xdr:col>
      <xdr:colOff>142171</xdr:colOff>
      <xdr:row>38</xdr:row>
      <xdr:rowOff>114024</xdr:rowOff>
    </xdr:to>
    <xdr:pic>
      <xdr:nvPicPr>
        <xdr:cNvPr id="3" name="Obrázo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5334000"/>
          <a:ext cx="5628571" cy="2209524"/>
        </a:xfrm>
        <a:prstGeom prst="rect">
          <a:avLst/>
        </a:prstGeom>
      </xdr:spPr>
    </xdr:pic>
    <xdr:clientData/>
  </xdr:twoCellAnchor>
  <xdr:twoCellAnchor editAs="oneCell">
    <xdr:from>
      <xdr:col>10</xdr:col>
      <xdr:colOff>590550</xdr:colOff>
      <xdr:row>27</xdr:row>
      <xdr:rowOff>0</xdr:rowOff>
    </xdr:from>
    <xdr:to>
      <xdr:col>15</xdr:col>
      <xdr:colOff>447312</xdr:colOff>
      <xdr:row>31</xdr:row>
      <xdr:rowOff>123714</xdr:rowOff>
    </xdr:to>
    <xdr:pic>
      <xdr:nvPicPr>
        <xdr:cNvPr id="4" name="Obrázok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86550" y="5334000"/>
          <a:ext cx="2904762" cy="88571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39</xdr:row>
      <xdr:rowOff>38100</xdr:rowOff>
    </xdr:from>
    <xdr:to>
      <xdr:col>9</xdr:col>
      <xdr:colOff>437487</xdr:colOff>
      <xdr:row>57</xdr:row>
      <xdr:rowOff>190052</xdr:rowOff>
    </xdr:to>
    <xdr:pic>
      <xdr:nvPicPr>
        <xdr:cNvPr id="5" name="Obrázok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9125" y="7658100"/>
          <a:ext cx="5304762" cy="3580952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</xdr:colOff>
      <xdr:row>39</xdr:row>
      <xdr:rowOff>47626</xdr:rowOff>
    </xdr:from>
    <xdr:to>
      <xdr:col>18</xdr:col>
      <xdr:colOff>227951</xdr:colOff>
      <xdr:row>44</xdr:row>
      <xdr:rowOff>173322</xdr:rowOff>
    </xdr:to>
    <xdr:pic>
      <xdr:nvPicPr>
        <xdr:cNvPr id="6" name="Obrázok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15125" y="7667626"/>
          <a:ext cx="4485626" cy="1078196"/>
        </a:xfrm>
        <a:prstGeom prst="rect">
          <a:avLst/>
        </a:prstGeom>
      </xdr:spPr>
    </xdr:pic>
    <xdr:clientData/>
  </xdr:twoCellAnchor>
  <xdr:twoCellAnchor editAs="oneCell">
    <xdr:from>
      <xdr:col>19</xdr:col>
      <xdr:colOff>606841</xdr:colOff>
      <xdr:row>39</xdr:row>
      <xdr:rowOff>9525</xdr:rowOff>
    </xdr:from>
    <xdr:to>
      <xdr:col>28</xdr:col>
      <xdr:colOff>332613</xdr:colOff>
      <xdr:row>57</xdr:row>
      <xdr:rowOff>66165</xdr:rowOff>
    </xdr:to>
    <xdr:pic>
      <xdr:nvPicPr>
        <xdr:cNvPr id="7" name="Obrázok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189241" y="7629525"/>
          <a:ext cx="5212172" cy="3485640"/>
        </a:xfrm>
        <a:prstGeom prst="rect">
          <a:avLst/>
        </a:prstGeom>
      </xdr:spPr>
    </xdr:pic>
    <xdr:clientData/>
  </xdr:twoCellAnchor>
  <xdr:twoCellAnchor editAs="oneCell">
    <xdr:from>
      <xdr:col>28</xdr:col>
      <xdr:colOff>415163</xdr:colOff>
      <xdr:row>38</xdr:row>
      <xdr:rowOff>180975</xdr:rowOff>
    </xdr:from>
    <xdr:to>
      <xdr:col>37</xdr:col>
      <xdr:colOff>18287</xdr:colOff>
      <xdr:row>56</xdr:row>
      <xdr:rowOff>189984</xdr:rowOff>
    </xdr:to>
    <xdr:pic>
      <xdr:nvPicPr>
        <xdr:cNvPr id="8" name="Obrázok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483963" y="7610475"/>
          <a:ext cx="5089524" cy="34380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9</xdr:col>
      <xdr:colOff>142248</xdr:colOff>
      <xdr:row>72</xdr:row>
      <xdr:rowOff>113976</xdr:rowOff>
    </xdr:to>
    <xdr:pic>
      <xdr:nvPicPr>
        <xdr:cNvPr id="9" name="Obrázok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11430000"/>
          <a:ext cx="5019048" cy="2590476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59</xdr:row>
      <xdr:rowOff>0</xdr:rowOff>
    </xdr:from>
    <xdr:to>
      <xdr:col>15</xdr:col>
      <xdr:colOff>380648</xdr:colOff>
      <xdr:row>63</xdr:row>
      <xdr:rowOff>18952</xdr:rowOff>
    </xdr:to>
    <xdr:pic>
      <xdr:nvPicPr>
        <xdr:cNvPr id="13" name="Obrázok 1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705600" y="11430000"/>
          <a:ext cx="2819048" cy="780952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</xdr:colOff>
      <xdr:row>72</xdr:row>
      <xdr:rowOff>68523</xdr:rowOff>
    </xdr:from>
    <xdr:to>
      <xdr:col>18</xdr:col>
      <xdr:colOff>123187</xdr:colOff>
      <xdr:row>76</xdr:row>
      <xdr:rowOff>9423</xdr:rowOff>
    </xdr:to>
    <xdr:pic>
      <xdr:nvPicPr>
        <xdr:cNvPr id="14" name="Obrázok 1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715125" y="13975023"/>
          <a:ext cx="4380862" cy="7029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19050</xdr:rowOff>
    </xdr:from>
    <xdr:to>
      <xdr:col>8</xdr:col>
      <xdr:colOff>285181</xdr:colOff>
      <xdr:row>87</xdr:row>
      <xdr:rowOff>85380</xdr:rowOff>
    </xdr:to>
    <xdr:pic>
      <xdr:nvPicPr>
        <xdr:cNvPr id="15" name="Obrázok 14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09600" y="14116050"/>
          <a:ext cx="4552381" cy="2761905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71</xdr:row>
      <xdr:rowOff>179022</xdr:rowOff>
    </xdr:from>
    <xdr:to>
      <xdr:col>27</xdr:col>
      <xdr:colOff>75433</xdr:colOff>
      <xdr:row>89</xdr:row>
      <xdr:rowOff>28062</xdr:rowOff>
    </xdr:to>
    <xdr:pic>
      <xdr:nvPicPr>
        <xdr:cNvPr id="16" name="Obrázok 1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582400" y="13895022"/>
          <a:ext cx="4952233" cy="3306615"/>
        </a:xfrm>
        <a:prstGeom prst="rect">
          <a:avLst/>
        </a:prstGeom>
      </xdr:spPr>
    </xdr:pic>
    <xdr:clientData/>
  </xdr:twoCellAnchor>
  <xdr:twoCellAnchor editAs="oneCell">
    <xdr:from>
      <xdr:col>27</xdr:col>
      <xdr:colOff>213144</xdr:colOff>
      <xdr:row>72</xdr:row>
      <xdr:rowOff>66674</xdr:rowOff>
    </xdr:from>
    <xdr:to>
      <xdr:col>35</xdr:col>
      <xdr:colOff>84959</xdr:colOff>
      <xdr:row>88</xdr:row>
      <xdr:rowOff>180460</xdr:rowOff>
    </xdr:to>
    <xdr:pic>
      <xdr:nvPicPr>
        <xdr:cNvPr id="17" name="Obrázok 1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6672344" y="13973174"/>
          <a:ext cx="4748615" cy="3190361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</xdr:row>
      <xdr:rowOff>85725</xdr:rowOff>
    </xdr:from>
    <xdr:to>
      <xdr:col>8</xdr:col>
      <xdr:colOff>323850</xdr:colOff>
      <xdr:row>85</xdr:row>
      <xdr:rowOff>104775</xdr:rowOff>
    </xdr:to>
    <xdr:sp macro="" textlink="">
      <xdr:nvSpPr>
        <xdr:cNvPr id="18" name="Obdĺžnik 17"/>
        <xdr:cNvSpPr/>
      </xdr:nvSpPr>
      <xdr:spPr>
        <a:xfrm>
          <a:off x="628650" y="16087725"/>
          <a:ext cx="4572000" cy="40005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8</xdr:col>
      <xdr:colOff>352426</xdr:colOff>
      <xdr:row>83</xdr:row>
      <xdr:rowOff>57150</xdr:rowOff>
    </xdr:from>
    <xdr:to>
      <xdr:col>8</xdr:col>
      <xdr:colOff>542925</xdr:colOff>
      <xdr:row>83</xdr:row>
      <xdr:rowOff>152400</xdr:rowOff>
    </xdr:to>
    <xdr:cxnSp macro="">
      <xdr:nvCxnSpPr>
        <xdr:cNvPr id="20" name="Rovná spojovacia šípka 19"/>
        <xdr:cNvCxnSpPr/>
      </xdr:nvCxnSpPr>
      <xdr:spPr>
        <a:xfrm flipH="1">
          <a:off x="5229226" y="16059150"/>
          <a:ext cx="190499" cy="952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352425</xdr:colOff>
      <xdr:row>85</xdr:row>
      <xdr:rowOff>57150</xdr:rowOff>
    </xdr:from>
    <xdr:to>
      <xdr:col>8</xdr:col>
      <xdr:colOff>571500</xdr:colOff>
      <xdr:row>85</xdr:row>
      <xdr:rowOff>85725</xdr:rowOff>
    </xdr:to>
    <xdr:cxnSp macro="">
      <xdr:nvCxnSpPr>
        <xdr:cNvPr id="23" name="Rovná spojovacia šípka 22"/>
        <xdr:cNvCxnSpPr/>
      </xdr:nvCxnSpPr>
      <xdr:spPr>
        <a:xfrm flipH="1" flipV="1">
          <a:off x="5229225" y="16440150"/>
          <a:ext cx="219075" cy="285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9525</xdr:colOff>
      <xdr:row>93</xdr:row>
      <xdr:rowOff>180975</xdr:rowOff>
    </xdr:from>
    <xdr:to>
      <xdr:col>10</xdr:col>
      <xdr:colOff>608839</xdr:colOff>
      <xdr:row>115</xdr:row>
      <xdr:rowOff>132832</xdr:rowOff>
    </xdr:to>
    <xdr:pic>
      <xdr:nvPicPr>
        <xdr:cNvPr id="24" name="Obrázok 2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19125" y="18116550"/>
          <a:ext cx="6085714" cy="414285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7144</xdr:colOff>
      <xdr:row>25</xdr:row>
      <xdr:rowOff>140493</xdr:rowOff>
    </xdr:from>
    <xdr:to>
      <xdr:col>11</xdr:col>
      <xdr:colOff>595907</xdr:colOff>
      <xdr:row>36</xdr:row>
      <xdr:rowOff>92869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23813</xdr:colOff>
      <xdr:row>25</xdr:row>
      <xdr:rowOff>139303</xdr:rowOff>
    </xdr:from>
    <xdr:to>
      <xdr:col>16</xdr:col>
      <xdr:colOff>2976</xdr:colOff>
      <xdr:row>36</xdr:row>
      <xdr:rowOff>91679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170259</xdr:colOff>
      <xdr:row>36</xdr:row>
      <xdr:rowOff>171450</xdr:rowOff>
    </xdr:from>
    <xdr:to>
      <xdr:col>13</xdr:col>
      <xdr:colOff>152400</xdr:colOff>
      <xdr:row>49</xdr:row>
      <xdr:rowOff>69650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200024</xdr:colOff>
      <xdr:row>37</xdr:row>
      <xdr:rowOff>0</xdr:rowOff>
    </xdr:from>
    <xdr:to>
      <xdr:col>20</xdr:col>
      <xdr:colOff>9525</xdr:colOff>
      <xdr:row>49</xdr:row>
      <xdr:rowOff>47626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409576</xdr:colOff>
      <xdr:row>5</xdr:row>
      <xdr:rowOff>66675</xdr:rowOff>
    </xdr:from>
    <xdr:to>
      <xdr:col>14</xdr:col>
      <xdr:colOff>485776</xdr:colOff>
      <xdr:row>23</xdr:row>
      <xdr:rowOff>190499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9525</xdr:colOff>
      <xdr:row>5</xdr:row>
      <xdr:rowOff>66675</xdr:rowOff>
    </xdr:from>
    <xdr:to>
      <xdr:col>22</xdr:col>
      <xdr:colOff>333375</xdr:colOff>
      <xdr:row>23</xdr:row>
      <xdr:rowOff>180974</xdr:rowOff>
    </xdr:to>
    <xdr:graphicFrame macro="">
      <xdr:nvGraphicFramePr>
        <xdr:cNvPr id="8" name="Graf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9525</xdr:colOff>
      <xdr:row>12</xdr:row>
      <xdr:rowOff>161925</xdr:rowOff>
    </xdr:from>
    <xdr:to>
      <xdr:col>4</xdr:col>
      <xdr:colOff>295275</xdr:colOff>
      <xdr:row>23</xdr:row>
      <xdr:rowOff>161925</xdr:rowOff>
    </xdr:to>
    <xdr:graphicFrame macro="">
      <xdr:nvGraphicFramePr>
        <xdr:cNvPr id="7" name="Graf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381000</xdr:colOff>
      <xdr:row>13</xdr:row>
      <xdr:rowOff>0</xdr:rowOff>
    </xdr:from>
    <xdr:to>
      <xdr:col>7</xdr:col>
      <xdr:colOff>190500</xdr:colOff>
      <xdr:row>24</xdr:row>
      <xdr:rowOff>0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228600</xdr:colOff>
      <xdr:row>3</xdr:row>
      <xdr:rowOff>57150</xdr:rowOff>
    </xdr:from>
    <xdr:to>
      <xdr:col>13</xdr:col>
      <xdr:colOff>400050</xdr:colOff>
      <xdr:row>4</xdr:row>
      <xdr:rowOff>9525</xdr:rowOff>
    </xdr:to>
    <xdr:pic>
      <xdr:nvPicPr>
        <xdr:cNvPr id="4" name="Obrázok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628650"/>
          <a:ext cx="32194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276225</xdr:colOff>
      <xdr:row>6</xdr:row>
      <xdr:rowOff>28574</xdr:rowOff>
    </xdr:from>
    <xdr:to>
      <xdr:col>5</xdr:col>
      <xdr:colOff>9525</xdr:colOff>
      <xdr:row>7</xdr:row>
      <xdr:rowOff>150852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Obdĺžnik 4"/>
            <xdr:cNvSpPr/>
          </xdr:nvSpPr>
          <xdr:spPr>
            <a:xfrm>
              <a:off x="276225" y="1028699"/>
              <a:ext cx="3114675" cy="312778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sk-SK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14:m>
                <m:oMath xmlns:m="http://schemas.openxmlformats.org/officeDocument/2006/math">
                  <m:sSub>
                    <m:sSubPr>
                      <m:ctrlPr>
                        <a:rPr lang="sk-SK" sz="1200" i="1">
                          <a:solidFill>
                            <a:schemeClr val="accent1">
                              <a:lumMod val="75000"/>
                            </a:schemeClr>
                          </a:solidFill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sk-SK" sz="1200" i="1">
                          <a:solidFill>
                            <a:schemeClr val="accent1">
                              <a:lumMod val="75000"/>
                            </a:schemeClr>
                          </a:solidFill>
                          <a:latin typeface="Cambria Math"/>
                        </a:rPr>
                        <m:t>𝐻</m:t>
                      </m:r>
                    </m:e>
                    <m:sub>
                      <m:r>
                        <a:rPr lang="sk-SK" sz="1200" i="1">
                          <a:solidFill>
                            <a:schemeClr val="accent1">
                              <a:lumMod val="75000"/>
                            </a:schemeClr>
                          </a:solidFill>
                          <a:latin typeface="Cambria Math"/>
                        </a:rPr>
                        <m:t>0</m:t>
                      </m:r>
                    </m:sub>
                  </m:sSub>
                </m:oMath>
              </a14:m>
              <a:r>
                <a:rPr lang="sk-SK" sz="1200" i="0">
                  <a:solidFill>
                    <a:schemeClr val="accent1">
                      <a:lumMod val="75000"/>
                    </a:schemeClr>
                  </a:solidFill>
                  <a:latin typeface="Cambria Math"/>
                </a:rPr>
                <a:t>:</a:t>
              </a:r>
              <a:r>
                <a:rPr lang="sk-SK" sz="1200" i="1">
                  <a:solidFill>
                    <a:schemeClr val="accent1">
                      <a:lumMod val="75000"/>
                    </a:schemeClr>
                  </a:solidFill>
                  <a:latin typeface="Cambria Math"/>
                </a:rPr>
                <a:t> </a:t>
              </a:r>
              <a14:m>
                <m:oMath xmlns:m="http://schemas.openxmlformats.org/officeDocument/2006/math">
                  <m:nary>
                    <m:naryPr>
                      <m:chr m:val="∑"/>
                      <m:limLoc m:val="undOvr"/>
                      <m:ctrlPr>
                        <a:rPr lang="sk-SK" sz="1200" i="1">
                          <a:solidFill>
                            <a:schemeClr val="accent1">
                              <a:lumMod val="75000"/>
                            </a:schemeClr>
                          </a:solidFill>
                          <a:latin typeface="Cambria Math" panose="02040503050406030204" pitchFamily="18" charset="0"/>
                        </a:rPr>
                      </m:ctrlPr>
                    </m:naryPr>
                    <m:sub>
                      <m:r>
                        <a:rPr lang="sk-SK" sz="1200" i="1">
                          <a:solidFill>
                            <a:schemeClr val="accent1">
                              <a:lumMod val="75000"/>
                            </a:schemeClr>
                          </a:solidFill>
                          <a:latin typeface="Cambria Math"/>
                        </a:rPr>
                        <m:t>𝑗</m:t>
                      </m:r>
                      <m:r>
                        <a:rPr lang="sk-SK" sz="1200" i="1">
                          <a:solidFill>
                            <a:schemeClr val="accent1">
                              <a:lumMod val="75000"/>
                            </a:schemeClr>
                          </a:solidFill>
                          <a:latin typeface="Cambria Math"/>
                        </a:rPr>
                        <m:t>=1</m:t>
                      </m:r>
                    </m:sub>
                    <m:sup>
                      <m:r>
                        <a:rPr lang="sk-SK" sz="1200" i="1">
                          <a:solidFill>
                            <a:schemeClr val="accent1">
                              <a:lumMod val="75000"/>
                            </a:schemeClr>
                          </a:solidFill>
                          <a:latin typeface="Cambria Math"/>
                        </a:rPr>
                        <m:t>𝑘</m:t>
                      </m:r>
                    </m:sup>
                    <m:e>
                      <m:sSub>
                        <m:sSubPr>
                          <m:ctrlPr>
                            <a:rPr lang="sk-SK" sz="1200" i="1">
                              <a:solidFill>
                                <a:schemeClr val="accent1">
                                  <a:lumMod val="75000"/>
                                </a:schemeClr>
                              </a:solidFill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sk-SK" sz="1200" i="1">
                              <a:solidFill>
                                <a:schemeClr val="accent1">
                                  <a:lumMod val="75000"/>
                                </a:schemeClr>
                              </a:solidFill>
                              <a:latin typeface="Cambria Math"/>
                            </a:rPr>
                            <m:t>𝑏</m:t>
                          </m:r>
                        </m:e>
                        <m:sub>
                          <m:r>
                            <a:rPr lang="sk-SK" sz="1200" i="1">
                              <a:solidFill>
                                <a:schemeClr val="accent1">
                                  <a:lumMod val="75000"/>
                                </a:schemeClr>
                              </a:solidFill>
                              <a:latin typeface="Cambria Math"/>
                            </a:rPr>
                            <m:t>𝑗𝑗</m:t>
                          </m:r>
                        </m:sub>
                      </m:sSub>
                    </m:e>
                  </m:nary>
                  <m:r>
                    <a:rPr lang="sk-SK" sz="1200" i="1">
                      <a:solidFill>
                        <a:schemeClr val="accent1">
                          <a:lumMod val="75000"/>
                        </a:schemeClr>
                      </a:solidFill>
                      <a:latin typeface="Cambria Math"/>
                    </a:rPr>
                    <m:t>=0</m:t>
                  </m:r>
                </m:oMath>
              </a14:m>
              <a:r>
                <a:rPr lang="sk-SK" sz="1200" i="1">
                  <a:solidFill>
                    <a:schemeClr val="accent1">
                      <a:lumMod val="75000"/>
                    </a:schemeClr>
                  </a:solidFill>
                  <a:latin typeface="Cambria Math"/>
                </a:rPr>
                <a:t> </a:t>
              </a:r>
              <a14:m>
                <m:oMath xmlns:m="http://schemas.openxmlformats.org/officeDocument/2006/math">
                  <m:r>
                    <a:rPr lang="sk-SK" sz="1200" i="1">
                      <a:solidFill>
                        <a:schemeClr val="accent1">
                          <a:lumMod val="75000"/>
                        </a:schemeClr>
                      </a:solidFill>
                      <a:latin typeface="Cambria Math"/>
                    </a:rPr>
                    <m:t>&gt;&lt;</m:t>
                  </m:r>
                  <m:sSub>
                    <m:sSubPr>
                      <m:ctrlPr>
                        <a:rPr lang="sk-SK" sz="1200" i="1">
                          <a:solidFill>
                            <a:schemeClr val="accent1">
                              <a:lumMod val="75000"/>
                            </a:schemeClr>
                          </a:solidFill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sk-SK" sz="1200" i="1">
                          <a:solidFill>
                            <a:schemeClr val="accent1">
                              <a:lumMod val="75000"/>
                            </a:schemeClr>
                          </a:solidFill>
                          <a:latin typeface="Cambria Math"/>
                        </a:rPr>
                        <m:t>𝐻</m:t>
                      </m:r>
                    </m:e>
                    <m:sub>
                      <m:r>
                        <a:rPr lang="sk-SK" sz="1200" i="1">
                          <a:solidFill>
                            <a:schemeClr val="accent1">
                              <a:lumMod val="75000"/>
                            </a:schemeClr>
                          </a:solidFill>
                          <a:latin typeface="Cambria Math"/>
                        </a:rPr>
                        <m:t>1</m:t>
                      </m:r>
                    </m:sub>
                  </m:sSub>
                </m:oMath>
              </a14:m>
              <a:r>
                <a:rPr lang="sk-SK" sz="1200" i="0">
                  <a:solidFill>
                    <a:schemeClr val="accent1">
                      <a:lumMod val="75000"/>
                    </a:schemeClr>
                  </a:solidFill>
                  <a:latin typeface="Cambria Math"/>
                </a:rPr>
                <a:t>:</a:t>
              </a:r>
              <a:r>
                <a:rPr lang="sk-SK" sz="1200" i="1">
                  <a:solidFill>
                    <a:schemeClr val="accent1">
                      <a:lumMod val="75000"/>
                    </a:schemeClr>
                  </a:solidFill>
                  <a:latin typeface="Cambria Math"/>
                </a:rPr>
                <a:t> </a:t>
              </a:r>
              <a14:m>
                <m:oMath xmlns:m="http://schemas.openxmlformats.org/officeDocument/2006/math">
                  <m:nary>
                    <m:naryPr>
                      <m:chr m:val="∑"/>
                      <m:limLoc m:val="undOvr"/>
                      <m:ctrlPr>
                        <a:rPr lang="sk-SK" sz="1200" i="1">
                          <a:solidFill>
                            <a:schemeClr val="accent1">
                              <a:lumMod val="75000"/>
                            </a:schemeClr>
                          </a:solidFill>
                          <a:latin typeface="Cambria Math" panose="02040503050406030204" pitchFamily="18" charset="0"/>
                        </a:rPr>
                      </m:ctrlPr>
                    </m:naryPr>
                    <m:sub>
                      <m:r>
                        <a:rPr lang="sk-SK" sz="1200" i="1">
                          <a:solidFill>
                            <a:schemeClr val="accent1">
                              <a:lumMod val="75000"/>
                            </a:schemeClr>
                          </a:solidFill>
                          <a:latin typeface="Cambria Math"/>
                        </a:rPr>
                        <m:t>𝑗</m:t>
                      </m:r>
                      <m:r>
                        <a:rPr lang="sk-SK" sz="1200" i="1">
                          <a:solidFill>
                            <a:schemeClr val="accent1">
                              <a:lumMod val="75000"/>
                            </a:schemeClr>
                          </a:solidFill>
                          <a:latin typeface="Cambria Math"/>
                        </a:rPr>
                        <m:t>=1</m:t>
                      </m:r>
                    </m:sub>
                    <m:sup>
                      <m:r>
                        <a:rPr lang="sk-SK" sz="1200" i="1">
                          <a:solidFill>
                            <a:schemeClr val="accent1">
                              <a:lumMod val="75000"/>
                            </a:schemeClr>
                          </a:solidFill>
                          <a:latin typeface="Cambria Math"/>
                        </a:rPr>
                        <m:t>𝑘</m:t>
                      </m:r>
                    </m:sup>
                    <m:e>
                      <m:sSub>
                        <m:sSubPr>
                          <m:ctrlPr>
                            <a:rPr lang="sk-SK" sz="1200" i="1">
                              <a:solidFill>
                                <a:schemeClr val="accent1">
                                  <a:lumMod val="75000"/>
                                </a:schemeClr>
                              </a:solidFill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sk-SK" sz="1200" i="1">
                              <a:solidFill>
                                <a:schemeClr val="accent1">
                                  <a:lumMod val="75000"/>
                                </a:schemeClr>
                              </a:solidFill>
                              <a:latin typeface="Cambria Math"/>
                            </a:rPr>
                            <m:t>𝑏</m:t>
                          </m:r>
                        </m:e>
                        <m:sub>
                          <m:r>
                            <a:rPr lang="sk-SK" sz="1200" i="1">
                              <a:solidFill>
                                <a:schemeClr val="accent1">
                                  <a:lumMod val="75000"/>
                                </a:schemeClr>
                              </a:solidFill>
                              <a:latin typeface="Cambria Math"/>
                            </a:rPr>
                            <m:t>𝑗𝑗</m:t>
                          </m:r>
                        </m:sub>
                      </m:sSub>
                    </m:e>
                  </m:nary>
                  <m:r>
                    <a:rPr lang="sk-SK" sz="1200" i="1">
                      <a:solidFill>
                        <a:schemeClr val="accent1">
                          <a:lumMod val="75000"/>
                        </a:schemeClr>
                      </a:solidFill>
                      <a:latin typeface="Cambria Math"/>
                    </a:rPr>
                    <m:t>≠0</m:t>
                  </m:r>
                </m:oMath>
              </a14:m>
              <a:endParaRPr lang="sk-SK" sz="1200" i="1">
                <a:solidFill>
                  <a:schemeClr val="accent1">
                    <a:lumMod val="75000"/>
                  </a:schemeClr>
                </a:solidFill>
                <a:latin typeface="Cambria Math"/>
              </a:endParaRPr>
            </a:p>
          </xdr:txBody>
        </xdr:sp>
      </mc:Choice>
      <mc:Fallback xmlns="">
        <xdr:sp macro="" textlink="">
          <xdr:nvSpPr>
            <xdr:cNvPr id="5" name="Obdĺžnik 4"/>
            <xdr:cNvSpPr/>
          </xdr:nvSpPr>
          <xdr:spPr>
            <a:xfrm>
              <a:off x="276225" y="1028699"/>
              <a:ext cx="3114675" cy="312778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sk-SK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sk-SK" sz="1200" i="0">
                  <a:solidFill>
                    <a:schemeClr val="accent1">
                      <a:lumMod val="75000"/>
                    </a:schemeClr>
                  </a:solidFill>
                  <a:latin typeface="Cambria Math"/>
                </a:rPr>
                <a:t>𝐻</a:t>
              </a:r>
              <a:r>
                <a:rPr lang="sk-SK" sz="1200" i="0">
                  <a:solidFill>
                    <a:schemeClr val="accent1">
                      <a:lumMod val="75000"/>
                    </a:schemeClr>
                  </a:solidFill>
                  <a:latin typeface="Cambria Math" panose="02040503050406030204" pitchFamily="18" charset="0"/>
                </a:rPr>
                <a:t>_</a:t>
              </a:r>
              <a:r>
                <a:rPr lang="sk-SK" sz="1200" i="0">
                  <a:solidFill>
                    <a:schemeClr val="accent1">
                      <a:lumMod val="75000"/>
                    </a:schemeClr>
                  </a:solidFill>
                  <a:latin typeface="Cambria Math"/>
                </a:rPr>
                <a:t>0:</a:t>
              </a:r>
              <a:r>
                <a:rPr lang="sk-SK" sz="1200" i="1">
                  <a:solidFill>
                    <a:schemeClr val="accent1">
                      <a:lumMod val="75000"/>
                    </a:schemeClr>
                  </a:solidFill>
                  <a:latin typeface="Cambria Math"/>
                </a:rPr>
                <a:t> </a:t>
              </a:r>
              <a:r>
                <a:rPr lang="sk-SK" sz="1200" i="0">
                  <a:solidFill>
                    <a:schemeClr val="accent1">
                      <a:lumMod val="75000"/>
                    </a:schemeClr>
                  </a:solidFill>
                  <a:latin typeface="Cambria Math" panose="02040503050406030204" pitchFamily="18" charset="0"/>
                </a:rPr>
                <a:t>∑1_(</a:t>
              </a:r>
              <a:r>
                <a:rPr lang="sk-SK" sz="1200" i="0">
                  <a:solidFill>
                    <a:schemeClr val="accent1">
                      <a:lumMod val="75000"/>
                    </a:schemeClr>
                  </a:solidFill>
                  <a:latin typeface="Cambria Math"/>
                </a:rPr>
                <a:t>𝑗=1</a:t>
              </a:r>
              <a:r>
                <a:rPr lang="sk-SK" sz="1200" i="0">
                  <a:solidFill>
                    <a:schemeClr val="accent1">
                      <a:lumMod val="75000"/>
                    </a:schemeClr>
                  </a:solidFill>
                  <a:latin typeface="Cambria Math" panose="02040503050406030204" pitchFamily="18" charset="0"/>
                </a:rPr>
                <a:t>)^</a:t>
              </a:r>
              <a:r>
                <a:rPr lang="sk-SK" sz="1200" i="0">
                  <a:solidFill>
                    <a:schemeClr val="accent1">
                      <a:lumMod val="75000"/>
                    </a:schemeClr>
                  </a:solidFill>
                  <a:latin typeface="Cambria Math"/>
                </a:rPr>
                <a:t>𝑘</a:t>
              </a:r>
              <a:r>
                <a:rPr lang="sk-SK" sz="1200" i="0">
                  <a:solidFill>
                    <a:schemeClr val="accent1">
                      <a:lumMod val="75000"/>
                    </a:schemeClr>
                  </a:solidFill>
                  <a:latin typeface="Cambria Math" panose="02040503050406030204" pitchFamily="18" charset="0"/>
                </a:rPr>
                <a:t>▒</a:t>
              </a:r>
              <a:r>
                <a:rPr lang="sk-SK" sz="1200" i="0">
                  <a:solidFill>
                    <a:schemeClr val="accent1">
                      <a:lumMod val="75000"/>
                    </a:schemeClr>
                  </a:solidFill>
                  <a:latin typeface="Cambria Math"/>
                </a:rPr>
                <a:t>𝑏</a:t>
              </a:r>
              <a:r>
                <a:rPr lang="sk-SK" sz="1200" i="0">
                  <a:solidFill>
                    <a:schemeClr val="accent1">
                      <a:lumMod val="75000"/>
                    </a:schemeClr>
                  </a:solidFill>
                  <a:latin typeface="Cambria Math" panose="02040503050406030204" pitchFamily="18" charset="0"/>
                </a:rPr>
                <a:t>_</a:t>
              </a:r>
              <a:r>
                <a:rPr lang="sk-SK" sz="1200" i="0">
                  <a:solidFill>
                    <a:schemeClr val="accent1">
                      <a:lumMod val="75000"/>
                    </a:schemeClr>
                  </a:solidFill>
                  <a:latin typeface="Cambria Math"/>
                </a:rPr>
                <a:t>𝑗𝑗</a:t>
              </a:r>
              <a:r>
                <a:rPr lang="sk-SK" sz="1200" i="0">
                  <a:solidFill>
                    <a:schemeClr val="accent1">
                      <a:lumMod val="75000"/>
                    </a:schemeClr>
                  </a:solidFill>
                  <a:latin typeface="Cambria Math" panose="02040503050406030204" pitchFamily="18" charset="0"/>
                </a:rPr>
                <a:t> </a:t>
              </a:r>
              <a:r>
                <a:rPr lang="sk-SK" sz="1200" i="0">
                  <a:solidFill>
                    <a:schemeClr val="accent1">
                      <a:lumMod val="75000"/>
                    </a:schemeClr>
                  </a:solidFill>
                  <a:latin typeface="Cambria Math"/>
                </a:rPr>
                <a:t>=0</a:t>
              </a:r>
              <a:r>
                <a:rPr lang="sk-SK" sz="1200" i="1">
                  <a:solidFill>
                    <a:schemeClr val="accent1">
                      <a:lumMod val="75000"/>
                    </a:schemeClr>
                  </a:solidFill>
                  <a:latin typeface="Cambria Math"/>
                </a:rPr>
                <a:t> </a:t>
              </a:r>
              <a:r>
                <a:rPr lang="sk-SK" sz="1200" i="0">
                  <a:solidFill>
                    <a:schemeClr val="accent1">
                      <a:lumMod val="75000"/>
                    </a:schemeClr>
                  </a:solidFill>
                  <a:latin typeface="Cambria Math"/>
                </a:rPr>
                <a:t>&gt;&lt;𝐻</a:t>
              </a:r>
              <a:r>
                <a:rPr lang="sk-SK" sz="1200" i="0">
                  <a:solidFill>
                    <a:schemeClr val="accent1">
                      <a:lumMod val="75000"/>
                    </a:schemeClr>
                  </a:solidFill>
                  <a:latin typeface="Cambria Math" panose="02040503050406030204" pitchFamily="18" charset="0"/>
                </a:rPr>
                <a:t>_</a:t>
              </a:r>
              <a:r>
                <a:rPr lang="sk-SK" sz="1200" i="0">
                  <a:solidFill>
                    <a:schemeClr val="accent1">
                      <a:lumMod val="75000"/>
                    </a:schemeClr>
                  </a:solidFill>
                  <a:latin typeface="Cambria Math"/>
                </a:rPr>
                <a:t>1:</a:t>
              </a:r>
              <a:r>
                <a:rPr lang="sk-SK" sz="1200" i="1">
                  <a:solidFill>
                    <a:schemeClr val="accent1">
                      <a:lumMod val="75000"/>
                    </a:schemeClr>
                  </a:solidFill>
                  <a:latin typeface="Cambria Math"/>
                </a:rPr>
                <a:t> </a:t>
              </a:r>
              <a:r>
                <a:rPr lang="sk-SK" sz="1200" i="0">
                  <a:solidFill>
                    <a:schemeClr val="accent1">
                      <a:lumMod val="75000"/>
                    </a:schemeClr>
                  </a:solidFill>
                  <a:latin typeface="Cambria Math" panose="02040503050406030204" pitchFamily="18" charset="0"/>
                </a:rPr>
                <a:t>∑1_(</a:t>
              </a:r>
              <a:r>
                <a:rPr lang="sk-SK" sz="1200" i="0">
                  <a:solidFill>
                    <a:schemeClr val="accent1">
                      <a:lumMod val="75000"/>
                    </a:schemeClr>
                  </a:solidFill>
                  <a:latin typeface="Cambria Math"/>
                </a:rPr>
                <a:t>𝑗=1</a:t>
              </a:r>
              <a:r>
                <a:rPr lang="sk-SK" sz="1200" i="0">
                  <a:solidFill>
                    <a:schemeClr val="accent1">
                      <a:lumMod val="75000"/>
                    </a:schemeClr>
                  </a:solidFill>
                  <a:latin typeface="Cambria Math" panose="02040503050406030204" pitchFamily="18" charset="0"/>
                </a:rPr>
                <a:t>)^</a:t>
              </a:r>
              <a:r>
                <a:rPr lang="sk-SK" sz="1200" i="0">
                  <a:solidFill>
                    <a:schemeClr val="accent1">
                      <a:lumMod val="75000"/>
                    </a:schemeClr>
                  </a:solidFill>
                  <a:latin typeface="Cambria Math"/>
                </a:rPr>
                <a:t>𝑘</a:t>
              </a:r>
              <a:r>
                <a:rPr lang="sk-SK" sz="1200" i="0">
                  <a:solidFill>
                    <a:schemeClr val="accent1">
                      <a:lumMod val="75000"/>
                    </a:schemeClr>
                  </a:solidFill>
                  <a:latin typeface="Cambria Math" panose="02040503050406030204" pitchFamily="18" charset="0"/>
                </a:rPr>
                <a:t>▒</a:t>
              </a:r>
              <a:r>
                <a:rPr lang="sk-SK" sz="1200" i="0">
                  <a:solidFill>
                    <a:schemeClr val="accent1">
                      <a:lumMod val="75000"/>
                    </a:schemeClr>
                  </a:solidFill>
                  <a:latin typeface="Cambria Math"/>
                </a:rPr>
                <a:t>𝑏</a:t>
              </a:r>
              <a:r>
                <a:rPr lang="sk-SK" sz="1200" i="0">
                  <a:solidFill>
                    <a:schemeClr val="accent1">
                      <a:lumMod val="75000"/>
                    </a:schemeClr>
                  </a:solidFill>
                  <a:latin typeface="Cambria Math" panose="02040503050406030204" pitchFamily="18" charset="0"/>
                </a:rPr>
                <a:t>_</a:t>
              </a:r>
              <a:r>
                <a:rPr lang="sk-SK" sz="1200" i="0">
                  <a:solidFill>
                    <a:schemeClr val="accent1">
                      <a:lumMod val="75000"/>
                    </a:schemeClr>
                  </a:solidFill>
                  <a:latin typeface="Cambria Math"/>
                </a:rPr>
                <a:t>𝑗𝑗</a:t>
              </a:r>
              <a:r>
                <a:rPr lang="sk-SK" sz="1200" i="0">
                  <a:solidFill>
                    <a:schemeClr val="accent1">
                      <a:lumMod val="75000"/>
                    </a:schemeClr>
                  </a:solidFill>
                  <a:latin typeface="Cambria Math" panose="02040503050406030204" pitchFamily="18" charset="0"/>
                </a:rPr>
                <a:t> </a:t>
              </a:r>
              <a:r>
                <a:rPr lang="sk-SK" sz="1200" i="0">
                  <a:solidFill>
                    <a:schemeClr val="accent1">
                      <a:lumMod val="75000"/>
                    </a:schemeClr>
                  </a:solidFill>
                  <a:latin typeface="Cambria Math"/>
                </a:rPr>
                <a:t>≠0</a:t>
              </a:r>
              <a:endParaRPr lang="sk-SK" sz="1200" i="1">
                <a:solidFill>
                  <a:schemeClr val="accent1">
                    <a:lumMod val="75000"/>
                  </a:schemeClr>
                </a:solidFill>
                <a:latin typeface="Cambria Math"/>
              </a:endParaRPr>
            </a:p>
          </xdr:txBody>
        </xdr:sp>
      </mc:Fallback>
    </mc:AlternateContent>
    <xdr:clientData/>
  </xdr:twoCellAnchor>
  <xdr:twoCellAnchor>
    <xdr:from>
      <xdr:col>0</xdr:col>
      <xdr:colOff>104775</xdr:colOff>
      <xdr:row>23</xdr:row>
      <xdr:rowOff>123825</xdr:rowOff>
    </xdr:from>
    <xdr:to>
      <xdr:col>2</xdr:col>
      <xdr:colOff>342900</xdr:colOff>
      <xdr:row>25</xdr:row>
      <xdr:rowOff>133350</xdr:rowOff>
    </xdr:to>
    <xdr:pic>
      <xdr:nvPicPr>
        <xdr:cNvPr id="11" name="Obrázok 1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3981450"/>
          <a:ext cx="145732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47625</xdr:colOff>
      <xdr:row>19</xdr:row>
      <xdr:rowOff>42626</xdr:rowOff>
    </xdr:from>
    <xdr:to>
      <xdr:col>4</xdr:col>
      <xdr:colOff>438150</xdr:colOff>
      <xdr:row>22</xdr:row>
      <xdr:rowOff>131651</xdr:rowOff>
    </xdr:to>
    <xdr:pic>
      <xdr:nvPicPr>
        <xdr:cNvPr id="14" name="Obrázok 1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66825" y="3138251"/>
          <a:ext cx="1943100" cy="660525"/>
        </a:xfrm>
        <a:prstGeom prst="rect">
          <a:avLst/>
        </a:prstGeom>
      </xdr:spPr>
    </xdr:pic>
    <xdr:clientData/>
  </xdr:twoCellAnchor>
  <xdr:twoCellAnchor editAs="oneCell">
    <xdr:from>
      <xdr:col>7</xdr:col>
      <xdr:colOff>276225</xdr:colOff>
      <xdr:row>22</xdr:row>
      <xdr:rowOff>180975</xdr:rowOff>
    </xdr:from>
    <xdr:to>
      <xdr:col>9</xdr:col>
      <xdr:colOff>257025</xdr:colOff>
      <xdr:row>24</xdr:row>
      <xdr:rowOff>152356</xdr:rowOff>
    </xdr:to>
    <xdr:pic>
      <xdr:nvPicPr>
        <xdr:cNvPr id="15" name="Obrázok 1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76800" y="3848100"/>
          <a:ext cx="1200000" cy="352381"/>
        </a:xfrm>
        <a:prstGeom prst="rect">
          <a:avLst/>
        </a:prstGeom>
      </xdr:spPr>
    </xdr:pic>
    <xdr:clientData/>
  </xdr:twoCellAnchor>
  <xdr:twoCellAnchor editAs="oneCell">
    <xdr:from>
      <xdr:col>7</xdr:col>
      <xdr:colOff>342900</xdr:colOff>
      <xdr:row>25</xdr:row>
      <xdr:rowOff>57150</xdr:rowOff>
    </xdr:from>
    <xdr:to>
      <xdr:col>9</xdr:col>
      <xdr:colOff>247510</xdr:colOff>
      <xdr:row>26</xdr:row>
      <xdr:rowOff>190460</xdr:rowOff>
    </xdr:to>
    <xdr:pic>
      <xdr:nvPicPr>
        <xdr:cNvPr id="16" name="Obrázok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943475" y="4295775"/>
          <a:ext cx="1123810" cy="323810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</xdr:colOff>
      <xdr:row>7</xdr:row>
      <xdr:rowOff>108752</xdr:rowOff>
    </xdr:from>
    <xdr:to>
      <xdr:col>17</xdr:col>
      <xdr:colOff>417676</xdr:colOff>
      <xdr:row>18</xdr:row>
      <xdr:rowOff>189973</xdr:rowOff>
    </xdr:to>
    <xdr:pic>
      <xdr:nvPicPr>
        <xdr:cNvPr id="2" name="Obrázok 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229225" y="1489877"/>
          <a:ext cx="5885026" cy="2176721"/>
        </a:xfrm>
        <a:prstGeom prst="rect">
          <a:avLst/>
        </a:prstGeom>
      </xdr:spPr>
    </xdr:pic>
    <xdr:clientData/>
  </xdr:twoCellAnchor>
  <xdr:twoCellAnchor editAs="oneCell">
    <xdr:from>
      <xdr:col>19</xdr:col>
      <xdr:colOff>28575</xdr:colOff>
      <xdr:row>7</xdr:row>
      <xdr:rowOff>26820</xdr:rowOff>
    </xdr:from>
    <xdr:to>
      <xdr:col>29</xdr:col>
      <xdr:colOff>27151</xdr:colOff>
      <xdr:row>18</xdr:row>
      <xdr:rowOff>180449</xdr:rowOff>
    </xdr:to>
    <xdr:pic>
      <xdr:nvPicPr>
        <xdr:cNvPr id="3" name="Obrázok 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944350" y="1407945"/>
          <a:ext cx="6094576" cy="2249129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47</xdr:row>
      <xdr:rowOff>85725</xdr:rowOff>
    </xdr:from>
    <xdr:to>
      <xdr:col>2</xdr:col>
      <xdr:colOff>381000</xdr:colOff>
      <xdr:row>49</xdr:row>
      <xdr:rowOff>95250</xdr:rowOff>
    </xdr:to>
    <xdr:pic>
      <xdr:nvPicPr>
        <xdr:cNvPr id="13" name="Obrázok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086850"/>
          <a:ext cx="145732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19050</xdr:colOff>
      <xdr:row>48</xdr:row>
      <xdr:rowOff>0</xdr:rowOff>
    </xdr:from>
    <xdr:ext cx="1200000" cy="352381"/>
    <xdr:pic>
      <xdr:nvPicPr>
        <xdr:cNvPr id="18" name="Obrázok 1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29225" y="9191625"/>
          <a:ext cx="1200000" cy="352381"/>
        </a:xfrm>
        <a:prstGeom prst="rect">
          <a:avLst/>
        </a:prstGeom>
      </xdr:spPr>
    </xdr:pic>
    <xdr:clientData/>
  </xdr:oneCellAnchor>
  <xdr:oneCellAnchor>
    <xdr:from>
      <xdr:col>8</xdr:col>
      <xdr:colOff>57150</xdr:colOff>
      <xdr:row>50</xdr:row>
      <xdr:rowOff>38100</xdr:rowOff>
    </xdr:from>
    <xdr:ext cx="1123810" cy="323810"/>
    <xdr:pic>
      <xdr:nvPicPr>
        <xdr:cNvPr id="19" name="Obrázok 1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267325" y="9610725"/>
          <a:ext cx="1123810" cy="323810"/>
        </a:xfrm>
        <a:prstGeom prst="rect">
          <a:avLst/>
        </a:prstGeom>
      </xdr:spPr>
    </xdr:pic>
    <xdr:clientData/>
  </xdr:oneCellAnchor>
  <xdr:twoCellAnchor>
    <xdr:from>
      <xdr:col>2</xdr:col>
      <xdr:colOff>142875</xdr:colOff>
      <xdr:row>43</xdr:row>
      <xdr:rowOff>23576</xdr:rowOff>
    </xdr:from>
    <xdr:to>
      <xdr:col>4</xdr:col>
      <xdr:colOff>200025</xdr:colOff>
      <xdr:row>46</xdr:row>
      <xdr:rowOff>118826</xdr:rowOff>
    </xdr:to>
    <xdr:pic>
      <xdr:nvPicPr>
        <xdr:cNvPr id="20" name="Obrázok 1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520"/>
        <a:stretch/>
      </xdr:blipFill>
      <xdr:spPr bwMode="auto">
        <a:xfrm>
          <a:off x="1362075" y="8262701"/>
          <a:ext cx="160972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11160</xdr:colOff>
      <xdr:row>32</xdr:row>
      <xdr:rowOff>28575</xdr:rowOff>
    </xdr:from>
    <xdr:to>
      <xdr:col>11</xdr:col>
      <xdr:colOff>456243</xdr:colOff>
      <xdr:row>41</xdr:row>
      <xdr:rowOff>180188</xdr:rowOff>
    </xdr:to>
    <xdr:pic>
      <xdr:nvPicPr>
        <xdr:cNvPr id="6" name="Obrázok 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221335" y="6172200"/>
          <a:ext cx="2273883" cy="186611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28575</xdr:rowOff>
    </xdr:from>
    <xdr:to>
      <xdr:col>15</xdr:col>
      <xdr:colOff>57150</xdr:colOff>
      <xdr:row>1</xdr:row>
      <xdr:rowOff>28575</xdr:rowOff>
    </xdr:to>
    <xdr:pic>
      <xdr:nvPicPr>
        <xdr:cNvPr id="3" name="Obrázo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28575"/>
          <a:ext cx="37147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276225</xdr:colOff>
      <xdr:row>1</xdr:row>
      <xdr:rowOff>66675</xdr:rowOff>
    </xdr:from>
    <xdr:to>
      <xdr:col>14</xdr:col>
      <xdr:colOff>447675</xdr:colOff>
      <xdr:row>2</xdr:row>
      <xdr:rowOff>66675</xdr:rowOff>
    </xdr:to>
    <xdr:pic>
      <xdr:nvPicPr>
        <xdr:cNvPr id="4" name="Obrázok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2625" y="257175"/>
          <a:ext cx="32194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190499</xdr:colOff>
      <xdr:row>58</xdr:row>
      <xdr:rowOff>52386</xdr:rowOff>
    </xdr:from>
    <xdr:to>
      <xdr:col>26</xdr:col>
      <xdr:colOff>19050</xdr:colOff>
      <xdr:row>88</xdr:row>
      <xdr:rowOff>114299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0</xdr:row>
      <xdr:rowOff>28575</xdr:rowOff>
    </xdr:from>
    <xdr:to>
      <xdr:col>15</xdr:col>
      <xdr:colOff>57150</xdr:colOff>
      <xdr:row>1</xdr:row>
      <xdr:rowOff>28575</xdr:rowOff>
    </xdr:to>
    <xdr:pic>
      <xdr:nvPicPr>
        <xdr:cNvPr id="6" name="Obrázok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28575"/>
          <a:ext cx="37147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276225</xdr:colOff>
      <xdr:row>1</xdr:row>
      <xdr:rowOff>66675</xdr:rowOff>
    </xdr:from>
    <xdr:to>
      <xdr:col>14</xdr:col>
      <xdr:colOff>447675</xdr:colOff>
      <xdr:row>2</xdr:row>
      <xdr:rowOff>66675</xdr:rowOff>
    </xdr:to>
    <xdr:pic>
      <xdr:nvPicPr>
        <xdr:cNvPr id="7" name="Obrázok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2625" y="257175"/>
          <a:ext cx="32194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95250</xdr:colOff>
      <xdr:row>22</xdr:row>
      <xdr:rowOff>104775</xdr:rowOff>
    </xdr:from>
    <xdr:to>
      <xdr:col>17</xdr:col>
      <xdr:colOff>95250</xdr:colOff>
      <xdr:row>32</xdr:row>
      <xdr:rowOff>95250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114300</xdr:colOff>
      <xdr:row>44</xdr:row>
      <xdr:rowOff>0</xdr:rowOff>
    </xdr:from>
    <xdr:to>
      <xdr:col>9</xdr:col>
      <xdr:colOff>607171</xdr:colOff>
      <xdr:row>48</xdr:row>
      <xdr:rowOff>55660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Obdĺžnik 9"/>
            <xdr:cNvSpPr/>
          </xdr:nvSpPr>
          <xdr:spPr>
            <a:xfrm>
              <a:off x="4381500" y="8448675"/>
              <a:ext cx="1712071" cy="817660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sk-SK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sk-SK" sz="1200" i="1">
                        <a:solidFill>
                          <a:schemeClr val="tx2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𝐵</m:t>
                    </m:r>
                    <m:r>
                      <a:rPr lang="sk-SK" sz="1200" i="1">
                        <a:solidFill>
                          <a:schemeClr val="tx2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=</m:t>
                    </m:r>
                    <m:d>
                      <m:dPr>
                        <m:ctrlPr>
                          <a:rPr lang="sk-SK" sz="1200" i="1">
                            <a:solidFill>
                              <a:schemeClr val="tx2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m>
                          <m:mPr>
                            <m:mcs>
                              <m:mc>
                                <m:mcPr>
                                  <m:count m:val="2"/>
                                  <m:mcJc m:val="center"/>
                                </m:mcPr>
                              </m:mc>
                            </m:mcs>
                            <m:ctrlPr>
                              <a:rPr lang="sk-SK" sz="1200" i="1">
                                <a:solidFill>
                                  <a:schemeClr val="tx2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mPr>
                          <m:mr>
                            <m:e>
                              <m:sSub>
                                <m:sSubPr>
                                  <m:ctrlPr>
                                    <a:rPr lang="sk-SK" sz="1200" i="1">
                                      <a:solidFill>
                                        <a:schemeClr val="tx2"/>
                                      </a:solidFill>
                                      <a:latin typeface="Cambria Math" panose="02040503050406030204" pitchFamily="18" charset="0"/>
                                    </a:rPr>
                                  </m:ctrlPr>
                                </m:sSubPr>
                                <m:e>
                                  <m:r>
                                    <a:rPr lang="en-US" sz="1200" i="1">
                                      <a:solidFill>
                                        <a:schemeClr val="tx2"/>
                                      </a:solidFill>
                                      <a:latin typeface="Cambria Math" panose="02040503050406030204" pitchFamily="18" charset="0"/>
                                    </a:rPr>
                                    <m:t>𝑏</m:t>
                                  </m:r>
                                </m:e>
                                <m:sub>
                                  <m:r>
                                    <a:rPr lang="sk-SK" sz="1200" i="1">
                                      <a:solidFill>
                                        <a:schemeClr val="tx2"/>
                                      </a:solidFill>
                                      <a:latin typeface="Cambria Math" panose="02040503050406030204" pitchFamily="18" charset="0"/>
                                    </a:rPr>
                                    <m:t>11</m:t>
                                  </m:r>
                                </m:sub>
                              </m:sSub>
                            </m:e>
                            <m:e>
                              <m:f>
                                <m:fPr>
                                  <m:ctrlPr>
                                    <a:rPr lang="sk-SK" sz="1200" i="1">
                                      <a:solidFill>
                                        <a:schemeClr val="tx2"/>
                                      </a:solidFill>
                                      <a:latin typeface="Cambria Math" panose="02040503050406030204" pitchFamily="18" charset="0"/>
                                    </a:rPr>
                                  </m:ctrlPr>
                                </m:fPr>
                                <m:num>
                                  <m:sSub>
                                    <m:sSubPr>
                                      <m:ctrlPr>
                                        <a:rPr lang="sk-SK" sz="1200" i="1">
                                          <a:solidFill>
                                            <a:schemeClr val="tx2"/>
                                          </a:solidFill>
                                          <a:latin typeface="Cambria Math" panose="02040503050406030204" pitchFamily="18" charset="0"/>
                                        </a:rPr>
                                      </m:ctrlPr>
                                    </m:sSubPr>
                                    <m:e>
                                      <m:r>
                                        <a:rPr lang="en-US" sz="1200" i="1">
                                          <a:solidFill>
                                            <a:schemeClr val="tx2"/>
                                          </a:solidFill>
                                          <a:latin typeface="Cambria Math" panose="02040503050406030204" pitchFamily="18" charset="0"/>
                                        </a:rPr>
                                        <m:t>𝑏</m:t>
                                      </m:r>
                                    </m:e>
                                    <m:sub>
                                      <m:r>
                                        <a:rPr lang="sk-SK" sz="1200" i="1">
                                          <a:solidFill>
                                            <a:schemeClr val="tx2"/>
                                          </a:solidFill>
                                          <a:latin typeface="Cambria Math" panose="02040503050406030204" pitchFamily="18" charset="0"/>
                                        </a:rPr>
                                        <m:t>12</m:t>
                                      </m:r>
                                    </m:sub>
                                  </m:sSub>
                                </m:num>
                                <m:den>
                                  <m:r>
                                    <a:rPr lang="sk-SK" sz="1200" i="1">
                                      <a:solidFill>
                                        <a:schemeClr val="tx2"/>
                                      </a:solidFill>
                                      <a:latin typeface="Cambria Math" panose="02040503050406030204" pitchFamily="18" charset="0"/>
                                    </a:rPr>
                                    <m:t>2</m:t>
                                  </m:r>
                                </m:den>
                              </m:f>
                            </m:e>
                          </m:mr>
                          <m:mr>
                            <m:e>
                              <m:f>
                                <m:fPr>
                                  <m:ctrlPr>
                                    <a:rPr lang="sk-SK" sz="1200" i="1">
                                      <a:solidFill>
                                        <a:schemeClr val="tx2"/>
                                      </a:solidFill>
                                      <a:latin typeface="Cambria Math" panose="02040503050406030204" pitchFamily="18" charset="0"/>
                                    </a:rPr>
                                  </m:ctrlPr>
                                </m:fPr>
                                <m:num>
                                  <m:sSub>
                                    <m:sSubPr>
                                      <m:ctrlPr>
                                        <a:rPr lang="sk-SK" sz="1200" i="1">
                                          <a:solidFill>
                                            <a:schemeClr val="tx2"/>
                                          </a:solidFill>
                                          <a:latin typeface="Cambria Math" panose="02040503050406030204" pitchFamily="18" charset="0"/>
                                        </a:rPr>
                                      </m:ctrlPr>
                                    </m:sSubPr>
                                    <m:e>
                                      <m:r>
                                        <a:rPr lang="en-US" sz="1200" i="1">
                                          <a:solidFill>
                                            <a:schemeClr val="tx2"/>
                                          </a:solidFill>
                                          <a:latin typeface="Cambria Math" panose="02040503050406030204" pitchFamily="18" charset="0"/>
                                        </a:rPr>
                                        <m:t>𝑏</m:t>
                                      </m:r>
                                    </m:e>
                                    <m:sub>
                                      <m:r>
                                        <a:rPr lang="sk-SK" sz="1200" i="1">
                                          <a:solidFill>
                                            <a:schemeClr val="tx2"/>
                                          </a:solidFill>
                                          <a:latin typeface="Cambria Math" panose="02040503050406030204" pitchFamily="18" charset="0"/>
                                        </a:rPr>
                                        <m:t>12</m:t>
                                      </m:r>
                                    </m:sub>
                                  </m:sSub>
                                </m:num>
                                <m:den>
                                  <m:r>
                                    <a:rPr lang="sk-SK" sz="1200" i="1">
                                      <a:solidFill>
                                        <a:schemeClr val="tx2"/>
                                      </a:solidFill>
                                      <a:latin typeface="Cambria Math" panose="02040503050406030204" pitchFamily="18" charset="0"/>
                                    </a:rPr>
                                    <m:t>2</m:t>
                                  </m:r>
                                </m:den>
                              </m:f>
                            </m:e>
                            <m:e>
                              <m:sSub>
                                <m:sSubPr>
                                  <m:ctrlPr>
                                    <a:rPr lang="sk-SK" sz="1200" i="1">
                                      <a:solidFill>
                                        <a:schemeClr val="tx2"/>
                                      </a:solidFill>
                                      <a:latin typeface="Cambria Math" panose="02040503050406030204" pitchFamily="18" charset="0"/>
                                    </a:rPr>
                                  </m:ctrlPr>
                                </m:sSubPr>
                                <m:e>
                                  <m:r>
                                    <a:rPr lang="en-US" sz="1200" i="1">
                                      <a:solidFill>
                                        <a:schemeClr val="tx2"/>
                                      </a:solidFill>
                                      <a:latin typeface="Cambria Math" panose="02040503050406030204" pitchFamily="18" charset="0"/>
                                    </a:rPr>
                                    <m:t>𝑏</m:t>
                                  </m:r>
                                </m:e>
                                <m:sub>
                                  <m:r>
                                    <a:rPr lang="sk-SK" sz="1200" i="1">
                                      <a:solidFill>
                                        <a:schemeClr val="tx2"/>
                                      </a:solidFill>
                                      <a:latin typeface="Cambria Math" panose="02040503050406030204" pitchFamily="18" charset="0"/>
                                    </a:rPr>
                                    <m:t>22</m:t>
                                  </m:r>
                                </m:sub>
                              </m:sSub>
                            </m:e>
                          </m:mr>
                        </m:m>
                      </m:e>
                    </m:d>
                  </m:oMath>
                </m:oMathPara>
              </a14:m>
              <a:endParaRPr lang="sk-SK" sz="1200">
                <a:solidFill>
                  <a:schemeClr val="tx2"/>
                </a:solidFill>
              </a:endParaRPr>
            </a:p>
          </xdr:txBody>
        </xdr:sp>
      </mc:Choice>
      <mc:Fallback xmlns="">
        <xdr:sp macro="" textlink="">
          <xdr:nvSpPr>
            <xdr:cNvPr id="10" name="Obdĺžnik 9"/>
            <xdr:cNvSpPr/>
          </xdr:nvSpPr>
          <xdr:spPr>
            <a:xfrm>
              <a:off x="4381500" y="8448675"/>
              <a:ext cx="1712071" cy="817660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sk-SK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sk-SK" sz="1200" i="0">
                  <a:solidFill>
                    <a:schemeClr val="tx2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𝐵=(■8(</a:t>
              </a:r>
              <a:r>
                <a:rPr lang="en-US" sz="1200" i="0">
                  <a:solidFill>
                    <a:schemeClr val="tx2"/>
                  </a:solidFill>
                  <a:latin typeface="Cambria Math" panose="02040503050406030204" pitchFamily="18" charset="0"/>
                </a:rPr>
                <a:t>𝑏</a:t>
              </a:r>
              <a:r>
                <a:rPr lang="sk-SK" sz="1200" i="0">
                  <a:solidFill>
                    <a:schemeClr val="tx2"/>
                  </a:solidFill>
                  <a:latin typeface="Cambria Math" panose="02040503050406030204" pitchFamily="18" charset="0"/>
                </a:rPr>
                <a:t>_11&amp;</a:t>
              </a:r>
              <a:r>
                <a:rPr lang="en-US" sz="1200" i="0">
                  <a:solidFill>
                    <a:schemeClr val="tx2"/>
                  </a:solidFill>
                  <a:latin typeface="Cambria Math" panose="02040503050406030204" pitchFamily="18" charset="0"/>
                </a:rPr>
                <a:t>𝑏</a:t>
              </a:r>
              <a:r>
                <a:rPr lang="sk-SK" sz="1200" i="0">
                  <a:solidFill>
                    <a:schemeClr val="tx2"/>
                  </a:solidFill>
                  <a:latin typeface="Cambria Math" panose="02040503050406030204" pitchFamily="18" charset="0"/>
                </a:rPr>
                <a:t>_12/2@</a:t>
              </a:r>
              <a:r>
                <a:rPr lang="en-US" sz="1200" i="0">
                  <a:solidFill>
                    <a:schemeClr val="tx2"/>
                  </a:solidFill>
                  <a:latin typeface="Cambria Math" panose="02040503050406030204" pitchFamily="18" charset="0"/>
                </a:rPr>
                <a:t>𝑏</a:t>
              </a:r>
              <a:r>
                <a:rPr lang="sk-SK" sz="1200" i="0">
                  <a:solidFill>
                    <a:schemeClr val="tx2"/>
                  </a:solidFill>
                  <a:latin typeface="Cambria Math" panose="02040503050406030204" pitchFamily="18" charset="0"/>
                </a:rPr>
                <a:t>_12/2&amp;</a:t>
              </a:r>
              <a:r>
                <a:rPr lang="en-US" sz="1200" i="0">
                  <a:solidFill>
                    <a:schemeClr val="tx2"/>
                  </a:solidFill>
                  <a:latin typeface="Cambria Math" panose="02040503050406030204" pitchFamily="18" charset="0"/>
                </a:rPr>
                <a:t>𝑏</a:t>
              </a:r>
              <a:r>
                <a:rPr lang="sk-SK" sz="1200" i="0">
                  <a:solidFill>
                    <a:schemeClr val="tx2"/>
                  </a:solidFill>
                  <a:latin typeface="Cambria Math" panose="02040503050406030204" pitchFamily="18" charset="0"/>
                </a:rPr>
                <a:t>_22 ))</a:t>
              </a:r>
              <a:endParaRPr lang="sk-SK" sz="1200">
                <a:solidFill>
                  <a:schemeClr val="tx2"/>
                </a:solidFill>
              </a:endParaRPr>
            </a:p>
          </xdr:txBody>
        </xdr:sp>
      </mc:Fallback>
    </mc:AlternateContent>
    <xdr:clientData/>
  </xdr:twoCellAnchor>
  <xdr:twoCellAnchor>
    <xdr:from>
      <xdr:col>9</xdr:col>
      <xdr:colOff>533400</xdr:colOff>
      <xdr:row>44</xdr:row>
      <xdr:rowOff>161925</xdr:rowOff>
    </xdr:from>
    <xdr:to>
      <xdr:col>11</xdr:col>
      <xdr:colOff>330247</xdr:colOff>
      <xdr:row>47</xdr:row>
      <xdr:rowOff>32213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Obdĺžnik 10"/>
            <xdr:cNvSpPr/>
          </xdr:nvSpPr>
          <xdr:spPr>
            <a:xfrm>
              <a:off x="6019800" y="8610600"/>
              <a:ext cx="1016047" cy="441788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sk-SK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sk-SK" sz="1200" i="1">
                        <a:solidFill>
                          <a:schemeClr val="tx2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𝑏</m:t>
                    </m:r>
                    <m:r>
                      <a:rPr lang="sk-SK" sz="1200" i="1">
                        <a:solidFill>
                          <a:schemeClr val="tx2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=</m:t>
                    </m:r>
                    <m:d>
                      <m:dPr>
                        <m:ctrlPr>
                          <a:rPr lang="sk-SK" sz="1200" i="1">
                            <a:solidFill>
                              <a:schemeClr val="tx2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m>
                          <m:mPr>
                            <m:mcs>
                              <m:mc>
                                <m:mcPr>
                                  <m:count m:val="1"/>
                                  <m:mcJc m:val="center"/>
                                </m:mcPr>
                              </m:mc>
                            </m:mcs>
                            <m:ctrlPr>
                              <a:rPr lang="sk-SK" sz="1200" i="1">
                                <a:solidFill>
                                  <a:schemeClr val="tx2"/>
                                </a:solidFill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mPr>
                          <m:mr>
                            <m:e>
                              <m:sSub>
                                <m:sSubPr>
                                  <m:ctrlPr>
                                    <a:rPr lang="sk-SK" sz="1200" i="1">
                                      <a:solidFill>
                                        <a:schemeClr val="tx2"/>
                                      </a:solidFill>
                                      <a:latin typeface="Cambria Math" panose="02040503050406030204" pitchFamily="18" charset="0"/>
                                      <a:ea typeface="Cambria Math" panose="02040503050406030204" pitchFamily="18" charset="0"/>
                                    </a:rPr>
                                  </m:ctrlPr>
                                </m:sSubPr>
                                <m:e>
                                  <m:r>
                                    <a:rPr lang="sk-SK" sz="1200" i="1">
                                      <a:solidFill>
                                        <a:schemeClr val="tx2"/>
                                      </a:solidFill>
                                      <a:latin typeface="Cambria Math" panose="02040503050406030204" pitchFamily="18" charset="0"/>
                                      <a:ea typeface="Cambria Math" panose="02040503050406030204" pitchFamily="18" charset="0"/>
                                    </a:rPr>
                                    <m:t>𝑏</m:t>
                                  </m:r>
                                </m:e>
                                <m:sub>
                                  <m:r>
                                    <a:rPr lang="sk-SK" sz="1200" i="1">
                                      <a:solidFill>
                                        <a:schemeClr val="tx2"/>
                                      </a:solidFill>
                                      <a:latin typeface="Cambria Math" panose="02040503050406030204" pitchFamily="18" charset="0"/>
                                      <a:ea typeface="Cambria Math" panose="02040503050406030204" pitchFamily="18" charset="0"/>
                                    </a:rPr>
                                    <m:t>1</m:t>
                                  </m:r>
                                </m:sub>
                              </m:sSub>
                            </m:e>
                          </m:mr>
                          <m:mr>
                            <m:e>
                              <m:sSub>
                                <m:sSubPr>
                                  <m:ctrlPr>
                                    <a:rPr lang="sk-SK" sz="1200" i="1">
                                      <a:solidFill>
                                        <a:schemeClr val="tx2"/>
                                      </a:solidFill>
                                      <a:latin typeface="Cambria Math" panose="02040503050406030204" pitchFamily="18" charset="0"/>
                                      <a:ea typeface="Cambria Math" panose="02040503050406030204" pitchFamily="18" charset="0"/>
                                    </a:rPr>
                                  </m:ctrlPr>
                                </m:sSubPr>
                                <m:e>
                                  <m:r>
                                    <a:rPr lang="sk-SK" sz="1200" i="1">
                                      <a:solidFill>
                                        <a:schemeClr val="tx2"/>
                                      </a:solidFill>
                                      <a:latin typeface="Cambria Math" panose="02040503050406030204" pitchFamily="18" charset="0"/>
                                      <a:ea typeface="Cambria Math" panose="02040503050406030204" pitchFamily="18" charset="0"/>
                                    </a:rPr>
                                    <m:t>𝑏</m:t>
                                  </m:r>
                                </m:e>
                                <m:sub>
                                  <m:r>
                                    <a:rPr lang="sk-SK" sz="1200" i="1">
                                      <a:solidFill>
                                        <a:schemeClr val="tx2"/>
                                      </a:solidFill>
                                      <a:latin typeface="Cambria Math" panose="02040503050406030204" pitchFamily="18" charset="0"/>
                                      <a:ea typeface="Cambria Math" panose="02040503050406030204" pitchFamily="18" charset="0"/>
                                    </a:rPr>
                                    <m:t>2</m:t>
                                  </m:r>
                                </m:sub>
                              </m:sSub>
                            </m:e>
                          </m:mr>
                        </m:m>
                      </m:e>
                    </m:d>
                  </m:oMath>
                </m:oMathPara>
              </a14:m>
              <a:endParaRPr lang="sk-SK" sz="1200"/>
            </a:p>
          </xdr:txBody>
        </xdr:sp>
      </mc:Choice>
      <mc:Fallback xmlns="">
        <xdr:sp macro="" textlink="">
          <xdr:nvSpPr>
            <xdr:cNvPr id="11" name="Obdĺžnik 10"/>
            <xdr:cNvSpPr/>
          </xdr:nvSpPr>
          <xdr:spPr>
            <a:xfrm>
              <a:off x="6019800" y="8610600"/>
              <a:ext cx="1016047" cy="441788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sk-SK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sk-SK" sz="1200" i="0">
                  <a:solidFill>
                    <a:schemeClr val="tx2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𝑏=(■8(𝑏_1@𝑏_2 ))</a:t>
              </a:r>
              <a:endParaRPr lang="sk-SK" sz="1200"/>
            </a:p>
          </xdr:txBody>
        </xdr:sp>
      </mc:Fallback>
    </mc:AlternateContent>
    <xdr:clientData/>
  </xdr:twoCellAnchor>
  <xdr:twoCellAnchor editAs="oneCell">
    <xdr:from>
      <xdr:col>12</xdr:col>
      <xdr:colOff>19050</xdr:colOff>
      <xdr:row>44</xdr:row>
      <xdr:rowOff>130185</xdr:rowOff>
    </xdr:from>
    <xdr:to>
      <xdr:col>13</xdr:col>
      <xdr:colOff>504825</xdr:colOff>
      <xdr:row>46</xdr:row>
      <xdr:rowOff>171361</xdr:rowOff>
    </xdr:to>
    <xdr:pic>
      <xdr:nvPicPr>
        <xdr:cNvPr id="12" name="Obrázok 1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334250" y="8578860"/>
          <a:ext cx="1095375" cy="42217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41</xdr:row>
      <xdr:rowOff>47625</xdr:rowOff>
    </xdr:from>
    <xdr:to>
      <xdr:col>7</xdr:col>
      <xdr:colOff>390018</xdr:colOff>
      <xdr:row>46</xdr:row>
      <xdr:rowOff>180839</xdr:rowOff>
    </xdr:to>
    <xdr:pic>
      <xdr:nvPicPr>
        <xdr:cNvPr id="2" name="Obrázo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5" y="7915275"/>
          <a:ext cx="4057143" cy="1085714"/>
        </a:xfrm>
        <a:prstGeom prst="rect">
          <a:avLst/>
        </a:prstGeom>
      </xdr:spPr>
    </xdr:pic>
    <xdr:clientData/>
  </xdr:twoCellAnchor>
  <xdr:twoCellAnchor editAs="oneCell">
    <xdr:from>
      <xdr:col>8</xdr:col>
      <xdr:colOff>180975</xdr:colOff>
      <xdr:row>40</xdr:row>
      <xdr:rowOff>180975</xdr:rowOff>
    </xdr:from>
    <xdr:to>
      <xdr:col>14</xdr:col>
      <xdr:colOff>609090</xdr:colOff>
      <xdr:row>53</xdr:row>
      <xdr:rowOff>123523</xdr:rowOff>
    </xdr:to>
    <xdr:pic>
      <xdr:nvPicPr>
        <xdr:cNvPr id="3" name="Obrázo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57775" y="7858125"/>
          <a:ext cx="4085715" cy="241904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1</xdr:row>
      <xdr:rowOff>19050</xdr:rowOff>
    </xdr:from>
    <xdr:to>
      <xdr:col>0</xdr:col>
      <xdr:colOff>561975</xdr:colOff>
      <xdr:row>1</xdr:row>
      <xdr:rowOff>171450</xdr:rowOff>
    </xdr:to>
    <xdr:pic>
      <xdr:nvPicPr>
        <xdr:cNvPr id="2" name="Obrázok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209550"/>
          <a:ext cx="12382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361950</xdr:colOff>
      <xdr:row>1</xdr:row>
      <xdr:rowOff>0</xdr:rowOff>
    </xdr:from>
    <xdr:to>
      <xdr:col>3</xdr:col>
      <xdr:colOff>514350</xdr:colOff>
      <xdr:row>1</xdr:row>
      <xdr:rowOff>152400</xdr:rowOff>
    </xdr:to>
    <xdr:pic>
      <xdr:nvPicPr>
        <xdr:cNvPr id="3" name="Obrázok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1905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342900</xdr:colOff>
      <xdr:row>1</xdr:row>
      <xdr:rowOff>19050</xdr:rowOff>
    </xdr:from>
    <xdr:to>
      <xdr:col>7</xdr:col>
      <xdr:colOff>495300</xdr:colOff>
      <xdr:row>1</xdr:row>
      <xdr:rowOff>171450</xdr:rowOff>
    </xdr:to>
    <xdr:pic>
      <xdr:nvPicPr>
        <xdr:cNvPr id="4" name="Obrázok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2095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476250</xdr:colOff>
      <xdr:row>2</xdr:row>
      <xdr:rowOff>57150</xdr:rowOff>
    </xdr:from>
    <xdr:to>
      <xdr:col>1</xdr:col>
      <xdr:colOff>419100</xdr:colOff>
      <xdr:row>3</xdr:row>
      <xdr:rowOff>0</xdr:rowOff>
    </xdr:to>
    <xdr:pic>
      <xdr:nvPicPr>
        <xdr:cNvPr id="5" name="Obrázok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438150"/>
          <a:ext cx="55245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76200</xdr:colOff>
      <xdr:row>2</xdr:row>
      <xdr:rowOff>38100</xdr:rowOff>
    </xdr:from>
    <xdr:to>
      <xdr:col>3</xdr:col>
      <xdr:colOff>161925</xdr:colOff>
      <xdr:row>3</xdr:row>
      <xdr:rowOff>0</xdr:rowOff>
    </xdr:to>
    <xdr:pic>
      <xdr:nvPicPr>
        <xdr:cNvPr id="6" name="Obrázok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419100"/>
          <a:ext cx="69532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495300</xdr:colOff>
      <xdr:row>2</xdr:row>
      <xdr:rowOff>28575</xdr:rowOff>
    </xdr:from>
    <xdr:to>
      <xdr:col>4</xdr:col>
      <xdr:colOff>447675</xdr:colOff>
      <xdr:row>2</xdr:row>
      <xdr:rowOff>180975</xdr:rowOff>
    </xdr:to>
    <xdr:pic>
      <xdr:nvPicPr>
        <xdr:cNvPr id="7" name="Obrázok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409575"/>
          <a:ext cx="5619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38100</xdr:rowOff>
    </xdr:from>
    <xdr:to>
      <xdr:col>1</xdr:col>
      <xdr:colOff>400050</xdr:colOff>
      <xdr:row>5</xdr:row>
      <xdr:rowOff>0</xdr:rowOff>
    </xdr:to>
    <xdr:pic>
      <xdr:nvPicPr>
        <xdr:cNvPr id="8" name="Obrázok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1100"/>
          <a:ext cx="100965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</xdr:colOff>
      <xdr:row>5</xdr:row>
      <xdr:rowOff>28575</xdr:rowOff>
    </xdr:from>
    <xdr:to>
      <xdr:col>3</xdr:col>
      <xdr:colOff>247650</xdr:colOff>
      <xdr:row>5</xdr:row>
      <xdr:rowOff>180975</xdr:rowOff>
    </xdr:to>
    <xdr:pic>
      <xdr:nvPicPr>
        <xdr:cNvPr id="9" name="Obrázok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362075"/>
          <a:ext cx="2057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</xdr:row>
      <xdr:rowOff>47625</xdr:rowOff>
    </xdr:from>
    <xdr:to>
      <xdr:col>1</xdr:col>
      <xdr:colOff>323850</xdr:colOff>
      <xdr:row>7</xdr:row>
      <xdr:rowOff>0</xdr:rowOff>
    </xdr:to>
    <xdr:pic>
      <xdr:nvPicPr>
        <xdr:cNvPr id="10" name="Obrázok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1625"/>
          <a:ext cx="93345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76200</xdr:colOff>
      <xdr:row>6</xdr:row>
      <xdr:rowOff>28575</xdr:rowOff>
    </xdr:from>
    <xdr:to>
      <xdr:col>7</xdr:col>
      <xdr:colOff>0</xdr:colOff>
      <xdr:row>6</xdr:row>
      <xdr:rowOff>180975</xdr:rowOff>
    </xdr:to>
    <xdr:pic>
      <xdr:nvPicPr>
        <xdr:cNvPr id="11" name="Obrázok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1552575"/>
          <a:ext cx="11430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390525</xdr:colOff>
      <xdr:row>6</xdr:row>
      <xdr:rowOff>38100</xdr:rowOff>
    </xdr:from>
    <xdr:to>
      <xdr:col>5</xdr:col>
      <xdr:colOff>9525</xdr:colOff>
      <xdr:row>6</xdr:row>
      <xdr:rowOff>190500</xdr:rowOff>
    </xdr:to>
    <xdr:pic>
      <xdr:nvPicPr>
        <xdr:cNvPr id="12" name="Obrázok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1562100"/>
          <a:ext cx="2057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7</xdr:row>
      <xdr:rowOff>38100</xdr:rowOff>
    </xdr:from>
    <xdr:to>
      <xdr:col>1</xdr:col>
      <xdr:colOff>352425</xdr:colOff>
      <xdr:row>8</xdr:row>
      <xdr:rowOff>0</xdr:rowOff>
    </xdr:to>
    <xdr:pic>
      <xdr:nvPicPr>
        <xdr:cNvPr id="13" name="Obrázok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762125"/>
          <a:ext cx="93345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419100</xdr:colOff>
      <xdr:row>7</xdr:row>
      <xdr:rowOff>38100</xdr:rowOff>
    </xdr:from>
    <xdr:to>
      <xdr:col>3</xdr:col>
      <xdr:colOff>133350</xdr:colOff>
      <xdr:row>8</xdr:row>
      <xdr:rowOff>0</xdr:rowOff>
    </xdr:to>
    <xdr:pic>
      <xdr:nvPicPr>
        <xdr:cNvPr id="14" name="Obrázok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1762125"/>
          <a:ext cx="93345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190500</xdr:colOff>
      <xdr:row>7</xdr:row>
      <xdr:rowOff>19050</xdr:rowOff>
    </xdr:from>
    <xdr:to>
      <xdr:col>6</xdr:col>
      <xdr:colOff>352425</xdr:colOff>
      <xdr:row>7</xdr:row>
      <xdr:rowOff>171450</xdr:rowOff>
    </xdr:to>
    <xdr:pic>
      <xdr:nvPicPr>
        <xdr:cNvPr id="15" name="Obrázok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1743075"/>
          <a:ext cx="199072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209550</xdr:colOff>
      <xdr:row>5</xdr:row>
      <xdr:rowOff>0</xdr:rowOff>
    </xdr:from>
    <xdr:to>
      <xdr:col>7</xdr:col>
      <xdr:colOff>0</xdr:colOff>
      <xdr:row>5</xdr:row>
      <xdr:rowOff>152400</xdr:rowOff>
    </xdr:to>
    <xdr:pic>
      <xdr:nvPicPr>
        <xdr:cNvPr id="16" name="Obrázok 1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50" y="1333500"/>
          <a:ext cx="100965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295275</xdr:colOff>
      <xdr:row>5</xdr:row>
      <xdr:rowOff>28575</xdr:rowOff>
    </xdr:from>
    <xdr:to>
      <xdr:col>5</xdr:col>
      <xdr:colOff>152400</xdr:colOff>
      <xdr:row>5</xdr:row>
      <xdr:rowOff>180975</xdr:rowOff>
    </xdr:to>
    <xdr:pic>
      <xdr:nvPicPr>
        <xdr:cNvPr id="17" name="Obrázok 16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1362075"/>
          <a:ext cx="107632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238125</xdr:colOff>
      <xdr:row>4</xdr:row>
      <xdr:rowOff>47625</xdr:rowOff>
    </xdr:from>
    <xdr:to>
      <xdr:col>6</xdr:col>
      <xdr:colOff>466725</xdr:colOff>
      <xdr:row>5</xdr:row>
      <xdr:rowOff>9525</xdr:rowOff>
    </xdr:to>
    <xdr:pic>
      <xdr:nvPicPr>
        <xdr:cNvPr id="18" name="Obrázok 17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925" y="1190625"/>
          <a:ext cx="2057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466725</xdr:colOff>
      <xdr:row>4</xdr:row>
      <xdr:rowOff>57150</xdr:rowOff>
    </xdr:from>
    <xdr:to>
      <xdr:col>3</xdr:col>
      <xdr:colOff>180975</xdr:colOff>
      <xdr:row>5</xdr:row>
      <xdr:rowOff>19050</xdr:rowOff>
    </xdr:to>
    <xdr:pic>
      <xdr:nvPicPr>
        <xdr:cNvPr id="19" name="Obrázok 18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1200150"/>
          <a:ext cx="93345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409575</xdr:colOff>
      <xdr:row>8</xdr:row>
      <xdr:rowOff>38100</xdr:rowOff>
    </xdr:from>
    <xdr:to>
      <xdr:col>2</xdr:col>
      <xdr:colOff>476250</xdr:colOff>
      <xdr:row>9</xdr:row>
      <xdr:rowOff>9525</xdr:rowOff>
    </xdr:to>
    <xdr:pic>
      <xdr:nvPicPr>
        <xdr:cNvPr id="20" name="Obrázok 19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1952625"/>
          <a:ext cx="666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323850</xdr:colOff>
      <xdr:row>8</xdr:row>
      <xdr:rowOff>19050</xdr:rowOff>
    </xdr:from>
    <xdr:to>
      <xdr:col>10</xdr:col>
      <xdr:colOff>476250</xdr:colOff>
      <xdr:row>9</xdr:row>
      <xdr:rowOff>19050</xdr:rowOff>
    </xdr:to>
    <xdr:pic>
      <xdr:nvPicPr>
        <xdr:cNvPr id="21" name="Obrázok 20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0" y="1933575"/>
          <a:ext cx="7620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571500</xdr:colOff>
      <xdr:row>10</xdr:row>
      <xdr:rowOff>28575</xdr:rowOff>
    </xdr:from>
    <xdr:to>
      <xdr:col>15</xdr:col>
      <xdr:colOff>9525</xdr:colOff>
      <xdr:row>11</xdr:row>
      <xdr:rowOff>0</xdr:rowOff>
    </xdr:to>
    <xdr:pic>
      <xdr:nvPicPr>
        <xdr:cNvPr id="23" name="Obrázok 22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6300" y="2343150"/>
          <a:ext cx="6572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12</xdr:row>
      <xdr:rowOff>47625</xdr:rowOff>
    </xdr:from>
    <xdr:to>
      <xdr:col>3</xdr:col>
      <xdr:colOff>476250</xdr:colOff>
      <xdr:row>13</xdr:row>
      <xdr:rowOff>0</xdr:rowOff>
    </xdr:to>
    <xdr:pic>
      <xdr:nvPicPr>
        <xdr:cNvPr id="24" name="Obrázok 23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2362200"/>
          <a:ext cx="47625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38100</xdr:colOff>
      <xdr:row>13</xdr:row>
      <xdr:rowOff>38100</xdr:rowOff>
    </xdr:from>
    <xdr:to>
      <xdr:col>15</xdr:col>
      <xdr:colOff>514350</xdr:colOff>
      <xdr:row>14</xdr:row>
      <xdr:rowOff>0</xdr:rowOff>
    </xdr:to>
    <xdr:pic>
      <xdr:nvPicPr>
        <xdr:cNvPr id="26" name="Obrázok 25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82100" y="2552700"/>
          <a:ext cx="47625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438150</xdr:colOff>
      <xdr:row>1</xdr:row>
      <xdr:rowOff>19050</xdr:rowOff>
    </xdr:from>
    <xdr:to>
      <xdr:col>0</xdr:col>
      <xdr:colOff>561975</xdr:colOff>
      <xdr:row>1</xdr:row>
      <xdr:rowOff>171450</xdr:rowOff>
    </xdr:to>
    <xdr:pic>
      <xdr:nvPicPr>
        <xdr:cNvPr id="27" name="Obrázok 2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209550"/>
          <a:ext cx="12382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76200</xdr:colOff>
      <xdr:row>2</xdr:row>
      <xdr:rowOff>38100</xdr:rowOff>
    </xdr:from>
    <xdr:to>
      <xdr:col>3</xdr:col>
      <xdr:colOff>161925</xdr:colOff>
      <xdr:row>3</xdr:row>
      <xdr:rowOff>0</xdr:rowOff>
    </xdr:to>
    <xdr:pic>
      <xdr:nvPicPr>
        <xdr:cNvPr id="31" name="Obrázok 3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419100"/>
          <a:ext cx="69532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495300</xdr:colOff>
      <xdr:row>2</xdr:row>
      <xdr:rowOff>28575</xdr:rowOff>
    </xdr:from>
    <xdr:to>
      <xdr:col>4</xdr:col>
      <xdr:colOff>447675</xdr:colOff>
      <xdr:row>2</xdr:row>
      <xdr:rowOff>180975</xdr:rowOff>
    </xdr:to>
    <xdr:pic>
      <xdr:nvPicPr>
        <xdr:cNvPr id="32" name="Obrázok 3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409575"/>
          <a:ext cx="5619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38100</xdr:rowOff>
    </xdr:from>
    <xdr:to>
      <xdr:col>1</xdr:col>
      <xdr:colOff>400050</xdr:colOff>
      <xdr:row>5</xdr:row>
      <xdr:rowOff>0</xdr:rowOff>
    </xdr:to>
    <xdr:pic>
      <xdr:nvPicPr>
        <xdr:cNvPr id="33" name="Obrázok 3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0100"/>
          <a:ext cx="100965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</xdr:colOff>
      <xdr:row>5</xdr:row>
      <xdr:rowOff>28575</xdr:rowOff>
    </xdr:from>
    <xdr:to>
      <xdr:col>3</xdr:col>
      <xdr:colOff>247650</xdr:colOff>
      <xdr:row>5</xdr:row>
      <xdr:rowOff>180975</xdr:rowOff>
    </xdr:to>
    <xdr:pic>
      <xdr:nvPicPr>
        <xdr:cNvPr id="34" name="Obrázok 33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981075"/>
          <a:ext cx="2057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</xdr:row>
      <xdr:rowOff>47625</xdr:rowOff>
    </xdr:from>
    <xdr:to>
      <xdr:col>1</xdr:col>
      <xdr:colOff>323850</xdr:colOff>
      <xdr:row>7</xdr:row>
      <xdr:rowOff>0</xdr:rowOff>
    </xdr:to>
    <xdr:pic>
      <xdr:nvPicPr>
        <xdr:cNvPr id="35" name="Obrázok 34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3345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76200</xdr:colOff>
      <xdr:row>6</xdr:row>
      <xdr:rowOff>28575</xdr:rowOff>
    </xdr:from>
    <xdr:to>
      <xdr:col>7</xdr:col>
      <xdr:colOff>0</xdr:colOff>
      <xdr:row>6</xdr:row>
      <xdr:rowOff>180975</xdr:rowOff>
    </xdr:to>
    <xdr:pic>
      <xdr:nvPicPr>
        <xdr:cNvPr id="36" name="Obrázok 35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1171575"/>
          <a:ext cx="139065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390525</xdr:colOff>
      <xdr:row>6</xdr:row>
      <xdr:rowOff>38100</xdr:rowOff>
    </xdr:from>
    <xdr:to>
      <xdr:col>5</xdr:col>
      <xdr:colOff>9525</xdr:colOff>
      <xdr:row>6</xdr:row>
      <xdr:rowOff>190500</xdr:rowOff>
    </xdr:to>
    <xdr:pic>
      <xdr:nvPicPr>
        <xdr:cNvPr id="37" name="Obrázok 36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1181100"/>
          <a:ext cx="2057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7</xdr:row>
      <xdr:rowOff>38100</xdr:rowOff>
    </xdr:from>
    <xdr:to>
      <xdr:col>1</xdr:col>
      <xdr:colOff>352425</xdr:colOff>
      <xdr:row>8</xdr:row>
      <xdr:rowOff>0</xdr:rowOff>
    </xdr:to>
    <xdr:pic>
      <xdr:nvPicPr>
        <xdr:cNvPr id="38" name="Obrázok 37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381125"/>
          <a:ext cx="93345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419100</xdr:colOff>
      <xdr:row>7</xdr:row>
      <xdr:rowOff>38100</xdr:rowOff>
    </xdr:from>
    <xdr:to>
      <xdr:col>3</xdr:col>
      <xdr:colOff>133350</xdr:colOff>
      <xdr:row>8</xdr:row>
      <xdr:rowOff>0</xdr:rowOff>
    </xdr:to>
    <xdr:pic>
      <xdr:nvPicPr>
        <xdr:cNvPr id="39" name="Obrázok 38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1381125"/>
          <a:ext cx="93345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190500</xdr:colOff>
      <xdr:row>7</xdr:row>
      <xdr:rowOff>19050</xdr:rowOff>
    </xdr:from>
    <xdr:to>
      <xdr:col>6</xdr:col>
      <xdr:colOff>352425</xdr:colOff>
      <xdr:row>7</xdr:row>
      <xdr:rowOff>171450</xdr:rowOff>
    </xdr:to>
    <xdr:pic>
      <xdr:nvPicPr>
        <xdr:cNvPr id="40" name="Obrázok 39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1362075"/>
          <a:ext cx="22383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295275</xdr:colOff>
      <xdr:row>5</xdr:row>
      <xdr:rowOff>28575</xdr:rowOff>
    </xdr:from>
    <xdr:to>
      <xdr:col>5</xdr:col>
      <xdr:colOff>152400</xdr:colOff>
      <xdr:row>5</xdr:row>
      <xdr:rowOff>180975</xdr:rowOff>
    </xdr:to>
    <xdr:pic>
      <xdr:nvPicPr>
        <xdr:cNvPr id="42" name="Obrázok 41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981075"/>
          <a:ext cx="107632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238125</xdr:colOff>
      <xdr:row>4</xdr:row>
      <xdr:rowOff>47625</xdr:rowOff>
    </xdr:from>
    <xdr:to>
      <xdr:col>6</xdr:col>
      <xdr:colOff>466725</xdr:colOff>
      <xdr:row>5</xdr:row>
      <xdr:rowOff>9525</xdr:rowOff>
    </xdr:to>
    <xdr:pic>
      <xdr:nvPicPr>
        <xdr:cNvPr id="43" name="Obrázok 42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925" y="809625"/>
          <a:ext cx="230505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466725</xdr:colOff>
      <xdr:row>4</xdr:row>
      <xdr:rowOff>57150</xdr:rowOff>
    </xdr:from>
    <xdr:to>
      <xdr:col>3</xdr:col>
      <xdr:colOff>180975</xdr:colOff>
      <xdr:row>5</xdr:row>
      <xdr:rowOff>19050</xdr:rowOff>
    </xdr:to>
    <xdr:pic>
      <xdr:nvPicPr>
        <xdr:cNvPr id="44" name="Obrázok 43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819150"/>
          <a:ext cx="93345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2198</xdr:colOff>
      <xdr:row>10</xdr:row>
      <xdr:rowOff>26377</xdr:rowOff>
    </xdr:from>
    <xdr:to>
      <xdr:col>9</xdr:col>
      <xdr:colOff>154598</xdr:colOff>
      <xdr:row>11</xdr:row>
      <xdr:rowOff>26377</xdr:rowOff>
    </xdr:to>
    <xdr:pic>
      <xdr:nvPicPr>
        <xdr:cNvPr id="47" name="Obrázok 46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6648" y="1950427"/>
          <a:ext cx="762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571500</xdr:colOff>
      <xdr:row>10</xdr:row>
      <xdr:rowOff>28575</xdr:rowOff>
    </xdr:from>
    <xdr:to>
      <xdr:col>15</xdr:col>
      <xdr:colOff>9525</xdr:colOff>
      <xdr:row>11</xdr:row>
      <xdr:rowOff>0</xdr:rowOff>
    </xdr:to>
    <xdr:pic>
      <xdr:nvPicPr>
        <xdr:cNvPr id="48" name="Obrázok 47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952625"/>
          <a:ext cx="6572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38100</xdr:colOff>
      <xdr:row>13</xdr:row>
      <xdr:rowOff>38100</xdr:rowOff>
    </xdr:from>
    <xdr:to>
      <xdr:col>15</xdr:col>
      <xdr:colOff>514350</xdr:colOff>
      <xdr:row>14</xdr:row>
      <xdr:rowOff>0</xdr:rowOff>
    </xdr:to>
    <xdr:pic>
      <xdr:nvPicPr>
        <xdr:cNvPr id="50" name="Obrázok 49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0" y="2533650"/>
          <a:ext cx="47625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247650</xdr:colOff>
      <xdr:row>17</xdr:row>
      <xdr:rowOff>76200</xdr:rowOff>
    </xdr:from>
    <xdr:to>
      <xdr:col>22</xdr:col>
      <xdr:colOff>552450</xdr:colOff>
      <xdr:row>46</xdr:row>
      <xdr:rowOff>38100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0800" y="3314700"/>
          <a:ext cx="8229600" cy="5486400"/>
        </a:xfrm>
        <a:prstGeom prst="rect">
          <a:avLst/>
        </a:prstGeom>
      </xdr:spPr>
    </xdr:pic>
    <xdr:clientData/>
  </xdr:twoCellAnchor>
  <xdr:twoCellAnchor editAs="oneCell">
    <xdr:from>
      <xdr:col>1</xdr:col>
      <xdr:colOff>590550</xdr:colOff>
      <xdr:row>49</xdr:row>
      <xdr:rowOff>187325</xdr:rowOff>
    </xdr:from>
    <xdr:to>
      <xdr:col>12</xdr:col>
      <xdr:colOff>304800</xdr:colOff>
      <xdr:row>74</xdr:row>
      <xdr:rowOff>149225</xdr:rowOff>
    </xdr:to>
    <xdr:pic>
      <xdr:nvPicPr>
        <xdr:cNvPr id="4" name="Obrázok 3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0150" y="9521825"/>
          <a:ext cx="7086600" cy="4724400"/>
        </a:xfrm>
        <a:prstGeom prst="rect">
          <a:avLst/>
        </a:prstGeom>
      </xdr:spPr>
    </xdr:pic>
    <xdr:clientData/>
  </xdr:twoCellAnchor>
  <xdr:twoCellAnchor editAs="oneCell">
    <xdr:from>
      <xdr:col>12</xdr:col>
      <xdr:colOff>371475</xdr:colOff>
      <xdr:row>50</xdr:row>
      <xdr:rowOff>25400</xdr:rowOff>
    </xdr:from>
    <xdr:to>
      <xdr:col>24</xdr:col>
      <xdr:colOff>190499</xdr:colOff>
      <xdr:row>75</xdr:row>
      <xdr:rowOff>19049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53425" y="9550400"/>
          <a:ext cx="7134224" cy="47561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</xdr:row>
      <xdr:rowOff>180975</xdr:rowOff>
    </xdr:from>
    <xdr:to>
      <xdr:col>12</xdr:col>
      <xdr:colOff>600075</xdr:colOff>
      <xdr:row>92</xdr:row>
      <xdr:rowOff>28575</xdr:rowOff>
    </xdr:to>
    <xdr:pic>
      <xdr:nvPicPr>
        <xdr:cNvPr id="6" name="Obrázok 5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41935"/>
        <a:stretch/>
      </xdr:blipFill>
      <xdr:spPr>
        <a:xfrm>
          <a:off x="609600" y="14468475"/>
          <a:ext cx="7972425" cy="3086100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75</xdr:row>
      <xdr:rowOff>180975</xdr:rowOff>
    </xdr:from>
    <xdr:to>
      <xdr:col>25</xdr:col>
      <xdr:colOff>85724</xdr:colOff>
      <xdr:row>101</xdr:row>
      <xdr:rowOff>130174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639175" y="14468475"/>
          <a:ext cx="7353299" cy="4902199"/>
        </a:xfrm>
        <a:prstGeom prst="rect">
          <a:avLst/>
        </a:prstGeom>
      </xdr:spPr>
    </xdr:pic>
    <xdr:clientData/>
  </xdr:twoCellAnchor>
  <xdr:twoCellAnchor editAs="oneCell">
    <xdr:from>
      <xdr:col>1</xdr:col>
      <xdr:colOff>347661</xdr:colOff>
      <xdr:row>153</xdr:row>
      <xdr:rowOff>146050</xdr:rowOff>
    </xdr:from>
    <xdr:to>
      <xdr:col>7</xdr:col>
      <xdr:colOff>219074</xdr:colOff>
      <xdr:row>168</xdr:row>
      <xdr:rowOff>85725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7261" y="29292550"/>
          <a:ext cx="4195763" cy="2797175"/>
        </a:xfrm>
        <a:prstGeom prst="rect">
          <a:avLst/>
        </a:prstGeom>
      </xdr:spPr>
    </xdr:pic>
    <xdr:clientData/>
  </xdr:twoCellAnchor>
  <xdr:twoCellAnchor editAs="oneCell">
    <xdr:from>
      <xdr:col>8</xdr:col>
      <xdr:colOff>581025</xdr:colOff>
      <xdr:row>175</xdr:row>
      <xdr:rowOff>9525</xdr:rowOff>
    </xdr:from>
    <xdr:to>
      <xdr:col>15</xdr:col>
      <xdr:colOff>542925</xdr:colOff>
      <xdr:row>189</xdr:row>
      <xdr:rowOff>66675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124575" y="33347025"/>
          <a:ext cx="4229100" cy="2724150"/>
        </a:xfrm>
        <a:prstGeom prst="rect">
          <a:avLst/>
        </a:prstGeom>
      </xdr:spPr>
    </xdr:pic>
    <xdr:clientData/>
  </xdr:twoCellAnchor>
  <xdr:twoCellAnchor>
    <xdr:from>
      <xdr:col>7</xdr:col>
      <xdr:colOff>66675</xdr:colOff>
      <xdr:row>129</xdr:row>
      <xdr:rowOff>28575</xdr:rowOff>
    </xdr:from>
    <xdr:to>
      <xdr:col>8</xdr:col>
      <xdr:colOff>238125</xdr:colOff>
      <xdr:row>130</xdr:row>
      <xdr:rowOff>95250</xdr:rowOff>
    </xdr:to>
    <xdr:cxnSp macro="">
      <xdr:nvCxnSpPr>
        <xdr:cNvPr id="11" name="Rovná spojovacia šípka 10"/>
        <xdr:cNvCxnSpPr/>
      </xdr:nvCxnSpPr>
      <xdr:spPr>
        <a:xfrm flipH="1">
          <a:off x="5000625" y="24603075"/>
          <a:ext cx="781050" cy="2571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38100</xdr:colOff>
      <xdr:row>116</xdr:row>
      <xdr:rowOff>47625</xdr:rowOff>
    </xdr:from>
    <xdr:to>
      <xdr:col>9</xdr:col>
      <xdr:colOff>209550</xdr:colOff>
      <xdr:row>117</xdr:row>
      <xdr:rowOff>114300</xdr:rowOff>
    </xdr:to>
    <xdr:cxnSp macro="">
      <xdr:nvCxnSpPr>
        <xdr:cNvPr id="12" name="Rovná spojovacia šípka 11"/>
        <xdr:cNvCxnSpPr/>
      </xdr:nvCxnSpPr>
      <xdr:spPr>
        <a:xfrm flipH="1">
          <a:off x="5581650" y="22145625"/>
          <a:ext cx="781050" cy="2571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581025</xdr:colOff>
      <xdr:row>0</xdr:row>
      <xdr:rowOff>19050</xdr:rowOff>
    </xdr:from>
    <xdr:to>
      <xdr:col>3</xdr:col>
      <xdr:colOff>266700</xdr:colOff>
      <xdr:row>1</xdr:row>
      <xdr:rowOff>38100</xdr:rowOff>
    </xdr:to>
    <xdr:pic>
      <xdr:nvPicPr>
        <xdr:cNvPr id="2" name="Obrázok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0225" y="19050"/>
          <a:ext cx="2952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7327</xdr:colOff>
      <xdr:row>0</xdr:row>
      <xdr:rowOff>1</xdr:rowOff>
    </xdr:from>
    <xdr:to>
      <xdr:col>15</xdr:col>
      <xdr:colOff>433432</xdr:colOff>
      <xdr:row>3</xdr:row>
      <xdr:rowOff>109905</xdr:rowOff>
    </xdr:to>
    <xdr:pic>
      <xdr:nvPicPr>
        <xdr:cNvPr id="4" name="Obrázok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36827" y="1"/>
          <a:ext cx="2254905" cy="681404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70</xdr:row>
      <xdr:rowOff>0</xdr:rowOff>
    </xdr:from>
    <xdr:to>
      <xdr:col>14</xdr:col>
      <xdr:colOff>123352</xdr:colOff>
      <xdr:row>97</xdr:row>
      <xdr:rowOff>66024</xdr:rowOff>
    </xdr:to>
    <xdr:pic>
      <xdr:nvPicPr>
        <xdr:cNvPr id="5" name="Obrázok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91100" y="13401675"/>
          <a:ext cx="3780952" cy="5209524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113</xdr:row>
      <xdr:rowOff>0</xdr:rowOff>
    </xdr:from>
    <xdr:to>
      <xdr:col>17</xdr:col>
      <xdr:colOff>0</xdr:colOff>
      <xdr:row>132</xdr:row>
      <xdr:rowOff>38100</xdr:rowOff>
    </xdr:to>
    <xdr:pic>
      <xdr:nvPicPr>
        <xdr:cNvPr id="6" name="Obrázok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91100" y="21593175"/>
          <a:ext cx="5486400" cy="36576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134</xdr:row>
      <xdr:rowOff>28575</xdr:rowOff>
    </xdr:from>
    <xdr:to>
      <xdr:col>15</xdr:col>
      <xdr:colOff>219075</xdr:colOff>
      <xdr:row>149</xdr:row>
      <xdr:rowOff>161925</xdr:rowOff>
    </xdr:to>
    <xdr:pic>
      <xdr:nvPicPr>
        <xdr:cNvPr id="7" name="Obrázok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991100" y="25622250"/>
          <a:ext cx="4486275" cy="299085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16</xdr:row>
      <xdr:rowOff>0</xdr:rowOff>
    </xdr:from>
    <xdr:to>
      <xdr:col>24</xdr:col>
      <xdr:colOff>275801</xdr:colOff>
      <xdr:row>23</xdr:row>
      <xdr:rowOff>95071</xdr:rowOff>
    </xdr:to>
    <xdr:pic>
      <xdr:nvPicPr>
        <xdr:cNvPr id="8" name="Obrázok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696700" y="3048000"/>
          <a:ext cx="3390476" cy="14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112</xdr:row>
      <xdr:rowOff>161925</xdr:rowOff>
    </xdr:from>
    <xdr:to>
      <xdr:col>7</xdr:col>
      <xdr:colOff>581025</xdr:colOff>
      <xdr:row>131</xdr:row>
      <xdr:rowOff>142875</xdr:rowOff>
    </xdr:to>
    <xdr:pic>
      <xdr:nvPicPr>
        <xdr:cNvPr id="9" name="Obrázok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050" y="21564600"/>
          <a:ext cx="4943475" cy="3600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6</xdr:col>
      <xdr:colOff>342400</xdr:colOff>
      <xdr:row>97</xdr:row>
      <xdr:rowOff>180309</xdr:rowOff>
    </xdr:to>
    <xdr:pic>
      <xdr:nvPicPr>
        <xdr:cNvPr id="10" name="Obrázok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3401675"/>
          <a:ext cx="4000000" cy="532380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99</xdr:row>
      <xdr:rowOff>1</xdr:rowOff>
    </xdr:from>
    <xdr:to>
      <xdr:col>2</xdr:col>
      <xdr:colOff>38101</xdr:colOff>
      <xdr:row>113</xdr:row>
      <xdr:rowOff>28389</xdr:rowOff>
    </xdr:to>
    <xdr:pic>
      <xdr:nvPicPr>
        <xdr:cNvPr id="11" name="Obrázok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" y="18926176"/>
          <a:ext cx="1257300" cy="2695388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134</xdr:row>
      <xdr:rowOff>95249</xdr:rowOff>
    </xdr:from>
    <xdr:to>
      <xdr:col>6</xdr:col>
      <xdr:colOff>504825</xdr:colOff>
      <xdr:row>149</xdr:row>
      <xdr:rowOff>104774</xdr:rowOff>
    </xdr:to>
    <xdr:pic>
      <xdr:nvPicPr>
        <xdr:cNvPr id="12" name="Obrázok 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6200" y="25688924"/>
          <a:ext cx="4086225" cy="28670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154</xdr:row>
      <xdr:rowOff>180975</xdr:rowOff>
    </xdr:from>
    <xdr:to>
      <xdr:col>11</xdr:col>
      <xdr:colOff>152400</xdr:colOff>
      <xdr:row>175</xdr:row>
      <xdr:rowOff>9525</xdr:rowOff>
    </xdr:to>
    <xdr:pic>
      <xdr:nvPicPr>
        <xdr:cNvPr id="14" name="Obrázok 1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28725" y="29584650"/>
          <a:ext cx="5743575" cy="3829050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174</xdr:row>
      <xdr:rowOff>18050</xdr:rowOff>
    </xdr:from>
    <xdr:to>
      <xdr:col>20</xdr:col>
      <xdr:colOff>609600</xdr:colOff>
      <xdr:row>194</xdr:row>
      <xdr:rowOff>180421</xdr:rowOff>
    </xdr:to>
    <xdr:pic>
      <xdr:nvPicPr>
        <xdr:cNvPr id="15" name="Obrázok 1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448550" y="33231725"/>
          <a:ext cx="5467350" cy="3972371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152</xdr:row>
      <xdr:rowOff>39681</xdr:rowOff>
    </xdr:from>
    <xdr:to>
      <xdr:col>20</xdr:col>
      <xdr:colOff>27844</xdr:colOff>
      <xdr:row>171</xdr:row>
      <xdr:rowOff>66126</xdr:rowOff>
    </xdr:to>
    <xdr:pic>
      <xdr:nvPicPr>
        <xdr:cNvPr id="16" name="Obrázok 1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467600" y="29062356"/>
          <a:ext cx="4866544" cy="3645945"/>
        </a:xfrm>
        <a:prstGeom prst="rect">
          <a:avLst/>
        </a:prstGeom>
      </xdr:spPr>
    </xdr:pic>
    <xdr:clientData/>
  </xdr:twoCellAnchor>
  <xdr:twoCellAnchor>
    <xdr:from>
      <xdr:col>11</xdr:col>
      <xdr:colOff>171450</xdr:colOff>
      <xdr:row>164</xdr:row>
      <xdr:rowOff>66675</xdr:rowOff>
    </xdr:from>
    <xdr:to>
      <xdr:col>11</xdr:col>
      <xdr:colOff>523875</xdr:colOff>
      <xdr:row>164</xdr:row>
      <xdr:rowOff>171450</xdr:rowOff>
    </xdr:to>
    <xdr:cxnSp macro="">
      <xdr:nvCxnSpPr>
        <xdr:cNvPr id="18" name="Rovná spojovacia šípka 17"/>
        <xdr:cNvCxnSpPr/>
      </xdr:nvCxnSpPr>
      <xdr:spPr>
        <a:xfrm flipV="1">
          <a:off x="6991350" y="31375350"/>
          <a:ext cx="352425" cy="1047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152400</xdr:colOff>
      <xdr:row>165</xdr:row>
      <xdr:rowOff>0</xdr:rowOff>
    </xdr:from>
    <xdr:to>
      <xdr:col>11</xdr:col>
      <xdr:colOff>523875</xdr:colOff>
      <xdr:row>177</xdr:row>
      <xdr:rowOff>95250</xdr:rowOff>
    </xdr:to>
    <xdr:cxnSp macro="">
      <xdr:nvCxnSpPr>
        <xdr:cNvPr id="20" name="Rovná spojovacia šípka 19"/>
        <xdr:cNvCxnSpPr>
          <a:stCxn id="14" idx="3"/>
        </xdr:cNvCxnSpPr>
      </xdr:nvCxnSpPr>
      <xdr:spPr>
        <a:xfrm>
          <a:off x="6972300" y="31499175"/>
          <a:ext cx="371475" cy="23812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10</xdr:row>
      <xdr:rowOff>95250</xdr:rowOff>
    </xdr:from>
    <xdr:to>
      <xdr:col>6</xdr:col>
      <xdr:colOff>55811</xdr:colOff>
      <xdr:row>23</xdr:row>
      <xdr:rowOff>85725</xdr:rowOff>
    </xdr:to>
    <xdr:pic>
      <xdr:nvPicPr>
        <xdr:cNvPr id="3" name="Obrázok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558" t="32686" r="28029" b="20042"/>
        <a:stretch/>
      </xdr:blipFill>
      <xdr:spPr>
        <a:xfrm>
          <a:off x="133350" y="2066925"/>
          <a:ext cx="3580061" cy="2543175"/>
        </a:xfrm>
        <a:prstGeom prst="rect">
          <a:avLst/>
        </a:prstGeom>
      </xdr:spPr>
    </xdr:pic>
    <xdr:clientData/>
  </xdr:twoCellAnchor>
  <xdr:twoCellAnchor>
    <xdr:from>
      <xdr:col>6</xdr:col>
      <xdr:colOff>390525</xdr:colOff>
      <xdr:row>24</xdr:row>
      <xdr:rowOff>133350</xdr:rowOff>
    </xdr:from>
    <xdr:to>
      <xdr:col>8</xdr:col>
      <xdr:colOff>152400</xdr:colOff>
      <xdr:row>27</xdr:row>
      <xdr:rowOff>28575</xdr:rowOff>
    </xdr:to>
    <xdr:pic>
      <xdr:nvPicPr>
        <xdr:cNvPr id="20" name="Obrázok 1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5" y="4810125"/>
          <a:ext cx="981075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238125</xdr:colOff>
      <xdr:row>94</xdr:row>
      <xdr:rowOff>0</xdr:rowOff>
    </xdr:from>
    <xdr:to>
      <xdr:col>3</xdr:col>
      <xdr:colOff>428625</xdr:colOff>
      <xdr:row>95</xdr:row>
      <xdr:rowOff>57150</xdr:rowOff>
    </xdr:to>
    <xdr:pic>
      <xdr:nvPicPr>
        <xdr:cNvPr id="24" name="Obrázok 2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6602075"/>
          <a:ext cx="14097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514350</xdr:colOff>
      <xdr:row>92</xdr:row>
      <xdr:rowOff>38101</xdr:rowOff>
    </xdr:from>
    <xdr:to>
      <xdr:col>6</xdr:col>
      <xdr:colOff>253805</xdr:colOff>
      <xdr:row>93</xdr:row>
      <xdr:rowOff>22413</xdr:rowOff>
    </xdr:to>
    <xdr:pic>
      <xdr:nvPicPr>
        <xdr:cNvPr id="11" name="Obrázok 1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7674" y="17900277"/>
          <a:ext cx="635925" cy="174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114300</xdr:colOff>
      <xdr:row>92</xdr:row>
      <xdr:rowOff>9525</xdr:rowOff>
    </xdr:from>
    <xdr:to>
      <xdr:col>2</xdr:col>
      <xdr:colOff>590550</xdr:colOff>
      <xdr:row>93</xdr:row>
      <xdr:rowOff>0</xdr:rowOff>
    </xdr:to>
    <xdr:pic>
      <xdr:nvPicPr>
        <xdr:cNvPr id="12" name="Obrázok 1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6611600"/>
          <a:ext cx="1085850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161925</xdr:colOff>
      <xdr:row>66</xdr:row>
      <xdr:rowOff>57150</xdr:rowOff>
    </xdr:from>
    <xdr:to>
      <xdr:col>11</xdr:col>
      <xdr:colOff>304800</xdr:colOff>
      <xdr:row>67</xdr:row>
      <xdr:rowOff>19050</xdr:rowOff>
    </xdr:to>
    <xdr:pic>
      <xdr:nvPicPr>
        <xdr:cNvPr id="14" name="Obrázok 1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6775" y="11972925"/>
          <a:ext cx="25812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533400</xdr:colOff>
      <xdr:row>95</xdr:row>
      <xdr:rowOff>152400</xdr:rowOff>
    </xdr:from>
    <xdr:to>
      <xdr:col>4</xdr:col>
      <xdr:colOff>304800</xdr:colOff>
      <xdr:row>97</xdr:row>
      <xdr:rowOff>114300</xdr:rowOff>
    </xdr:to>
    <xdr:pic>
      <xdr:nvPicPr>
        <xdr:cNvPr id="13" name="Obrázok 1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17706975"/>
          <a:ext cx="16002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447675</xdr:colOff>
      <xdr:row>15</xdr:row>
      <xdr:rowOff>57150</xdr:rowOff>
    </xdr:from>
    <xdr:to>
      <xdr:col>15</xdr:col>
      <xdr:colOff>447675</xdr:colOff>
      <xdr:row>25</xdr:row>
      <xdr:rowOff>76200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503704</xdr:colOff>
      <xdr:row>15</xdr:row>
      <xdr:rowOff>44263</xdr:rowOff>
    </xdr:from>
    <xdr:to>
      <xdr:col>21</xdr:col>
      <xdr:colOff>503704</xdr:colOff>
      <xdr:row>25</xdr:row>
      <xdr:rowOff>53788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21</xdr:col>
      <xdr:colOff>593351</xdr:colOff>
      <xdr:row>15</xdr:row>
      <xdr:rowOff>44263</xdr:rowOff>
    </xdr:from>
    <xdr:to>
      <xdr:col>27</xdr:col>
      <xdr:colOff>593351</xdr:colOff>
      <xdr:row>25</xdr:row>
      <xdr:rowOff>63313</xdr:rowOff>
    </xdr:to>
    <xdr:graphicFrame macro="">
      <xdr:nvGraphicFramePr>
        <xdr:cNvPr id="4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447675</xdr:colOff>
      <xdr:row>25</xdr:row>
      <xdr:rowOff>167528</xdr:rowOff>
    </xdr:from>
    <xdr:to>
      <xdr:col>15</xdr:col>
      <xdr:colOff>447675</xdr:colOff>
      <xdr:row>35</xdr:row>
      <xdr:rowOff>186578</xdr:rowOff>
    </xdr:to>
    <xdr:graphicFrame macro="">
      <xdr:nvGraphicFramePr>
        <xdr:cNvPr id="5" name="Graf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537322</xdr:colOff>
      <xdr:row>25</xdr:row>
      <xdr:rowOff>143435</xdr:rowOff>
    </xdr:from>
    <xdr:to>
      <xdr:col>21</xdr:col>
      <xdr:colOff>537322</xdr:colOff>
      <xdr:row>35</xdr:row>
      <xdr:rowOff>154641</xdr:rowOff>
    </xdr:to>
    <xdr:graphicFrame macro="">
      <xdr:nvGraphicFramePr>
        <xdr:cNvPr id="6" name="Graf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21</xdr:col>
      <xdr:colOff>593350</xdr:colOff>
      <xdr:row>25</xdr:row>
      <xdr:rowOff>121023</xdr:rowOff>
    </xdr:from>
    <xdr:to>
      <xdr:col>27</xdr:col>
      <xdr:colOff>593350</xdr:colOff>
      <xdr:row>35</xdr:row>
      <xdr:rowOff>130548</xdr:rowOff>
    </xdr:to>
    <xdr:graphicFrame macro="">
      <xdr:nvGraphicFramePr>
        <xdr:cNvPr id="7" name="Graf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22</xdr:col>
      <xdr:colOff>44263</xdr:colOff>
      <xdr:row>36</xdr:row>
      <xdr:rowOff>76200</xdr:rowOff>
    </xdr:from>
    <xdr:to>
      <xdr:col>28</xdr:col>
      <xdr:colOff>44263</xdr:colOff>
      <xdr:row>46</xdr:row>
      <xdr:rowOff>76200</xdr:rowOff>
    </xdr:to>
    <xdr:graphicFrame macro="">
      <xdr:nvGraphicFramePr>
        <xdr:cNvPr id="8" name="Graf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447675</xdr:colOff>
          <xdr:row>55</xdr:row>
          <xdr:rowOff>161925</xdr:rowOff>
        </xdr:from>
        <xdr:to>
          <xdr:col>22</xdr:col>
          <xdr:colOff>104775</xdr:colOff>
          <xdr:row>67</xdr:row>
          <xdr:rowOff>114300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11</xdr:col>
      <xdr:colOff>22412</xdr:colOff>
      <xdr:row>91</xdr:row>
      <xdr:rowOff>123263</xdr:rowOff>
    </xdr:from>
    <xdr:to>
      <xdr:col>17</xdr:col>
      <xdr:colOff>115592</xdr:colOff>
      <xdr:row>103</xdr:row>
      <xdr:rowOff>156882</xdr:rowOff>
    </xdr:to>
    <xdr:pic>
      <xdr:nvPicPr>
        <xdr:cNvPr id="9" name="Obrázok 8"/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1190"/>
        <a:stretch/>
      </xdr:blipFill>
      <xdr:spPr>
        <a:xfrm>
          <a:off x="7227794" y="17794939"/>
          <a:ext cx="3723886" cy="2364443"/>
        </a:xfrm>
        <a:prstGeom prst="rect">
          <a:avLst/>
        </a:prstGeom>
      </xdr:spPr>
    </xdr:pic>
    <xdr:clientData/>
  </xdr:twoCellAnchor>
  <xdr:twoCellAnchor>
    <xdr:from>
      <xdr:col>5</xdr:col>
      <xdr:colOff>405652</xdr:colOff>
      <xdr:row>98</xdr:row>
      <xdr:rowOff>20731</xdr:rowOff>
    </xdr:from>
    <xdr:to>
      <xdr:col>6</xdr:col>
      <xdr:colOff>590550</xdr:colOff>
      <xdr:row>99</xdr:row>
      <xdr:rowOff>11206</xdr:rowOff>
    </xdr:to>
    <xdr:pic>
      <xdr:nvPicPr>
        <xdr:cNvPr id="22" name="Obrázok 2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8976" y="19025907"/>
          <a:ext cx="1081368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145676</xdr:colOff>
      <xdr:row>99</xdr:row>
      <xdr:rowOff>67236</xdr:rowOff>
    </xdr:from>
    <xdr:to>
      <xdr:col>8</xdr:col>
      <xdr:colOff>176484</xdr:colOff>
      <xdr:row>100</xdr:row>
      <xdr:rowOff>6724</xdr:rowOff>
    </xdr:to>
    <xdr:pic>
      <xdr:nvPicPr>
        <xdr:cNvPr id="23" name="Obrázok 2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0588" y="19262912"/>
          <a:ext cx="635925" cy="174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493059</xdr:colOff>
      <xdr:row>55</xdr:row>
      <xdr:rowOff>151610</xdr:rowOff>
    </xdr:from>
    <xdr:to>
      <xdr:col>29</xdr:col>
      <xdr:colOff>392206</xdr:colOff>
      <xdr:row>67</xdr:row>
      <xdr:rowOff>182441</xdr:rowOff>
    </xdr:to>
    <xdr:pic>
      <xdr:nvPicPr>
        <xdr:cNvPr id="15" name="Obrázok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959853" y="10808404"/>
          <a:ext cx="3529853" cy="2361655"/>
        </a:xfrm>
        <a:prstGeom prst="rect">
          <a:avLst/>
        </a:prstGeom>
      </xdr:spPr>
    </xdr:pic>
    <xdr:clientData/>
  </xdr:twoCellAnchor>
  <xdr:twoCellAnchor editAs="oneCell">
    <xdr:from>
      <xdr:col>23</xdr:col>
      <xdr:colOff>582707</xdr:colOff>
      <xdr:row>68</xdr:row>
      <xdr:rowOff>168089</xdr:rowOff>
    </xdr:from>
    <xdr:to>
      <xdr:col>31</xdr:col>
      <xdr:colOff>360814</xdr:colOff>
      <xdr:row>75</xdr:row>
      <xdr:rowOff>79958</xdr:rowOff>
    </xdr:to>
    <xdr:pic>
      <xdr:nvPicPr>
        <xdr:cNvPr id="16" name="Obrázok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5049501" y="13346207"/>
          <a:ext cx="4619048" cy="13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26039</xdr:colOff>
      <xdr:row>86</xdr:row>
      <xdr:rowOff>168088</xdr:rowOff>
    </xdr:from>
    <xdr:to>
      <xdr:col>31</xdr:col>
      <xdr:colOff>165833</xdr:colOff>
      <xdr:row>106</xdr:row>
      <xdr:rowOff>122763</xdr:rowOff>
    </xdr:to>
    <xdr:pic>
      <xdr:nvPicPr>
        <xdr:cNvPr id="17" name="Obrázok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5097951" y="16887264"/>
          <a:ext cx="4375617" cy="38207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371475</xdr:colOff>
      <xdr:row>13</xdr:row>
      <xdr:rowOff>85725</xdr:rowOff>
    </xdr:from>
    <xdr:to>
      <xdr:col>15</xdr:col>
      <xdr:colOff>206633</xdr:colOff>
      <xdr:row>26</xdr:row>
      <xdr:rowOff>12152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295275</xdr:colOff>
      <xdr:row>13</xdr:row>
      <xdr:rowOff>104775</xdr:rowOff>
    </xdr:from>
    <xdr:to>
      <xdr:col>21</xdr:col>
      <xdr:colOff>130432</xdr:colOff>
      <xdr:row>26</xdr:row>
      <xdr:rowOff>31202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190500</xdr:colOff>
      <xdr:row>13</xdr:row>
      <xdr:rowOff>95250</xdr:rowOff>
    </xdr:from>
    <xdr:to>
      <xdr:col>27</xdr:col>
      <xdr:colOff>31455</xdr:colOff>
      <xdr:row>26</xdr:row>
      <xdr:rowOff>21677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82552</xdr:colOff>
      <xdr:row>26</xdr:row>
      <xdr:rowOff>124619</xdr:rowOff>
    </xdr:from>
    <xdr:to>
      <xdr:col>4</xdr:col>
      <xdr:colOff>533401</xdr:colOff>
      <xdr:row>41</xdr:row>
      <xdr:rowOff>10319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581026</xdr:colOff>
      <xdr:row>26</xdr:row>
      <xdr:rowOff>128587</xdr:rowOff>
    </xdr:from>
    <xdr:to>
      <xdr:col>9</xdr:col>
      <xdr:colOff>600075</xdr:colOff>
      <xdr:row>41</xdr:row>
      <xdr:rowOff>14287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30161</xdr:colOff>
      <xdr:row>26</xdr:row>
      <xdr:rowOff>138113</xdr:rowOff>
    </xdr:from>
    <xdr:to>
      <xdr:col>15</xdr:col>
      <xdr:colOff>201610</xdr:colOff>
      <xdr:row>41</xdr:row>
      <xdr:rowOff>23813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230188</xdr:colOff>
      <xdr:row>26</xdr:row>
      <xdr:rowOff>142875</xdr:rowOff>
    </xdr:from>
    <xdr:to>
      <xdr:col>20</xdr:col>
      <xdr:colOff>401638</xdr:colOff>
      <xdr:row>41</xdr:row>
      <xdr:rowOff>28575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444500</xdr:colOff>
      <xdr:row>26</xdr:row>
      <xdr:rowOff>158750</xdr:rowOff>
    </xdr:from>
    <xdr:to>
      <xdr:col>26</xdr:col>
      <xdr:colOff>4762</xdr:colOff>
      <xdr:row>41</xdr:row>
      <xdr:rowOff>44450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47626</xdr:colOff>
      <xdr:row>26</xdr:row>
      <xdr:rowOff>166688</xdr:rowOff>
    </xdr:from>
    <xdr:to>
      <xdr:col>31</xdr:col>
      <xdr:colOff>219075</xdr:colOff>
      <xdr:row>41</xdr:row>
      <xdr:rowOff>52388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31</xdr:col>
      <xdr:colOff>277812</xdr:colOff>
      <xdr:row>26</xdr:row>
      <xdr:rowOff>174625</xdr:rowOff>
    </xdr:from>
    <xdr:to>
      <xdr:col>36</xdr:col>
      <xdr:colOff>449262</xdr:colOff>
      <xdr:row>41</xdr:row>
      <xdr:rowOff>60325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82552</xdr:colOff>
      <xdr:row>26</xdr:row>
      <xdr:rowOff>124619</xdr:rowOff>
    </xdr:from>
    <xdr:to>
      <xdr:col>4</xdr:col>
      <xdr:colOff>533401</xdr:colOff>
      <xdr:row>41</xdr:row>
      <xdr:rowOff>10319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581026</xdr:colOff>
      <xdr:row>26</xdr:row>
      <xdr:rowOff>128587</xdr:rowOff>
    </xdr:from>
    <xdr:to>
      <xdr:col>9</xdr:col>
      <xdr:colOff>600075</xdr:colOff>
      <xdr:row>41</xdr:row>
      <xdr:rowOff>14287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30161</xdr:colOff>
      <xdr:row>26</xdr:row>
      <xdr:rowOff>138113</xdr:rowOff>
    </xdr:from>
    <xdr:to>
      <xdr:col>15</xdr:col>
      <xdr:colOff>201610</xdr:colOff>
      <xdr:row>41</xdr:row>
      <xdr:rowOff>23813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230188</xdr:colOff>
      <xdr:row>26</xdr:row>
      <xdr:rowOff>142875</xdr:rowOff>
    </xdr:from>
    <xdr:to>
      <xdr:col>20</xdr:col>
      <xdr:colOff>401638</xdr:colOff>
      <xdr:row>41</xdr:row>
      <xdr:rowOff>28575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20</xdr:col>
      <xdr:colOff>444500</xdr:colOff>
      <xdr:row>26</xdr:row>
      <xdr:rowOff>158750</xdr:rowOff>
    </xdr:from>
    <xdr:to>
      <xdr:col>26</xdr:col>
      <xdr:colOff>4762</xdr:colOff>
      <xdr:row>41</xdr:row>
      <xdr:rowOff>44450</xdr:rowOff>
    </xdr:to>
    <xdr:graphicFrame macro="">
      <xdr:nvGraphicFramePr>
        <xdr:cNvPr id="13" name="Graf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26</xdr:col>
      <xdr:colOff>47626</xdr:colOff>
      <xdr:row>26</xdr:row>
      <xdr:rowOff>166688</xdr:rowOff>
    </xdr:from>
    <xdr:to>
      <xdr:col>31</xdr:col>
      <xdr:colOff>219075</xdr:colOff>
      <xdr:row>41</xdr:row>
      <xdr:rowOff>52388</xdr:rowOff>
    </xdr:to>
    <xdr:graphicFrame macro="">
      <xdr:nvGraphicFramePr>
        <xdr:cNvPr id="14" name="Graf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31</xdr:col>
      <xdr:colOff>277812</xdr:colOff>
      <xdr:row>26</xdr:row>
      <xdr:rowOff>174625</xdr:rowOff>
    </xdr:from>
    <xdr:to>
      <xdr:col>36</xdr:col>
      <xdr:colOff>449262</xdr:colOff>
      <xdr:row>41</xdr:row>
      <xdr:rowOff>60325</xdr:rowOff>
    </xdr:to>
    <xdr:graphicFrame macro="">
      <xdr:nvGraphicFramePr>
        <xdr:cNvPr id="15" name="Graf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82552</xdr:colOff>
      <xdr:row>26</xdr:row>
      <xdr:rowOff>124619</xdr:rowOff>
    </xdr:from>
    <xdr:to>
      <xdr:col>4</xdr:col>
      <xdr:colOff>533401</xdr:colOff>
      <xdr:row>41</xdr:row>
      <xdr:rowOff>10319</xdr:rowOff>
    </xdr:to>
    <xdr:graphicFrame macro="">
      <xdr:nvGraphicFramePr>
        <xdr:cNvPr id="16" name="Graf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581026</xdr:colOff>
      <xdr:row>26</xdr:row>
      <xdr:rowOff>128587</xdr:rowOff>
    </xdr:from>
    <xdr:to>
      <xdr:col>9</xdr:col>
      <xdr:colOff>600075</xdr:colOff>
      <xdr:row>41</xdr:row>
      <xdr:rowOff>14287</xdr:rowOff>
    </xdr:to>
    <xdr:graphicFrame macro="">
      <xdr:nvGraphicFramePr>
        <xdr:cNvPr id="17" name="Graf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10</xdr:col>
      <xdr:colOff>30161</xdr:colOff>
      <xdr:row>26</xdr:row>
      <xdr:rowOff>138113</xdr:rowOff>
    </xdr:from>
    <xdr:to>
      <xdr:col>15</xdr:col>
      <xdr:colOff>201610</xdr:colOff>
      <xdr:row>41</xdr:row>
      <xdr:rowOff>23813</xdr:rowOff>
    </xdr:to>
    <xdr:graphicFrame macro="">
      <xdr:nvGraphicFramePr>
        <xdr:cNvPr id="18" name="Graf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15</xdr:col>
      <xdr:colOff>230188</xdr:colOff>
      <xdr:row>26</xdr:row>
      <xdr:rowOff>142875</xdr:rowOff>
    </xdr:from>
    <xdr:to>
      <xdr:col>20</xdr:col>
      <xdr:colOff>401638</xdr:colOff>
      <xdr:row>41</xdr:row>
      <xdr:rowOff>28575</xdr:rowOff>
    </xdr:to>
    <xdr:graphicFrame macro="">
      <xdr:nvGraphicFramePr>
        <xdr:cNvPr id="19" name="Graf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20</xdr:col>
      <xdr:colOff>444500</xdr:colOff>
      <xdr:row>26</xdr:row>
      <xdr:rowOff>158750</xdr:rowOff>
    </xdr:from>
    <xdr:to>
      <xdr:col>26</xdr:col>
      <xdr:colOff>4762</xdr:colOff>
      <xdr:row>41</xdr:row>
      <xdr:rowOff>44450</xdr:rowOff>
    </xdr:to>
    <xdr:graphicFrame macro="">
      <xdr:nvGraphicFramePr>
        <xdr:cNvPr id="20" name="Graf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26</xdr:col>
      <xdr:colOff>47626</xdr:colOff>
      <xdr:row>26</xdr:row>
      <xdr:rowOff>166688</xdr:rowOff>
    </xdr:from>
    <xdr:to>
      <xdr:col>31</xdr:col>
      <xdr:colOff>219075</xdr:colOff>
      <xdr:row>41</xdr:row>
      <xdr:rowOff>52388</xdr:rowOff>
    </xdr:to>
    <xdr:graphicFrame macro="">
      <xdr:nvGraphicFramePr>
        <xdr:cNvPr id="21" name="Graf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31</xdr:col>
      <xdr:colOff>277812</xdr:colOff>
      <xdr:row>26</xdr:row>
      <xdr:rowOff>174625</xdr:rowOff>
    </xdr:from>
    <xdr:to>
      <xdr:col>36</xdr:col>
      <xdr:colOff>449262</xdr:colOff>
      <xdr:row>41</xdr:row>
      <xdr:rowOff>60325</xdr:rowOff>
    </xdr:to>
    <xdr:graphicFrame macro="">
      <xdr:nvGraphicFramePr>
        <xdr:cNvPr id="22" name="Graf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82552</xdr:colOff>
      <xdr:row>26</xdr:row>
      <xdr:rowOff>124619</xdr:rowOff>
    </xdr:from>
    <xdr:to>
      <xdr:col>4</xdr:col>
      <xdr:colOff>533401</xdr:colOff>
      <xdr:row>41</xdr:row>
      <xdr:rowOff>10319</xdr:rowOff>
    </xdr:to>
    <xdr:graphicFrame macro="">
      <xdr:nvGraphicFramePr>
        <xdr:cNvPr id="23" name="Graf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</xdr:col>
      <xdr:colOff>581026</xdr:colOff>
      <xdr:row>26</xdr:row>
      <xdr:rowOff>128587</xdr:rowOff>
    </xdr:from>
    <xdr:to>
      <xdr:col>9</xdr:col>
      <xdr:colOff>600075</xdr:colOff>
      <xdr:row>41</xdr:row>
      <xdr:rowOff>14287</xdr:rowOff>
    </xdr:to>
    <xdr:graphicFrame macro="">
      <xdr:nvGraphicFramePr>
        <xdr:cNvPr id="24" name="Graf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30161</xdr:colOff>
      <xdr:row>26</xdr:row>
      <xdr:rowOff>138113</xdr:rowOff>
    </xdr:from>
    <xdr:to>
      <xdr:col>15</xdr:col>
      <xdr:colOff>201610</xdr:colOff>
      <xdr:row>41</xdr:row>
      <xdr:rowOff>23813</xdr:rowOff>
    </xdr:to>
    <xdr:graphicFrame macro="">
      <xdr:nvGraphicFramePr>
        <xdr:cNvPr id="25" name="Graf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15</xdr:col>
      <xdr:colOff>230188</xdr:colOff>
      <xdr:row>26</xdr:row>
      <xdr:rowOff>142875</xdr:rowOff>
    </xdr:from>
    <xdr:to>
      <xdr:col>20</xdr:col>
      <xdr:colOff>401638</xdr:colOff>
      <xdr:row>41</xdr:row>
      <xdr:rowOff>28575</xdr:rowOff>
    </xdr:to>
    <xdr:graphicFrame macro="">
      <xdr:nvGraphicFramePr>
        <xdr:cNvPr id="26" name="Graf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20</xdr:col>
      <xdr:colOff>444500</xdr:colOff>
      <xdr:row>26</xdr:row>
      <xdr:rowOff>158750</xdr:rowOff>
    </xdr:from>
    <xdr:to>
      <xdr:col>26</xdr:col>
      <xdr:colOff>4762</xdr:colOff>
      <xdr:row>41</xdr:row>
      <xdr:rowOff>44450</xdr:rowOff>
    </xdr:to>
    <xdr:graphicFrame macro="">
      <xdr:nvGraphicFramePr>
        <xdr:cNvPr id="27" name="Graf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26</xdr:col>
      <xdr:colOff>47626</xdr:colOff>
      <xdr:row>26</xdr:row>
      <xdr:rowOff>166688</xdr:rowOff>
    </xdr:from>
    <xdr:to>
      <xdr:col>31</xdr:col>
      <xdr:colOff>219075</xdr:colOff>
      <xdr:row>41</xdr:row>
      <xdr:rowOff>52388</xdr:rowOff>
    </xdr:to>
    <xdr:graphicFrame macro="">
      <xdr:nvGraphicFramePr>
        <xdr:cNvPr id="28" name="Graf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31</xdr:col>
      <xdr:colOff>277812</xdr:colOff>
      <xdr:row>26</xdr:row>
      <xdr:rowOff>174625</xdr:rowOff>
    </xdr:from>
    <xdr:to>
      <xdr:col>36</xdr:col>
      <xdr:colOff>449262</xdr:colOff>
      <xdr:row>41</xdr:row>
      <xdr:rowOff>60325</xdr:rowOff>
    </xdr:to>
    <xdr:graphicFrame macro="">
      <xdr:nvGraphicFramePr>
        <xdr:cNvPr id="29" name="Graf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771525</xdr:colOff>
      <xdr:row>81</xdr:row>
      <xdr:rowOff>19050</xdr:rowOff>
    </xdr:from>
    <xdr:to>
      <xdr:col>7</xdr:col>
      <xdr:colOff>581025</xdr:colOff>
      <xdr:row>95</xdr:row>
      <xdr:rowOff>95250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142875</xdr:colOff>
      <xdr:row>111</xdr:row>
      <xdr:rowOff>152400</xdr:rowOff>
    </xdr:from>
    <xdr:to>
      <xdr:col>9</xdr:col>
      <xdr:colOff>371061</xdr:colOff>
      <xdr:row>121</xdr:row>
      <xdr:rowOff>8283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416718</xdr:colOff>
      <xdr:row>33</xdr:row>
      <xdr:rowOff>26194</xdr:rowOff>
    </xdr:from>
    <xdr:to>
      <xdr:col>31</xdr:col>
      <xdr:colOff>15042</xdr:colOff>
      <xdr:row>66</xdr:row>
      <xdr:rowOff>114301</xdr:rowOff>
    </xdr:to>
    <xdr:pic>
      <xdr:nvPicPr>
        <xdr:cNvPr id="10" name="Obrázok 9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11854"/>
        <a:stretch/>
      </xdr:blipFill>
      <xdr:spPr>
        <a:xfrm>
          <a:off x="6398418" y="6455569"/>
          <a:ext cx="13009524" cy="6422232"/>
        </a:xfrm>
        <a:prstGeom prst="rect">
          <a:avLst/>
        </a:prstGeom>
      </xdr:spPr>
    </xdr:pic>
    <xdr:clientData/>
  </xdr:twoCellAnchor>
  <xdr:twoCellAnchor editAs="oneCell">
    <xdr:from>
      <xdr:col>9</xdr:col>
      <xdr:colOff>408071</xdr:colOff>
      <xdr:row>67</xdr:row>
      <xdr:rowOff>9526</xdr:rowOff>
    </xdr:from>
    <xdr:to>
      <xdr:col>32</xdr:col>
      <xdr:colOff>62667</xdr:colOff>
      <xdr:row>83</xdr:row>
      <xdr:rowOff>123825</xdr:rowOff>
    </xdr:to>
    <xdr:pic>
      <xdr:nvPicPr>
        <xdr:cNvPr id="11" name="Obrázok 10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3686" b="44945"/>
        <a:stretch/>
      </xdr:blipFill>
      <xdr:spPr>
        <a:xfrm>
          <a:off x="6389771" y="12963526"/>
          <a:ext cx="13675396" cy="3181349"/>
        </a:xfrm>
        <a:prstGeom prst="rect">
          <a:avLst/>
        </a:prstGeom>
      </xdr:spPr>
    </xdr:pic>
    <xdr:clientData/>
  </xdr:twoCellAnchor>
  <xdr:twoCellAnchor>
    <xdr:from>
      <xdr:col>0</xdr:col>
      <xdr:colOff>771525</xdr:colOff>
      <xdr:row>81</xdr:row>
      <xdr:rowOff>19050</xdr:rowOff>
    </xdr:from>
    <xdr:to>
      <xdr:col>7</xdr:col>
      <xdr:colOff>581025</xdr:colOff>
      <xdr:row>95</xdr:row>
      <xdr:rowOff>95250</xdr:rowOff>
    </xdr:to>
    <xdr:graphicFrame macro="">
      <xdr:nvGraphicFramePr>
        <xdr:cNvPr id="13" name="Graf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416718</xdr:colOff>
      <xdr:row>33</xdr:row>
      <xdr:rowOff>26193</xdr:rowOff>
    </xdr:from>
    <xdr:to>
      <xdr:col>31</xdr:col>
      <xdr:colOff>15042</xdr:colOff>
      <xdr:row>66</xdr:row>
      <xdr:rowOff>142875</xdr:rowOff>
    </xdr:to>
    <xdr:pic>
      <xdr:nvPicPr>
        <xdr:cNvPr id="15" name="Obrázok 14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11462"/>
        <a:stretch/>
      </xdr:blipFill>
      <xdr:spPr>
        <a:xfrm>
          <a:off x="6398418" y="6455568"/>
          <a:ext cx="13009524" cy="6450807"/>
        </a:xfrm>
        <a:prstGeom prst="rect">
          <a:avLst/>
        </a:prstGeom>
      </xdr:spPr>
    </xdr:pic>
    <xdr:clientData/>
  </xdr:twoCellAnchor>
  <xdr:twoCellAnchor>
    <xdr:from>
      <xdr:col>0</xdr:col>
      <xdr:colOff>771525</xdr:colOff>
      <xdr:row>81</xdr:row>
      <xdr:rowOff>19050</xdr:rowOff>
    </xdr:from>
    <xdr:to>
      <xdr:col>7</xdr:col>
      <xdr:colOff>581025</xdr:colOff>
      <xdr:row>95</xdr:row>
      <xdr:rowOff>95250</xdr:rowOff>
    </xdr:to>
    <xdr:graphicFrame macro="">
      <xdr:nvGraphicFramePr>
        <xdr:cNvPr id="18" name="Graf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387569</xdr:colOff>
      <xdr:row>83</xdr:row>
      <xdr:rowOff>157655</xdr:rowOff>
    </xdr:from>
    <xdr:to>
      <xdr:col>6</xdr:col>
      <xdr:colOff>604345</xdr:colOff>
      <xdr:row>84</xdr:row>
      <xdr:rowOff>144517</xdr:rowOff>
    </xdr:to>
    <xdr:sp macro="" textlink="">
      <xdr:nvSpPr>
        <xdr:cNvPr id="20" name="Obdĺžnik 19"/>
        <xdr:cNvSpPr/>
      </xdr:nvSpPr>
      <xdr:spPr>
        <a:xfrm>
          <a:off x="4545724" y="15969155"/>
          <a:ext cx="216776" cy="177362"/>
        </a:xfrm>
        <a:prstGeom prst="rect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0</xdr:col>
      <xdr:colOff>1064173</xdr:colOff>
      <xdr:row>92</xdr:row>
      <xdr:rowOff>137948</xdr:rowOff>
    </xdr:from>
    <xdr:to>
      <xdr:col>1</xdr:col>
      <xdr:colOff>177363</xdr:colOff>
      <xdr:row>93</xdr:row>
      <xdr:rowOff>124810</xdr:rowOff>
    </xdr:to>
    <xdr:sp macro="" textlink="">
      <xdr:nvSpPr>
        <xdr:cNvPr id="21" name="Obdĺžnik 20"/>
        <xdr:cNvSpPr/>
      </xdr:nvSpPr>
      <xdr:spPr>
        <a:xfrm>
          <a:off x="1064173" y="17663948"/>
          <a:ext cx="216776" cy="177362"/>
        </a:xfrm>
        <a:prstGeom prst="rect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 editAs="oneCell">
    <xdr:from>
      <xdr:col>10</xdr:col>
      <xdr:colOff>9525</xdr:colOff>
      <xdr:row>8</xdr:row>
      <xdr:rowOff>133350</xdr:rowOff>
    </xdr:from>
    <xdr:to>
      <xdr:col>19</xdr:col>
      <xdr:colOff>9525</xdr:colOff>
      <xdr:row>27</xdr:row>
      <xdr:rowOff>171450</xdr:rowOff>
    </xdr:to>
    <xdr:pic>
      <xdr:nvPicPr>
        <xdr:cNvPr id="22" name="Obrázok 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600825" y="1800225"/>
          <a:ext cx="5486400" cy="3657600"/>
        </a:xfrm>
        <a:prstGeom prst="rect">
          <a:avLst/>
        </a:prstGeom>
      </xdr:spPr>
    </xdr:pic>
    <xdr:clientData/>
  </xdr:twoCellAnchor>
  <xdr:twoCellAnchor editAs="oneCell">
    <xdr:from>
      <xdr:col>18</xdr:col>
      <xdr:colOff>600075</xdr:colOff>
      <xdr:row>72</xdr:row>
      <xdr:rowOff>152400</xdr:rowOff>
    </xdr:from>
    <xdr:to>
      <xdr:col>27</xdr:col>
      <xdr:colOff>256532</xdr:colOff>
      <xdr:row>80</xdr:row>
      <xdr:rowOff>18875</xdr:rowOff>
    </xdr:to>
    <xdr:pic>
      <xdr:nvPicPr>
        <xdr:cNvPr id="23" name="Obrázok 2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068175" y="14068425"/>
          <a:ext cx="5142857" cy="14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390525</xdr:colOff>
      <xdr:row>83</xdr:row>
      <xdr:rowOff>146703</xdr:rowOff>
    </xdr:from>
    <xdr:to>
      <xdr:col>17</xdr:col>
      <xdr:colOff>246951</xdr:colOff>
      <xdr:row>100</xdr:row>
      <xdr:rowOff>190014</xdr:rowOff>
    </xdr:to>
    <xdr:pic>
      <xdr:nvPicPr>
        <xdr:cNvPr id="24" name="Obrázok 2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372225" y="16167753"/>
          <a:ext cx="4733226" cy="3281811"/>
        </a:xfrm>
        <a:prstGeom prst="rect">
          <a:avLst/>
        </a:prstGeom>
      </xdr:spPr>
    </xdr:pic>
    <xdr:clientData/>
  </xdr:twoCellAnchor>
  <xdr:twoCellAnchor editAs="oneCell">
    <xdr:from>
      <xdr:col>9</xdr:col>
      <xdr:colOff>409575</xdr:colOff>
      <xdr:row>100</xdr:row>
      <xdr:rowOff>161925</xdr:rowOff>
    </xdr:from>
    <xdr:to>
      <xdr:col>18</xdr:col>
      <xdr:colOff>523175</xdr:colOff>
      <xdr:row>121</xdr:row>
      <xdr:rowOff>47139</xdr:rowOff>
    </xdr:to>
    <xdr:pic>
      <xdr:nvPicPr>
        <xdr:cNvPr id="25" name="Obrázok 2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391275" y="19421475"/>
          <a:ext cx="5600000" cy="3885714"/>
        </a:xfrm>
        <a:prstGeom prst="rect">
          <a:avLst/>
        </a:prstGeom>
      </xdr:spPr>
    </xdr:pic>
    <xdr:clientData/>
  </xdr:twoCellAnchor>
  <xdr:twoCellAnchor>
    <xdr:from>
      <xdr:col>5</xdr:col>
      <xdr:colOff>600075</xdr:colOff>
      <xdr:row>113</xdr:row>
      <xdr:rowOff>152400</xdr:rowOff>
    </xdr:from>
    <xdr:to>
      <xdr:col>5</xdr:col>
      <xdr:colOff>600075</xdr:colOff>
      <xdr:row>120</xdr:row>
      <xdr:rowOff>19050</xdr:rowOff>
    </xdr:to>
    <xdr:cxnSp macro="">
      <xdr:nvCxnSpPr>
        <xdr:cNvPr id="3" name="Rovná spojnica 2"/>
        <xdr:cNvCxnSpPr/>
      </xdr:nvCxnSpPr>
      <xdr:spPr>
        <a:xfrm>
          <a:off x="4143375" y="21888450"/>
          <a:ext cx="0" cy="1200150"/>
        </a:xfrm>
        <a:prstGeom prst="line">
          <a:avLst/>
        </a:prstGeom>
        <a:ln>
          <a:prstDash val="dash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0.21875</cdr:x>
      <cdr:y>0.19097</cdr:y>
    </cdr:from>
    <cdr:to>
      <cdr:x>0.62917</cdr:x>
      <cdr:y>0.84722</cdr:y>
    </cdr:to>
    <cdr:cxnSp macro="">
      <cdr:nvCxnSpPr>
        <cdr:cNvPr id="5" name="Rovná spojnica 4"/>
        <cdr:cNvCxnSpPr/>
      </cdr:nvCxnSpPr>
      <cdr:spPr>
        <a:xfrm xmlns:a="http://schemas.openxmlformats.org/drawingml/2006/main" flipV="1">
          <a:off x="1000125" y="523875"/>
          <a:ext cx="1876425" cy="1800225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0.21875</cdr:x>
      <cdr:y>0.19097</cdr:y>
    </cdr:from>
    <cdr:to>
      <cdr:x>0.62917</cdr:x>
      <cdr:y>0.84722</cdr:y>
    </cdr:to>
    <cdr:cxnSp macro="">
      <cdr:nvCxnSpPr>
        <cdr:cNvPr id="5" name="Rovná spojnica 4"/>
        <cdr:cNvCxnSpPr/>
      </cdr:nvCxnSpPr>
      <cdr:spPr>
        <a:xfrm xmlns:a="http://schemas.openxmlformats.org/drawingml/2006/main" flipV="1">
          <a:off x="1000125" y="523875"/>
          <a:ext cx="1876425" cy="1800225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0.21875</cdr:x>
      <cdr:y>0.19097</cdr:y>
    </cdr:from>
    <cdr:to>
      <cdr:x>0.55417</cdr:x>
      <cdr:y>0.84722</cdr:y>
    </cdr:to>
    <cdr:cxnSp macro="">
      <cdr:nvCxnSpPr>
        <cdr:cNvPr id="5" name="Rovná spojnica 4"/>
        <cdr:cNvCxnSpPr/>
      </cdr:nvCxnSpPr>
      <cdr:spPr>
        <a:xfrm xmlns:a="http://schemas.openxmlformats.org/drawingml/2006/main" flipV="1">
          <a:off x="1000125" y="523875"/>
          <a:ext cx="1533525" cy="180022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E_cvicenie-2023_2911_061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tianova/Downloads/MMPVE_cvicenie_DOE_pokracovanie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MPVE_cvicenia%202017/MMPVE_cvicenie_DOE_pokracovanie_str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MPVE_2022\cvicenia\utorok15\MMPVE_cvicenie_DOE_61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MPVE_2022\cvicenia\streda%2015\MMPVE_cvicenie_DOE_71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MPVE_2022\cvicenia\streda%2015\MMPVE_cvicenie_DOE_1412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MPVE_cvicenie_DOE_vyplneny16122022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tianova/Downloads/doe%20rs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uzina_ vypocet cez vzorec"/>
      <sheetName val="pruzina_vyp cez rozsirenu matic"/>
      <sheetName val="pruzina_vypocet cez analyzu dat"/>
      <sheetName val="pneumatiky"/>
      <sheetName val="lietadlo"/>
      <sheetName val="vynosy"/>
      <sheetName val="lana1"/>
      <sheetName val="lana2"/>
      <sheetName val="mzda"/>
      <sheetName val="drevo"/>
      <sheetName val="tovar"/>
      <sheetName val="efekt "/>
      <sheetName val="odozvova tabulka_efekty"/>
      <sheetName val="spinky"/>
      <sheetName val="ucinnost prania"/>
      <sheetName val="ucinnost prania_efekty"/>
      <sheetName val="efekty1"/>
      <sheetName val="tri faktory"/>
      <sheetName val="test krivosti"/>
      <sheetName val="uplny kvadraticky model"/>
      <sheetName val="lack of fit_cb"/>
      <sheetName val="lack of fit_ab_cb"/>
      <sheetName val="hierarchicky model"/>
      <sheetName val="pät faktorov"/>
      <sheetName val="ciastocny plan exp"/>
      <sheetName val="BBD"/>
      <sheetName val="efekty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4">
          <cell r="B24">
            <v>-1</v>
          </cell>
          <cell r="C24">
            <v>1</v>
          </cell>
          <cell r="D24">
            <v>-1</v>
          </cell>
          <cell r="E24">
            <v>1</v>
          </cell>
          <cell r="F24">
            <v>-1</v>
          </cell>
          <cell r="G24">
            <v>1</v>
          </cell>
        </row>
        <row r="25">
          <cell r="B25">
            <v>79.5</v>
          </cell>
          <cell r="C25">
            <v>81.5</v>
          </cell>
          <cell r="D25">
            <v>83</v>
          </cell>
          <cell r="E25">
            <v>78</v>
          </cell>
          <cell r="F25">
            <v>88</v>
          </cell>
          <cell r="G25">
            <v>73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yp. efektov-odozvova tabulka"/>
      <sheetName val="spinky"/>
      <sheetName val="ucinnost prania- regresia"/>
      <sheetName val="ucinnost prania- efekty "/>
      <sheetName val="Hárok4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yp. efektov-odozvova tabulka"/>
      <sheetName val="spinky"/>
      <sheetName val="ucinnost prania- regresia"/>
      <sheetName val="ucinnost prania- efekty "/>
      <sheetName val="Hárok4"/>
    </sheetNames>
    <sheetDataSet>
      <sheetData sheetId="0">
        <row r="24">
          <cell r="C24">
            <v>39.274999999999999</v>
          </cell>
          <cell r="D24">
            <v>35.799999999999997</v>
          </cell>
          <cell r="E24">
            <v>30.975000000000001</v>
          </cell>
          <cell r="F24">
            <v>44.1</v>
          </cell>
          <cell r="G24">
            <v>35.6</v>
          </cell>
          <cell r="H24">
            <v>39.475000000000001</v>
          </cell>
          <cell r="I24">
            <v>36.700000000000003</v>
          </cell>
          <cell r="J24">
            <v>38.375</v>
          </cell>
          <cell r="K24">
            <v>38.225000000000001</v>
          </cell>
          <cell r="L24">
            <v>36.85</v>
          </cell>
          <cell r="M24">
            <v>42.125</v>
          </cell>
          <cell r="N24">
            <v>32.950000000000003</v>
          </cell>
          <cell r="O24">
            <v>37.4</v>
          </cell>
          <cell r="P24">
            <v>37.674999999999997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uzina_ vypocet cez vzorec"/>
      <sheetName val="pruzina_vyp cez rozsirenu matic"/>
      <sheetName val="pruzina_vypocet cez analyzu dat"/>
      <sheetName val="pneumatiky"/>
      <sheetName val="lietadlo"/>
      <sheetName val="vynosy"/>
      <sheetName val="lana1"/>
      <sheetName val="lana2"/>
      <sheetName val="mzda"/>
      <sheetName val="drevo"/>
      <sheetName val="tovar"/>
      <sheetName val="efekt "/>
      <sheetName val="odozvova tabulka_efekty"/>
      <sheetName val="spinky"/>
      <sheetName val="ucinnost prania"/>
      <sheetName val="ucinnost prania_efekty"/>
      <sheetName val="efekt"/>
      <sheetName val="tri faktory"/>
      <sheetName val="test krivosti"/>
      <sheetName val="uplny kvadraticky model"/>
      <sheetName val="lack of fit_cb"/>
      <sheetName val="lack of fit_ab_cb"/>
      <sheetName val="hierarchicky model"/>
      <sheetName val="pät faktorov"/>
      <sheetName val="ciastocny plan exp"/>
      <sheetName val="BB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76">
          <cell r="B76">
            <v>-5.1250000000000009</v>
          </cell>
          <cell r="C76">
            <v>-1.6249999999999996</v>
          </cell>
          <cell r="D76">
            <v>-0.87500000000000022</v>
          </cell>
          <cell r="E76">
            <v>1.1250000000000011</v>
          </cell>
          <cell r="F76">
            <v>1.3750000000000002</v>
          </cell>
          <cell r="G76">
            <v>1.6249999999999987</v>
          </cell>
          <cell r="H76">
            <v>8.125</v>
          </cell>
        </row>
        <row r="77">
          <cell r="B77">
            <v>7.1428571428571432</v>
          </cell>
          <cell r="C77">
            <v>21.428571428571427</v>
          </cell>
          <cell r="D77">
            <v>35.714285714285715</v>
          </cell>
          <cell r="E77">
            <v>50</v>
          </cell>
          <cell r="F77">
            <v>64.285714285714292</v>
          </cell>
          <cell r="G77">
            <v>78.571428571428569</v>
          </cell>
          <cell r="H77">
            <v>92.857142857142861</v>
          </cell>
        </row>
        <row r="112">
          <cell r="D112">
            <v>0.87500000000000022</v>
          </cell>
        </row>
        <row r="113">
          <cell r="D113">
            <v>1.1250000000000011</v>
          </cell>
        </row>
        <row r="114">
          <cell r="D114">
            <v>1.3750000000000002</v>
          </cell>
        </row>
        <row r="115">
          <cell r="D115">
            <v>1.6249999999999987</v>
          </cell>
        </row>
        <row r="116">
          <cell r="D116">
            <v>1.6249999999999996</v>
          </cell>
        </row>
        <row r="117">
          <cell r="D117">
            <v>5.1250000000000009</v>
          </cell>
        </row>
        <row r="118">
          <cell r="D118">
            <v>8.125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uzina_ vypocet cez vzorec"/>
      <sheetName val="pruzina_vyp cez rozsirenu matic"/>
      <sheetName val="pruzina_vypocet cez analyzu dat"/>
      <sheetName val="pneumatiky"/>
      <sheetName val="lietadlo"/>
      <sheetName val="vynosy"/>
      <sheetName val="lana1"/>
      <sheetName val="lana2"/>
      <sheetName val="mzda"/>
      <sheetName val="drevo"/>
      <sheetName val="tovar"/>
      <sheetName val="efekt "/>
      <sheetName val="odozvova tabulka_efekty"/>
      <sheetName val="spinky"/>
      <sheetName val="ucinnost prania"/>
      <sheetName val="ucinnost prania_efekty"/>
      <sheetName val="efekty1"/>
      <sheetName val="tri faktory"/>
      <sheetName val="test krivosti"/>
      <sheetName val="uplny kvadraticky model"/>
      <sheetName val="lack of fit_cb"/>
      <sheetName val="lack of fit_ab_cb"/>
      <sheetName val="hierarchicky model"/>
      <sheetName val="pät faktorov"/>
      <sheetName val="ciastocny plan exp"/>
      <sheetName val="BBD"/>
      <sheetName val="efekty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-1</v>
          </cell>
          <cell r="C31">
            <v>1</v>
          </cell>
        </row>
        <row r="33">
          <cell r="B33">
            <v>58.25</v>
          </cell>
          <cell r="C33">
            <v>78.875</v>
          </cell>
          <cell r="D33">
            <v>71.625</v>
          </cell>
          <cell r="E33">
            <v>65.5</v>
          </cell>
          <cell r="F33">
            <v>59.125</v>
          </cell>
          <cell r="G33">
            <v>78</v>
          </cell>
        </row>
        <row r="38">
          <cell r="D38" t="str">
            <v>A1</v>
          </cell>
          <cell r="E38" t="str">
            <v>A2</v>
          </cell>
        </row>
        <row r="39">
          <cell r="D39">
            <v>-1</v>
          </cell>
          <cell r="E39">
            <v>1</v>
          </cell>
        </row>
        <row r="40">
          <cell r="B40" t="str">
            <v>40°C</v>
          </cell>
          <cell r="C40">
            <v>-1</v>
          </cell>
          <cell r="D40">
            <v>67</v>
          </cell>
          <cell r="E40">
            <v>76.25</v>
          </cell>
        </row>
        <row r="41">
          <cell r="B41" t="str">
            <v>60°C</v>
          </cell>
          <cell r="C41">
            <v>1</v>
          </cell>
          <cell r="D41">
            <v>49.5</v>
          </cell>
          <cell r="E41">
            <v>81.5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uzina_ vypocet cez vzorec"/>
      <sheetName val="pruzina_vyp cez rozsirenu matic"/>
      <sheetName val="pruzina_vypocet cez analyzu dat"/>
      <sheetName val="pneumatiky"/>
      <sheetName val="lietadlo"/>
      <sheetName val="vynosy"/>
      <sheetName val="lana1"/>
      <sheetName val="lana2"/>
      <sheetName val="mzda"/>
      <sheetName val="drevo"/>
      <sheetName val="tovar"/>
      <sheetName val="efekt "/>
      <sheetName val="odozvova tabulka_efekty"/>
      <sheetName val="spinky"/>
      <sheetName val="ucinnost prania"/>
      <sheetName val="ucinnost prania_efekty"/>
      <sheetName val="efekty1"/>
      <sheetName val="tri faktory"/>
      <sheetName val="test krivosti"/>
      <sheetName val="uplny kvadraticky model"/>
      <sheetName val="lack of fit_cb"/>
      <sheetName val="lack of fit_ab_cb"/>
      <sheetName val="hierarchicky model"/>
      <sheetName val="pät faktorov"/>
      <sheetName val="ciastocny plan exp"/>
      <sheetName val="BBD"/>
      <sheetName val="efekty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8">
          <cell r="D18">
            <v>125</v>
          </cell>
        </row>
        <row r="19">
          <cell r="D19">
            <v>200</v>
          </cell>
        </row>
        <row r="20">
          <cell r="J20">
            <v>-1</v>
          </cell>
          <cell r="K20">
            <v>1</v>
          </cell>
        </row>
        <row r="21">
          <cell r="J21">
            <v>2.74</v>
          </cell>
          <cell r="K21">
            <v>2.8049999999999997</v>
          </cell>
        </row>
        <row r="22">
          <cell r="J22">
            <v>2.8449999999999998</v>
          </cell>
          <cell r="K22">
            <v>2.91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uzina_ vypocet cez vzorec"/>
      <sheetName val="pruzina_vyp cez rozsirenu matic"/>
      <sheetName val="pruzina_vypocet cez analyzu dat"/>
      <sheetName val="pneumatiky"/>
      <sheetName val="lietadlo"/>
      <sheetName val="vynosy"/>
      <sheetName val="lana1"/>
      <sheetName val="lana2"/>
      <sheetName val="mzda"/>
      <sheetName val="drevo"/>
      <sheetName val="tovar"/>
      <sheetName val="efekt "/>
      <sheetName val="odozvova tabulka_efekty"/>
      <sheetName val="spinky"/>
      <sheetName val="ucinnost prania"/>
      <sheetName val="ucinnost prania_efekty"/>
      <sheetName val="efekty1"/>
      <sheetName val="tri faktory"/>
      <sheetName val="test krivosti"/>
      <sheetName val="uplny kvadraticky model"/>
      <sheetName val="lack of fit_cb"/>
      <sheetName val="lack of fit_ab_cb"/>
      <sheetName val="hierarchicky model"/>
      <sheetName val="pät faktorov"/>
      <sheetName val="ciastocny plan exp"/>
      <sheetName val="BBD"/>
      <sheetName val="efekty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3">
          <cell r="E23" t="str">
            <v>0,015 (mm/min)</v>
          </cell>
          <cell r="F23" t="str">
            <v>0,06 (mm/min)</v>
          </cell>
        </row>
        <row r="34">
          <cell r="D34">
            <v>-1</v>
          </cell>
          <cell r="E34">
            <v>2.74</v>
          </cell>
          <cell r="F34">
            <v>2.8049999999999997</v>
          </cell>
        </row>
        <row r="35">
          <cell r="D35">
            <v>1</v>
          </cell>
          <cell r="E35">
            <v>2.8449999999999998</v>
          </cell>
          <cell r="F35">
            <v>2.91</v>
          </cell>
        </row>
      </sheetData>
      <sheetData sheetId="17"/>
      <sheetData sheetId="18"/>
      <sheetData sheetId="19">
        <row r="44">
          <cell r="A44">
            <v>4.166666666666667</v>
          </cell>
          <cell r="B44">
            <v>43</v>
          </cell>
        </row>
        <row r="45">
          <cell r="A45">
            <v>12.5</v>
          </cell>
          <cell r="B45">
            <v>48</v>
          </cell>
        </row>
        <row r="46">
          <cell r="A46">
            <v>20.833333333333336</v>
          </cell>
          <cell r="B46">
            <v>65</v>
          </cell>
        </row>
        <row r="47">
          <cell r="A47">
            <v>29.166666666666668</v>
          </cell>
          <cell r="B47">
            <v>69</v>
          </cell>
        </row>
        <row r="48">
          <cell r="A48">
            <v>37.5</v>
          </cell>
          <cell r="B48">
            <v>73</v>
          </cell>
        </row>
        <row r="49">
          <cell r="A49">
            <v>45.833333333333336</v>
          </cell>
          <cell r="B49">
            <v>74</v>
          </cell>
        </row>
        <row r="50">
          <cell r="A50">
            <v>54.166666666666664</v>
          </cell>
          <cell r="B50">
            <v>76</v>
          </cell>
        </row>
        <row r="51">
          <cell r="A51">
            <v>62.5</v>
          </cell>
          <cell r="B51">
            <v>76</v>
          </cell>
        </row>
        <row r="52">
          <cell r="A52">
            <v>70.833333333333343</v>
          </cell>
          <cell r="B52">
            <v>78</v>
          </cell>
        </row>
        <row r="53">
          <cell r="A53">
            <v>79.166666666666671</v>
          </cell>
          <cell r="B53">
            <v>79</v>
          </cell>
        </row>
        <row r="54">
          <cell r="A54">
            <v>87.500000000000014</v>
          </cell>
          <cell r="B54">
            <v>81</v>
          </cell>
        </row>
        <row r="55">
          <cell r="A55">
            <v>95.833333333333343</v>
          </cell>
          <cell r="B55">
            <v>83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lny kvadraticky model"/>
      <sheetName val="pokus s rsm"/>
      <sheetName val="test krivosti"/>
      <sheetName val="lack of fit_opak m"/>
      <sheetName val="lack of fit_cb"/>
      <sheetName val="SA"/>
      <sheetName val="Hárok2"/>
    </sheetNames>
    <sheetDataSet>
      <sheetData sheetId="0">
        <row r="59">
          <cell r="B59" t="str">
            <v xml:space="preserve">y </v>
          </cell>
          <cell r="C59">
            <v>-1</v>
          </cell>
          <cell r="D59">
            <v>-0.8</v>
          </cell>
          <cell r="E59">
            <v>-0.6</v>
          </cell>
          <cell r="F59">
            <v>-0.4</v>
          </cell>
          <cell r="G59">
            <v>-0.2</v>
          </cell>
          <cell r="H59">
            <v>0</v>
          </cell>
          <cell r="I59">
            <v>0.2</v>
          </cell>
          <cell r="J59">
            <v>0.4</v>
          </cell>
          <cell r="K59">
            <v>0.6</v>
          </cell>
          <cell r="L59">
            <v>0.8</v>
          </cell>
          <cell r="M59">
            <v>1</v>
          </cell>
        </row>
        <row r="60">
          <cell r="B60">
            <v>-1</v>
          </cell>
          <cell r="C60">
            <v>44.02</v>
          </cell>
          <cell r="D60">
            <v>50.703999999999986</v>
          </cell>
          <cell r="E60">
            <v>56.683999999999997</v>
          </cell>
          <cell r="F60">
            <v>61.96</v>
          </cell>
          <cell r="G60">
            <v>66.532000000000011</v>
          </cell>
          <cell r="H60">
            <v>70.400000000000006</v>
          </cell>
          <cell r="I60">
            <v>73.563999999999993</v>
          </cell>
          <cell r="J60">
            <v>76.024000000000001</v>
          </cell>
          <cell r="K60">
            <v>77.78</v>
          </cell>
          <cell r="L60">
            <v>78.832000000000008</v>
          </cell>
          <cell r="M60">
            <v>79.180000000000007</v>
          </cell>
        </row>
        <row r="61">
          <cell r="B61">
            <v>-0.8</v>
          </cell>
          <cell r="C61">
            <v>48.260799999999996</v>
          </cell>
          <cell r="D61">
            <v>54.634799999999984</v>
          </cell>
          <cell r="E61">
            <v>60.3048</v>
          </cell>
          <cell r="F61">
            <v>65.270799999999994</v>
          </cell>
          <cell r="G61">
            <v>69.532799999999995</v>
          </cell>
          <cell r="H61">
            <v>73.090800000000002</v>
          </cell>
          <cell r="I61">
            <v>75.944799999999972</v>
          </cell>
          <cell r="J61">
            <v>78.094800000000006</v>
          </cell>
          <cell r="K61">
            <v>79.54079999999999</v>
          </cell>
          <cell r="L61">
            <v>80.282800000000009</v>
          </cell>
          <cell r="M61">
            <v>80.320800000000006</v>
          </cell>
        </row>
        <row r="62">
          <cell r="B62">
            <v>-0.6</v>
          </cell>
          <cell r="C62">
            <v>52.091200000000008</v>
          </cell>
          <cell r="D62">
            <v>58.155199999999994</v>
          </cell>
          <cell r="E62">
            <v>63.5152</v>
          </cell>
          <cell r="F62">
            <v>68.171199999999999</v>
          </cell>
          <cell r="G62">
            <v>72.123199999999997</v>
          </cell>
          <cell r="H62">
            <v>75.371200000000002</v>
          </cell>
          <cell r="I62">
            <v>77.915199999999999</v>
          </cell>
          <cell r="J62">
            <v>79.755200000000002</v>
          </cell>
          <cell r="K62">
            <v>80.891199999999998</v>
          </cell>
          <cell r="L62">
            <v>81.3232</v>
          </cell>
          <cell r="M62">
            <v>81.051200000000009</v>
          </cell>
        </row>
        <row r="63">
          <cell r="B63">
            <v>-0.4</v>
          </cell>
          <cell r="C63">
            <v>55.511200000000002</v>
          </cell>
          <cell r="D63">
            <v>61.265199999999993</v>
          </cell>
          <cell r="E63">
            <v>66.31519999999999</v>
          </cell>
          <cell r="F63">
            <v>70.661199999999994</v>
          </cell>
          <cell r="G63">
            <v>74.30319999999999</v>
          </cell>
          <cell r="H63">
            <v>77.241199999999992</v>
          </cell>
          <cell r="I63">
            <v>79.475199999999987</v>
          </cell>
          <cell r="J63">
            <v>81.005199999999988</v>
          </cell>
          <cell r="K63">
            <v>81.831199999999981</v>
          </cell>
          <cell r="L63">
            <v>81.953199999999995</v>
          </cell>
          <cell r="M63">
            <v>81.371199999999988</v>
          </cell>
        </row>
        <row r="64">
          <cell r="B64">
            <v>-0.2</v>
          </cell>
          <cell r="C64">
            <v>58.520800000000015</v>
          </cell>
          <cell r="D64">
            <v>63.96479999999999</v>
          </cell>
          <cell r="E64">
            <v>68.704799999999992</v>
          </cell>
          <cell r="F64">
            <v>72.740799999999993</v>
          </cell>
          <cell r="G64">
            <v>76.072800000000001</v>
          </cell>
          <cell r="H64">
            <v>78.700800000000001</v>
          </cell>
          <cell r="I64">
            <v>80.624799999999993</v>
          </cell>
          <cell r="J64">
            <v>81.844800000000006</v>
          </cell>
          <cell r="K64">
            <v>82.360799999999998</v>
          </cell>
          <cell r="L64">
            <v>82.172799999999995</v>
          </cell>
          <cell r="M64">
            <v>81.280799999999999</v>
          </cell>
        </row>
        <row r="65">
          <cell r="B65">
            <v>0</v>
          </cell>
          <cell r="C65">
            <v>61.120000000000005</v>
          </cell>
          <cell r="D65">
            <v>66.253999999999991</v>
          </cell>
          <cell r="E65">
            <v>70.683999999999997</v>
          </cell>
          <cell r="F65">
            <v>74.41</v>
          </cell>
          <cell r="G65">
            <v>77.432000000000002</v>
          </cell>
          <cell r="H65">
            <v>79.75</v>
          </cell>
          <cell r="I65">
            <v>81.36399999999999</v>
          </cell>
          <cell r="J65">
            <v>82.274000000000001</v>
          </cell>
          <cell r="K65">
            <v>82.47999999999999</v>
          </cell>
          <cell r="L65">
            <v>81.981999999999999</v>
          </cell>
          <cell r="M65">
            <v>80.78</v>
          </cell>
        </row>
        <row r="66">
          <cell r="B66">
            <v>0.2</v>
          </cell>
          <cell r="C66">
            <v>63.308799999999998</v>
          </cell>
          <cell r="D66">
            <v>68.132799999999975</v>
          </cell>
          <cell r="E66">
            <v>72.252799999999993</v>
          </cell>
          <cell r="F66">
            <v>75.66879999999999</v>
          </cell>
          <cell r="G66">
            <v>78.380799999999994</v>
          </cell>
          <cell r="H66">
            <v>80.388799999999989</v>
          </cell>
          <cell r="I66">
            <v>81.692799999999977</v>
          </cell>
          <cell r="J66">
            <v>82.292799999999986</v>
          </cell>
          <cell r="K66">
            <v>82.188799999999972</v>
          </cell>
          <cell r="L66">
            <v>81.380799999999994</v>
          </cell>
          <cell r="M66">
            <v>79.868799999999993</v>
          </cell>
        </row>
        <row r="67">
          <cell r="B67">
            <v>0.4</v>
          </cell>
          <cell r="C67">
            <v>65.08720000000001</v>
          </cell>
          <cell r="D67">
            <v>69.601199999999992</v>
          </cell>
          <cell r="E67">
            <v>73.411199999999994</v>
          </cell>
          <cell r="F67">
            <v>76.517199999999988</v>
          </cell>
          <cell r="G67">
            <v>78.919200000000004</v>
          </cell>
          <cell r="H67">
            <v>80.617199999999997</v>
          </cell>
          <cell r="I67">
            <v>81.611199999999982</v>
          </cell>
          <cell r="J67">
            <v>81.901200000000003</v>
          </cell>
          <cell r="K67">
            <v>81.487199999999987</v>
          </cell>
          <cell r="L67">
            <v>80.369199999999992</v>
          </cell>
          <cell r="M67">
            <v>78.547200000000004</v>
          </cell>
        </row>
        <row r="68">
          <cell r="B68">
            <v>0.6</v>
          </cell>
          <cell r="C68">
            <v>66.455200000000005</v>
          </cell>
          <cell r="D68">
            <v>70.659199999999984</v>
          </cell>
          <cell r="E68">
            <v>74.159199999999998</v>
          </cell>
          <cell r="F68">
            <v>76.955199999999991</v>
          </cell>
          <cell r="G68">
            <v>79.047200000000004</v>
          </cell>
          <cell r="H68">
            <v>80.435199999999995</v>
          </cell>
          <cell r="I68">
            <v>81.119199999999978</v>
          </cell>
          <cell r="J68">
            <v>81.099199999999996</v>
          </cell>
          <cell r="K68">
            <v>80.375199999999978</v>
          </cell>
          <cell r="L68">
            <v>78.947199999999995</v>
          </cell>
          <cell r="M68">
            <v>76.81519999999999</v>
          </cell>
        </row>
        <row r="69">
          <cell r="B69">
            <v>0.8</v>
          </cell>
          <cell r="C69">
            <v>67.412800000000004</v>
          </cell>
          <cell r="D69">
            <v>71.30680000000001</v>
          </cell>
          <cell r="E69">
            <v>74.496800000000007</v>
          </cell>
          <cell r="F69">
            <v>76.982800000000012</v>
          </cell>
          <cell r="G69">
            <v>78.764799999999994</v>
          </cell>
          <cell r="H69">
            <v>79.842800000000011</v>
          </cell>
          <cell r="I69">
            <v>80.216799999999992</v>
          </cell>
          <cell r="J69">
            <v>79.886800000000008</v>
          </cell>
          <cell r="K69">
            <v>78.852800000000002</v>
          </cell>
          <cell r="L69">
            <v>77.114800000000002</v>
          </cell>
          <cell r="M69">
            <v>74.672800000000009</v>
          </cell>
        </row>
        <row r="70">
          <cell r="B70">
            <v>1</v>
          </cell>
          <cell r="C70">
            <v>67.960000000000008</v>
          </cell>
          <cell r="D70">
            <v>71.543999999999997</v>
          </cell>
          <cell r="E70">
            <v>74.424000000000007</v>
          </cell>
          <cell r="F70">
            <v>76.599999999999994</v>
          </cell>
          <cell r="G70">
            <v>78.072000000000003</v>
          </cell>
          <cell r="H70">
            <v>78.84</v>
          </cell>
          <cell r="I70">
            <v>78.903999999999996</v>
          </cell>
          <cell r="J70">
            <v>78.26400000000001</v>
          </cell>
          <cell r="K70">
            <v>76.919999999999987</v>
          </cell>
          <cell r="L70">
            <v>74.872</v>
          </cell>
          <cell r="M70">
            <v>72.12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image" Target="../media/image1.emf"/><Relationship Id="rId4" Type="http://schemas.openxmlformats.org/officeDocument/2006/relationships/package" Target="../embeddings/Dokument_programu_Microsoft_Word.docx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15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10.v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0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1.emf"/><Relationship Id="rId4" Type="http://schemas.openxmlformats.org/officeDocument/2006/relationships/package" Target="../embeddings/Dokument_programu_Microsoft_Word1.docx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68"/>
  <sheetViews>
    <sheetView zoomScaleNormal="100" workbookViewId="0">
      <selection activeCell="K22" sqref="K22"/>
    </sheetView>
  </sheetViews>
  <sheetFormatPr defaultRowHeight="15" x14ac:dyDescent="0.25"/>
  <cols>
    <col min="1" max="1" width="13" customWidth="1"/>
    <col min="12" max="12" width="9.28515625" customWidth="1"/>
  </cols>
  <sheetData>
    <row r="1" spans="1:16" x14ac:dyDescent="0.25">
      <c r="A1" s="3" t="s">
        <v>0</v>
      </c>
      <c r="B1" t="s">
        <v>1</v>
      </c>
      <c r="M1" s="13"/>
    </row>
    <row r="2" spans="1:16" ht="18" x14ac:dyDescent="0.35">
      <c r="B2" t="s">
        <v>72</v>
      </c>
      <c r="M2" s="13"/>
    </row>
    <row r="3" spans="1:16" x14ac:dyDescent="0.25">
      <c r="B3" t="s">
        <v>34</v>
      </c>
      <c r="M3" s="13"/>
    </row>
    <row r="4" spans="1:16" ht="17.25" x14ac:dyDescent="0.25">
      <c r="B4" t="s">
        <v>2</v>
      </c>
      <c r="M4" s="13"/>
    </row>
    <row r="5" spans="1:16" x14ac:dyDescent="0.25">
      <c r="B5" t="s">
        <v>3</v>
      </c>
      <c r="M5" s="13"/>
    </row>
    <row r="6" spans="1:16" x14ac:dyDescent="0.25">
      <c r="B6" t="s">
        <v>4</v>
      </c>
      <c r="E6" s="1">
        <v>0.05</v>
      </c>
      <c r="F6" t="s">
        <v>5</v>
      </c>
      <c r="G6" s="24"/>
      <c r="M6" s="13"/>
    </row>
    <row r="7" spans="1:16" x14ac:dyDescent="0.25">
      <c r="B7" t="s">
        <v>33</v>
      </c>
      <c r="M7" s="13"/>
    </row>
    <row r="8" spans="1:16" x14ac:dyDescent="0.25">
      <c r="A8" s="3"/>
      <c r="B8" s="4" t="s">
        <v>6</v>
      </c>
      <c r="C8" s="4" t="s">
        <v>7</v>
      </c>
      <c r="D8" s="4" t="s">
        <v>8</v>
      </c>
      <c r="E8" s="4" t="s">
        <v>9</v>
      </c>
      <c r="F8" s="13"/>
      <c r="G8" s="13"/>
      <c r="M8" s="13"/>
    </row>
    <row r="9" spans="1:16" x14ac:dyDescent="0.25">
      <c r="B9" s="4">
        <v>77</v>
      </c>
      <c r="C9" s="4">
        <v>98</v>
      </c>
      <c r="D9" s="4">
        <v>50</v>
      </c>
      <c r="E9" s="4">
        <v>69</v>
      </c>
      <c r="F9" s="13"/>
      <c r="G9" s="13"/>
    </row>
    <row r="10" spans="1:16" x14ac:dyDescent="0.25">
      <c r="B10" s="6">
        <v>63</v>
      </c>
      <c r="C10" s="6">
        <v>82</v>
      </c>
      <c r="D10" s="6">
        <v>52</v>
      </c>
      <c r="E10" s="6">
        <v>61</v>
      </c>
      <c r="F10" s="13"/>
      <c r="G10" s="13"/>
      <c r="N10" s="3" t="s">
        <v>14</v>
      </c>
    </row>
    <row r="11" spans="1:16" x14ac:dyDescent="0.25">
      <c r="B11" s="13"/>
      <c r="C11" s="13"/>
      <c r="D11" s="13"/>
      <c r="E11" s="13"/>
      <c r="F11" s="13"/>
      <c r="G11" s="13"/>
      <c r="I11" s="2" t="s">
        <v>44</v>
      </c>
    </row>
    <row r="12" spans="1:16" ht="18" x14ac:dyDescent="0.35">
      <c r="A12" s="15" t="s">
        <v>42</v>
      </c>
      <c r="B12" s="17">
        <v>10</v>
      </c>
      <c r="C12" s="16">
        <v>15</v>
      </c>
      <c r="D12" s="15" t="s">
        <v>45</v>
      </c>
      <c r="E12" s="14">
        <f>(B12+C12)/2</f>
        <v>12.5</v>
      </c>
      <c r="F12" s="15" t="s">
        <v>46</v>
      </c>
      <c r="G12" s="14">
        <f>(C12-B12)/2</f>
        <v>2.5</v>
      </c>
    </row>
    <row r="13" spans="1:16" ht="18" x14ac:dyDescent="0.35">
      <c r="A13" s="15" t="s">
        <v>43</v>
      </c>
      <c r="B13" s="17">
        <v>5</v>
      </c>
      <c r="C13" s="16">
        <v>7</v>
      </c>
      <c r="D13" s="13"/>
      <c r="E13" s="14">
        <f>(B13+C13)/2</f>
        <v>6</v>
      </c>
      <c r="F13" s="13"/>
      <c r="G13" s="14">
        <f>(C13-B13)/2</f>
        <v>1</v>
      </c>
      <c r="P13" t="s">
        <v>13</v>
      </c>
    </row>
    <row r="14" spans="1:16" x14ac:dyDescent="0.25">
      <c r="C14" s="13"/>
      <c r="D14" s="13"/>
      <c r="E14" s="13"/>
      <c r="F14" s="13"/>
      <c r="G14" s="13"/>
      <c r="K14" s="2" t="s">
        <v>41</v>
      </c>
    </row>
    <row r="16" spans="1:16" ht="18" x14ac:dyDescent="0.35">
      <c r="A16" s="3"/>
      <c r="B16" s="11" t="s">
        <v>10</v>
      </c>
      <c r="C16" s="12" t="s">
        <v>11</v>
      </c>
      <c r="D16" s="225" t="s">
        <v>35</v>
      </c>
      <c r="E16" s="222" t="s">
        <v>36</v>
      </c>
      <c r="F16" s="13"/>
      <c r="G16" s="13"/>
      <c r="I16" t="s">
        <v>47</v>
      </c>
      <c r="L16" s="29" t="s">
        <v>427</v>
      </c>
      <c r="M16" s="30"/>
    </row>
    <row r="17" spans="1:19" ht="18" x14ac:dyDescent="0.35">
      <c r="A17" s="3" t="s">
        <v>6</v>
      </c>
      <c r="B17" s="18">
        <v>10</v>
      </c>
      <c r="C17" s="32">
        <v>5</v>
      </c>
      <c r="D17" s="18">
        <f>(B17-$E$12)/$G$12</f>
        <v>-1</v>
      </c>
      <c r="E17" s="19">
        <f>(C17-$E$13)/$G$13</f>
        <v>-1</v>
      </c>
      <c r="F17" s="5"/>
      <c r="G17" s="5"/>
      <c r="L17" s="29" t="s">
        <v>428</v>
      </c>
      <c r="M17" s="30"/>
    </row>
    <row r="18" spans="1:19" x14ac:dyDescent="0.25">
      <c r="A18" s="3"/>
      <c r="B18" s="20">
        <v>10</v>
      </c>
      <c r="C18" s="23">
        <v>5</v>
      </c>
      <c r="D18" s="20">
        <f t="shared" ref="D18:D24" si="0">(B18-$E$12)/$G$12</f>
        <v>-1</v>
      </c>
      <c r="E18" s="21">
        <f>(C18-$E$13)/$G$13</f>
        <v>-1</v>
      </c>
      <c r="F18" s="5"/>
      <c r="G18" s="5"/>
    </row>
    <row r="19" spans="1:19" x14ac:dyDescent="0.25">
      <c r="A19" s="3" t="s">
        <v>7</v>
      </c>
      <c r="B19" s="20">
        <v>10</v>
      </c>
      <c r="C19" s="23">
        <v>7</v>
      </c>
      <c r="D19" s="20">
        <f t="shared" si="0"/>
        <v>-1</v>
      </c>
      <c r="E19" s="21">
        <f t="shared" ref="E19:E24" si="1">(C19-$E$13)/$G$13</f>
        <v>1</v>
      </c>
      <c r="F19" s="5"/>
      <c r="G19" s="5"/>
      <c r="N19" s="81" t="s">
        <v>418</v>
      </c>
      <c r="O19" s="86"/>
      <c r="P19" s="82"/>
    </row>
    <row r="20" spans="1:19" x14ac:dyDescent="0.25">
      <c r="A20" s="3"/>
      <c r="B20" s="20">
        <v>10</v>
      </c>
      <c r="C20" s="23">
        <v>7</v>
      </c>
      <c r="D20" s="20">
        <f>(B20-$E$12)/$G$12</f>
        <v>-1</v>
      </c>
      <c r="E20" s="21">
        <f t="shared" si="1"/>
        <v>1</v>
      </c>
      <c r="F20" s="5"/>
      <c r="G20" s="5"/>
      <c r="N20" s="229">
        <f>H35</f>
        <v>90</v>
      </c>
      <c r="O20" s="10">
        <f>H39</f>
        <v>65</v>
      </c>
      <c r="P20" s="88"/>
    </row>
    <row r="21" spans="1:19" x14ac:dyDescent="0.25">
      <c r="A21" s="3" t="s">
        <v>8</v>
      </c>
      <c r="B21" s="20">
        <v>15</v>
      </c>
      <c r="C21" s="23">
        <v>5</v>
      </c>
      <c r="D21" s="20">
        <f t="shared" si="0"/>
        <v>1</v>
      </c>
      <c r="E21" s="21">
        <f t="shared" si="1"/>
        <v>-1</v>
      </c>
      <c r="F21" s="5"/>
      <c r="G21" s="5"/>
      <c r="N21" s="87"/>
      <c r="O21" s="10"/>
      <c r="P21" s="88"/>
    </row>
    <row r="22" spans="1:19" x14ac:dyDescent="0.25">
      <c r="A22" s="3"/>
      <c r="B22" s="20">
        <v>15</v>
      </c>
      <c r="C22" s="23">
        <v>5</v>
      </c>
      <c r="D22" s="20">
        <f t="shared" si="0"/>
        <v>1</v>
      </c>
      <c r="E22" s="21">
        <f t="shared" si="1"/>
        <v>-1</v>
      </c>
      <c r="F22" s="5"/>
      <c r="G22" s="5"/>
      <c r="N22" s="87"/>
      <c r="O22" s="10"/>
      <c r="P22" s="88"/>
    </row>
    <row r="23" spans="1:19" x14ac:dyDescent="0.25">
      <c r="A23" s="3" t="s">
        <v>9</v>
      </c>
      <c r="B23" s="20">
        <v>15</v>
      </c>
      <c r="C23" s="23">
        <v>7</v>
      </c>
      <c r="D23" s="20">
        <f t="shared" si="0"/>
        <v>1</v>
      </c>
      <c r="E23" s="21">
        <f t="shared" si="1"/>
        <v>1</v>
      </c>
      <c r="F23" s="5"/>
      <c r="G23" s="5"/>
      <c r="N23" s="229">
        <f>H33</f>
        <v>70</v>
      </c>
      <c r="O23" s="10">
        <f>H37</f>
        <v>51</v>
      </c>
      <c r="P23" s="88"/>
    </row>
    <row r="24" spans="1:19" x14ac:dyDescent="0.25">
      <c r="A24" s="3"/>
      <c r="B24" s="22">
        <v>15</v>
      </c>
      <c r="C24" s="35">
        <v>7</v>
      </c>
      <c r="D24" s="231">
        <f t="shared" si="0"/>
        <v>1</v>
      </c>
      <c r="E24" s="232">
        <f t="shared" si="1"/>
        <v>1</v>
      </c>
      <c r="F24" s="5"/>
      <c r="G24" s="5"/>
      <c r="N24" s="83"/>
      <c r="O24" s="89"/>
      <c r="P24" s="84"/>
    </row>
    <row r="25" spans="1:19" x14ac:dyDescent="0.25">
      <c r="A25" s="3"/>
      <c r="B25" s="13"/>
      <c r="C25" s="13"/>
      <c r="D25" s="13"/>
      <c r="E25" s="13"/>
      <c r="F25" s="13"/>
      <c r="G25" s="13"/>
      <c r="I25" s="13"/>
      <c r="J25" s="13"/>
      <c r="K25" s="13"/>
      <c r="L25" s="13"/>
      <c r="N25" s="13"/>
    </row>
    <row r="26" spans="1:19" x14ac:dyDescent="0.25">
      <c r="A26" t="s">
        <v>49</v>
      </c>
    </row>
    <row r="28" spans="1:19" x14ac:dyDescent="0.25">
      <c r="A28" s="3" t="s">
        <v>30</v>
      </c>
      <c r="B28" s="14">
        <v>2</v>
      </c>
      <c r="I28" s="3" t="s">
        <v>55</v>
      </c>
      <c r="J28" t="s">
        <v>51</v>
      </c>
    </row>
    <row r="29" spans="1:19" x14ac:dyDescent="0.25">
      <c r="A29" s="3" t="s">
        <v>31</v>
      </c>
      <c r="B29" s="14">
        <f>2^2</f>
        <v>4</v>
      </c>
      <c r="I29" s="3" t="s">
        <v>56</v>
      </c>
      <c r="J29" t="s">
        <v>52</v>
      </c>
      <c r="N29" s="10"/>
      <c r="O29" s="10"/>
      <c r="P29" s="13"/>
      <c r="Q29" s="13"/>
      <c r="R29" s="13"/>
      <c r="S29" s="10"/>
    </row>
    <row r="30" spans="1:19" x14ac:dyDescent="0.25">
      <c r="A30" s="3" t="s">
        <v>32</v>
      </c>
      <c r="B30" s="14">
        <f>B28*B29</f>
        <v>8</v>
      </c>
      <c r="I30" s="3" t="s">
        <v>57</v>
      </c>
      <c r="J30" t="s">
        <v>53</v>
      </c>
      <c r="N30" s="15"/>
      <c r="O30" s="10"/>
      <c r="P30" s="5"/>
      <c r="Q30" s="5"/>
      <c r="R30" s="5"/>
      <c r="S30" s="10"/>
    </row>
    <row r="31" spans="1:19" x14ac:dyDescent="0.25">
      <c r="I31" s="3" t="s">
        <v>58</v>
      </c>
      <c r="J31" t="s">
        <v>54</v>
      </c>
      <c r="N31" s="10"/>
      <c r="O31" s="10"/>
      <c r="P31" s="5"/>
      <c r="Q31" s="5"/>
      <c r="R31" s="5"/>
      <c r="S31" s="10"/>
    </row>
    <row r="32" spans="1:19" ht="18" x14ac:dyDescent="0.35">
      <c r="B32" s="2" t="s">
        <v>37</v>
      </c>
      <c r="C32" s="2" t="s">
        <v>38</v>
      </c>
      <c r="D32" s="2" t="s">
        <v>48</v>
      </c>
      <c r="E32" s="2" t="s">
        <v>39</v>
      </c>
      <c r="O32" s="10"/>
      <c r="P32" s="5"/>
      <c r="Q32" s="5"/>
      <c r="R32" s="5"/>
      <c r="S32" s="10"/>
    </row>
    <row r="33" spans="1:19" x14ac:dyDescent="0.25">
      <c r="A33" s="3" t="s">
        <v>15</v>
      </c>
      <c r="B33" s="18">
        <v>1</v>
      </c>
      <c r="C33" s="32">
        <v>-1</v>
      </c>
      <c r="D33" s="32">
        <v>-1</v>
      </c>
      <c r="E33" s="19">
        <f>C33*D33</f>
        <v>1</v>
      </c>
      <c r="F33" s="3" t="s">
        <v>40</v>
      </c>
      <c r="G33" s="233">
        <v>77</v>
      </c>
      <c r="H33">
        <f>AVERAGE(G33:G34)</f>
        <v>70</v>
      </c>
      <c r="M33" s="81" t="s">
        <v>422</v>
      </c>
      <c r="N33" s="86"/>
      <c r="O33" s="86"/>
      <c r="P33" s="86"/>
      <c r="Q33" s="86"/>
      <c r="R33" s="261"/>
      <c r="S33" s="82"/>
    </row>
    <row r="34" spans="1:19" ht="18" x14ac:dyDescent="0.35">
      <c r="B34" s="20">
        <v>1</v>
      </c>
      <c r="C34" s="23">
        <v>-1</v>
      </c>
      <c r="D34" s="23">
        <v>-1</v>
      </c>
      <c r="E34" s="21">
        <v>1</v>
      </c>
      <c r="G34" s="234">
        <v>63</v>
      </c>
      <c r="M34" s="240">
        <v>-1</v>
      </c>
      <c r="N34" s="13">
        <v>1</v>
      </c>
      <c r="O34" s="10"/>
      <c r="P34" s="10"/>
      <c r="Q34" s="10"/>
      <c r="R34" s="260" t="s">
        <v>61</v>
      </c>
      <c r="S34" s="262">
        <f>AVERAGE(G33:G40)</f>
        <v>69</v>
      </c>
    </row>
    <row r="35" spans="1:19" ht="18" x14ac:dyDescent="0.35">
      <c r="B35" s="20">
        <v>1</v>
      </c>
      <c r="C35" s="23">
        <v>-1</v>
      </c>
      <c r="D35" s="23">
        <v>1</v>
      </c>
      <c r="E35" s="21">
        <v>-1</v>
      </c>
      <c r="G35" s="233">
        <v>98</v>
      </c>
      <c r="H35">
        <f>AVERAGE(G35:G36)</f>
        <v>90</v>
      </c>
      <c r="M35" s="240">
        <f>AVERAGE(G33:G36)</f>
        <v>80</v>
      </c>
      <c r="N35" s="13">
        <f>AVERAGE(G37:G40)</f>
        <v>58</v>
      </c>
      <c r="O35" s="15" t="s">
        <v>419</v>
      </c>
      <c r="P35" s="97">
        <f>N35-M35</f>
        <v>-22</v>
      </c>
      <c r="Q35" s="10"/>
      <c r="R35" s="260" t="s">
        <v>62</v>
      </c>
      <c r="S35" s="262">
        <f>P35/2</f>
        <v>-11</v>
      </c>
    </row>
    <row r="36" spans="1:19" ht="18" x14ac:dyDescent="0.35">
      <c r="B36" s="20">
        <v>1</v>
      </c>
      <c r="C36" s="23">
        <v>-1</v>
      </c>
      <c r="D36" s="23">
        <v>1</v>
      </c>
      <c r="E36" s="21">
        <v>-1</v>
      </c>
      <c r="G36" s="234">
        <v>82</v>
      </c>
      <c r="M36" s="240">
        <f>AVERAGE(G33:G34,G37:G38)</f>
        <v>60.5</v>
      </c>
      <c r="N36" s="13">
        <f>AVERAGE(G35:G36,G39:G40)</f>
        <v>77.5</v>
      </c>
      <c r="O36" s="15" t="s">
        <v>420</v>
      </c>
      <c r="P36" s="97">
        <f>N36-M36</f>
        <v>17</v>
      </c>
      <c r="Q36" s="10"/>
      <c r="R36" s="260" t="s">
        <v>63</v>
      </c>
      <c r="S36" s="262">
        <f>P36/2</f>
        <v>8.5</v>
      </c>
    </row>
    <row r="37" spans="1:19" ht="18" x14ac:dyDescent="0.35">
      <c r="B37" s="20">
        <v>1</v>
      </c>
      <c r="C37" s="23">
        <v>1</v>
      </c>
      <c r="D37" s="23">
        <v>-1</v>
      </c>
      <c r="E37" s="21">
        <v>-1</v>
      </c>
      <c r="G37" s="233">
        <v>50</v>
      </c>
      <c r="H37">
        <f>AVERAGE(G37:G38)</f>
        <v>51</v>
      </c>
      <c r="M37" s="240">
        <f>AVERAGE(G35:G38)</f>
        <v>70.5</v>
      </c>
      <c r="N37" s="13">
        <f>AVERAGE(G33:G34,G39:G40)</f>
        <v>67.5</v>
      </c>
      <c r="O37" s="15" t="s">
        <v>421</v>
      </c>
      <c r="P37" s="97">
        <f>N37-M37</f>
        <v>-3</v>
      </c>
      <c r="Q37" s="10"/>
      <c r="R37" s="260" t="s">
        <v>64</v>
      </c>
      <c r="S37" s="262">
        <f>P37/2</f>
        <v>-1.5</v>
      </c>
    </row>
    <row r="38" spans="1:19" x14ac:dyDescent="0.25">
      <c r="B38" s="20">
        <v>1</v>
      </c>
      <c r="C38" s="23">
        <v>1</v>
      </c>
      <c r="D38" s="23">
        <v>-1</v>
      </c>
      <c r="E38" s="21">
        <v>-1</v>
      </c>
      <c r="G38" s="234">
        <v>52</v>
      </c>
      <c r="M38" s="83"/>
      <c r="N38" s="89"/>
      <c r="O38" s="89"/>
      <c r="P38" s="89"/>
      <c r="Q38" s="89"/>
      <c r="R38" s="89"/>
      <c r="S38" s="84"/>
    </row>
    <row r="39" spans="1:19" x14ac:dyDescent="0.25">
      <c r="B39" s="20">
        <v>1</v>
      </c>
      <c r="C39" s="23">
        <v>1</v>
      </c>
      <c r="D39" s="23">
        <v>1</v>
      </c>
      <c r="E39" s="21">
        <v>1</v>
      </c>
      <c r="G39" s="233">
        <v>69</v>
      </c>
      <c r="H39">
        <f>AVERAGE(G39:G40)</f>
        <v>65</v>
      </c>
      <c r="N39" s="10"/>
      <c r="O39" s="10"/>
      <c r="P39" s="10"/>
      <c r="Q39" s="10"/>
      <c r="R39" s="10"/>
      <c r="S39" s="10"/>
    </row>
    <row r="40" spans="1:19" x14ac:dyDescent="0.25">
      <c r="B40" s="22">
        <v>1</v>
      </c>
      <c r="C40" s="35">
        <v>1</v>
      </c>
      <c r="D40" s="35">
        <v>1</v>
      </c>
      <c r="E40" s="78">
        <v>1</v>
      </c>
      <c r="G40" s="234">
        <v>61</v>
      </c>
      <c r="H40" t="s">
        <v>430</v>
      </c>
    </row>
    <row r="42" spans="1:19" x14ac:dyDescent="0.25">
      <c r="A42" s="3" t="s">
        <v>50</v>
      </c>
      <c r="B42" s="31">
        <f t="array" ref="B42:I45">TRANSPOSE(B33:E40)</f>
        <v>1</v>
      </c>
      <c r="C42" s="36">
        <v>1</v>
      </c>
      <c r="D42" s="36">
        <v>1</v>
      </c>
      <c r="E42" s="36">
        <v>1</v>
      </c>
      <c r="F42" s="36">
        <v>1</v>
      </c>
      <c r="G42" s="36">
        <v>1</v>
      </c>
      <c r="H42" s="36">
        <v>1</v>
      </c>
      <c r="I42" s="37">
        <v>1</v>
      </c>
    </row>
    <row r="43" spans="1:19" x14ac:dyDescent="0.25">
      <c r="B43" s="33">
        <v>-1</v>
      </c>
      <c r="C43" s="38">
        <v>-1</v>
      </c>
      <c r="D43" s="38">
        <v>-1</v>
      </c>
      <c r="E43" s="38">
        <v>-1</v>
      </c>
      <c r="F43" s="38">
        <v>1</v>
      </c>
      <c r="G43" s="38">
        <v>1</v>
      </c>
      <c r="H43" s="38">
        <v>1</v>
      </c>
      <c r="I43" s="39">
        <v>1</v>
      </c>
    </row>
    <row r="44" spans="1:19" x14ac:dyDescent="0.25">
      <c r="B44" s="33">
        <v>-1</v>
      </c>
      <c r="C44" s="38">
        <v>-1</v>
      </c>
      <c r="D44" s="38">
        <v>1</v>
      </c>
      <c r="E44" s="38">
        <v>1</v>
      </c>
      <c r="F44" s="38">
        <v>-1</v>
      </c>
      <c r="G44" s="38">
        <v>-1</v>
      </c>
      <c r="H44" s="38">
        <v>1</v>
      </c>
      <c r="I44" s="39">
        <v>1</v>
      </c>
    </row>
    <row r="45" spans="1:19" x14ac:dyDescent="0.25">
      <c r="B45" s="34">
        <v>1</v>
      </c>
      <c r="C45" s="40">
        <v>1</v>
      </c>
      <c r="D45" s="40">
        <v>-1</v>
      </c>
      <c r="E45" s="40">
        <v>-1</v>
      </c>
      <c r="F45" s="40">
        <v>-1</v>
      </c>
      <c r="G45" s="40">
        <v>-1</v>
      </c>
      <c r="H45" s="40">
        <v>1</v>
      </c>
      <c r="I45" s="41">
        <v>1</v>
      </c>
      <c r="J45" t="s">
        <v>429</v>
      </c>
    </row>
    <row r="47" spans="1:19" ht="18" x14ac:dyDescent="0.35">
      <c r="A47" s="3" t="s">
        <v>59</v>
      </c>
      <c r="B47" s="42">
        <f t="array" ref="B47:B50">MMULT(B42:I45,G33:G40)</f>
        <v>552</v>
      </c>
      <c r="D47" s="3" t="s">
        <v>60</v>
      </c>
      <c r="E47" s="42">
        <f>B47/8</f>
        <v>69</v>
      </c>
      <c r="G47" s="44" t="s">
        <v>61</v>
      </c>
      <c r="H47" s="45">
        <f>E47</f>
        <v>69</v>
      </c>
    </row>
    <row r="48" spans="1:19" ht="18" x14ac:dyDescent="0.35">
      <c r="B48" s="43">
        <v>-88</v>
      </c>
      <c r="E48" s="42">
        <f t="shared" ref="E48:E50" si="2">B48/8</f>
        <v>-11</v>
      </c>
      <c r="G48" s="44" t="s">
        <v>62</v>
      </c>
      <c r="H48" s="45">
        <f t="shared" ref="H48:H50" si="3">E48</f>
        <v>-11</v>
      </c>
    </row>
    <row r="49" spans="1:12" ht="18" x14ac:dyDescent="0.35">
      <c r="B49" s="43">
        <v>68</v>
      </c>
      <c r="E49" s="42">
        <f t="shared" si="2"/>
        <v>8.5</v>
      </c>
      <c r="G49" s="44" t="s">
        <v>63</v>
      </c>
      <c r="H49" s="45">
        <f t="shared" si="3"/>
        <v>8.5</v>
      </c>
    </row>
    <row r="50" spans="1:12" ht="18" x14ac:dyDescent="0.35">
      <c r="B50" s="27">
        <v>-12</v>
      </c>
      <c r="E50" s="42">
        <f t="shared" si="2"/>
        <v>-1.5</v>
      </c>
      <c r="G50" s="44" t="s">
        <v>64</v>
      </c>
      <c r="H50" s="45">
        <f t="shared" si="3"/>
        <v>-1.5</v>
      </c>
    </row>
    <row r="51" spans="1:12" x14ac:dyDescent="0.25">
      <c r="A51" s="28" t="s">
        <v>71</v>
      </c>
    </row>
    <row r="52" spans="1:12" x14ac:dyDescent="0.25">
      <c r="A52" s="44" t="s">
        <v>70</v>
      </c>
      <c r="B52" s="28">
        <f>H47</f>
        <v>69</v>
      </c>
      <c r="C52" s="46" t="s">
        <v>66</v>
      </c>
      <c r="D52" s="28">
        <f>H48</f>
        <v>-11</v>
      </c>
      <c r="E52" s="28" t="s">
        <v>65</v>
      </c>
      <c r="F52" s="46" t="s">
        <v>67</v>
      </c>
      <c r="G52" s="28">
        <f>H49</f>
        <v>8.5</v>
      </c>
      <c r="H52" s="28" t="s">
        <v>68</v>
      </c>
      <c r="I52" s="46" t="s">
        <v>67</v>
      </c>
      <c r="J52" s="28">
        <f>H50</f>
        <v>-1.5</v>
      </c>
      <c r="K52" s="28" t="s">
        <v>69</v>
      </c>
    </row>
    <row r="53" spans="1:12" x14ac:dyDescent="0.25">
      <c r="B53">
        <f>AVERAGE(B56:B63)</f>
        <v>69</v>
      </c>
    </row>
    <row r="54" spans="1:12" x14ac:dyDescent="0.25">
      <c r="A54" s="49" t="s">
        <v>96</v>
      </c>
    </row>
    <row r="55" spans="1:12" ht="18" x14ac:dyDescent="0.35">
      <c r="B55" t="s">
        <v>81</v>
      </c>
      <c r="C55" t="s">
        <v>82</v>
      </c>
      <c r="D55" t="s">
        <v>84</v>
      </c>
      <c r="E55" s="54"/>
      <c r="F55" s="54"/>
    </row>
    <row r="56" spans="1:12" x14ac:dyDescent="0.25">
      <c r="A56" s="2" t="s">
        <v>40</v>
      </c>
      <c r="B56" s="226">
        <v>77</v>
      </c>
      <c r="C56" s="19">
        <f>B$52+D$52*(-1)+G$52*(-1)+J$52*(-1)*(-1)</f>
        <v>70</v>
      </c>
      <c r="D56" s="19">
        <f>B56-C56</f>
        <v>7</v>
      </c>
      <c r="E56" s="5"/>
      <c r="F56" s="54"/>
      <c r="G56" t="s">
        <v>83</v>
      </c>
      <c r="J56" t="s">
        <v>86</v>
      </c>
    </row>
    <row r="57" spans="1:12" x14ac:dyDescent="0.25">
      <c r="B57" s="227">
        <v>63</v>
      </c>
      <c r="C57" s="19">
        <f>B$52+D$52*(-1)+G$52*(-1)+J$52*(-1)*(-1)</f>
        <v>70</v>
      </c>
      <c r="D57" s="19">
        <f t="shared" ref="D57:D63" si="4">B57-C57</f>
        <v>-7</v>
      </c>
    </row>
    <row r="58" spans="1:12" x14ac:dyDescent="0.25">
      <c r="B58" s="227">
        <v>98</v>
      </c>
      <c r="C58" s="19">
        <f>B$52+D$52*(-1)+G$52*(1)+J$52*(-1)*(1)</f>
        <v>90</v>
      </c>
      <c r="D58" s="19">
        <f t="shared" si="4"/>
        <v>8</v>
      </c>
    </row>
    <row r="59" spans="1:12" x14ac:dyDescent="0.25">
      <c r="B59" s="227">
        <v>82</v>
      </c>
      <c r="C59" s="19">
        <f>B$52+D$52*(-1)+G$52*(1)+J$52*(-1)*(1)</f>
        <v>90</v>
      </c>
      <c r="D59" s="19">
        <f t="shared" si="4"/>
        <v>-8</v>
      </c>
    </row>
    <row r="60" spans="1:12" x14ac:dyDescent="0.25">
      <c r="B60" s="227">
        <v>50</v>
      </c>
      <c r="C60" s="19">
        <f>B$52+D$52*(1)+G$52*(-1)+J$52*(1)*(-1)</f>
        <v>51</v>
      </c>
      <c r="D60" s="19">
        <f t="shared" si="4"/>
        <v>-1</v>
      </c>
      <c r="G60" t="s">
        <v>85</v>
      </c>
    </row>
    <row r="61" spans="1:12" x14ac:dyDescent="0.25">
      <c r="B61" s="227">
        <v>52</v>
      </c>
      <c r="C61" s="19">
        <f>B$52+D$52*(1)+G$52*(-1)+J$52*(1)*(-1)</f>
        <v>51</v>
      </c>
      <c r="D61" s="19">
        <f t="shared" si="4"/>
        <v>1</v>
      </c>
    </row>
    <row r="62" spans="1:12" x14ac:dyDescent="0.25">
      <c r="B62" s="227">
        <v>69</v>
      </c>
      <c r="C62" s="19">
        <f>B$52+D$52*(1)+G$52*(1)+J$52*(1)*(1)</f>
        <v>65</v>
      </c>
      <c r="D62" s="19">
        <f t="shared" si="4"/>
        <v>4</v>
      </c>
    </row>
    <row r="63" spans="1:12" x14ac:dyDescent="0.25">
      <c r="B63" s="228">
        <v>61</v>
      </c>
      <c r="C63" s="19">
        <f>B$52+D$52*(1)+G$52*(1)+J$52*(1)*(1)</f>
        <v>65</v>
      </c>
      <c r="D63" s="19">
        <f t="shared" si="4"/>
        <v>-4</v>
      </c>
    </row>
    <row r="64" spans="1:12" x14ac:dyDescent="0.25">
      <c r="D64" s="52"/>
      <c r="G64" s="403" t="s">
        <v>468</v>
      </c>
      <c r="H64" s="403"/>
      <c r="I64" s="403"/>
      <c r="J64" s="403"/>
      <c r="K64" s="403"/>
      <c r="L64" s="403"/>
    </row>
    <row r="65" spans="1:10" ht="18.75" x14ac:dyDescent="0.35">
      <c r="A65" s="10"/>
      <c r="C65" s="3" t="s">
        <v>79</v>
      </c>
      <c r="D65" s="14">
        <f>SUMSQ(D56:D63)</f>
        <v>260</v>
      </c>
      <c r="G65" s="270" t="s">
        <v>467</v>
      </c>
      <c r="H65" s="269">
        <f>_xlfn.T.INV(1-0.05/2,4)</f>
        <v>2.776445105197793</v>
      </c>
    </row>
    <row r="66" spans="1:10" ht="18" x14ac:dyDescent="0.35">
      <c r="A66" s="10"/>
      <c r="C66" s="3" t="s">
        <v>80</v>
      </c>
      <c r="D66" s="14">
        <f>SQRT(D65)</f>
        <v>16.124515496597098</v>
      </c>
      <c r="G66" s="55" t="s">
        <v>424</v>
      </c>
      <c r="H66" s="25">
        <f>E48*2^2*SQRT(2*(2-1))/$D$66</f>
        <v>-3.8590552849509292</v>
      </c>
      <c r="J66" s="48"/>
    </row>
    <row r="67" spans="1:10" ht="18" x14ac:dyDescent="0.35">
      <c r="A67" s="10"/>
      <c r="G67" s="55" t="s">
        <v>425</v>
      </c>
      <c r="H67" s="25">
        <f>E49*2^2*SQRT(2*(2-1))/$D$66</f>
        <v>2.9819972656439</v>
      </c>
      <c r="J67" s="48"/>
    </row>
    <row r="68" spans="1:10" ht="18" x14ac:dyDescent="0.35">
      <c r="C68" s="2"/>
      <c r="G68" s="55" t="s">
        <v>426</v>
      </c>
      <c r="H68" s="25">
        <f>E50*2^2*SQRT(2*(2-1))/$D$66</f>
        <v>-0.52623481158421759</v>
      </c>
      <c r="J68" s="48"/>
    </row>
  </sheetData>
  <mergeCells count="1">
    <mergeCell ref="G64:L64"/>
  </mergeCells>
  <pageMargins left="0.7" right="0.7" top="0.75" bottom="0.75" header="0.3" footer="0.3"/>
  <pageSetup paperSize="9" orientation="portrait" horizontalDpi="300" verticalDpi="300" r:id="rId1"/>
  <drawing r:id="rId2"/>
  <legacyDrawing r:id="rId3"/>
  <oleObjects>
    <mc:AlternateContent xmlns:mc="http://schemas.openxmlformats.org/markup-compatibility/2006">
      <mc:Choice Requires="x14">
        <oleObject progId="Word.Document.12" shapeId="1053" r:id="rId4">
          <objectPr defaultSize="0" r:id="rId5">
            <anchor moveWithCells="1">
              <from>
                <xdr:col>12</xdr:col>
                <xdr:colOff>371475</xdr:colOff>
                <xdr:row>51</xdr:row>
                <xdr:rowOff>0</xdr:rowOff>
              </from>
              <to>
                <xdr:col>22</xdr:col>
                <xdr:colOff>28575</xdr:colOff>
                <xdr:row>62</xdr:row>
                <xdr:rowOff>152400</xdr:rowOff>
              </to>
            </anchor>
          </objectPr>
        </oleObject>
      </mc:Choice>
      <mc:Fallback>
        <oleObject progId="Word.Document.12" shapeId="1053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"/>
  <sheetViews>
    <sheetView workbookViewId="0">
      <selection activeCell="H34" sqref="H34"/>
    </sheetView>
  </sheetViews>
  <sheetFormatPr defaultRowHeight="15" x14ac:dyDescent="0.25"/>
  <sheetData>
    <row r="1" spans="1:6" x14ac:dyDescent="0.25">
      <c r="A1" t="s">
        <v>109</v>
      </c>
      <c r="B1" t="s">
        <v>300</v>
      </c>
    </row>
    <row r="2" spans="1:6" x14ac:dyDescent="0.25">
      <c r="B2" t="s">
        <v>133</v>
      </c>
    </row>
    <row r="3" spans="1:6" x14ac:dyDescent="0.25">
      <c r="B3" t="s">
        <v>301</v>
      </c>
    </row>
    <row r="4" spans="1:6" x14ac:dyDescent="0.25">
      <c r="B4" t="s">
        <v>302</v>
      </c>
    </row>
    <row r="5" spans="1:6" ht="17.25" x14ac:dyDescent="0.25">
      <c r="B5" t="s">
        <v>134</v>
      </c>
    </row>
    <row r="6" spans="1:6" ht="18" x14ac:dyDescent="0.35">
      <c r="B6" t="s">
        <v>135</v>
      </c>
    </row>
    <row r="7" spans="1:6" ht="18" x14ac:dyDescent="0.35">
      <c r="B7" t="s">
        <v>136</v>
      </c>
    </row>
    <row r="8" spans="1:6" ht="17.25" x14ac:dyDescent="0.25">
      <c r="B8" t="s">
        <v>137</v>
      </c>
    </row>
    <row r="9" spans="1:6" x14ac:dyDescent="0.25">
      <c r="B9" t="s">
        <v>3</v>
      </c>
    </row>
    <row r="10" spans="1:6" x14ac:dyDescent="0.25">
      <c r="B10" t="s">
        <v>4</v>
      </c>
      <c r="E10" s="61">
        <v>0.05</v>
      </c>
      <c r="F10" t="s">
        <v>5</v>
      </c>
    </row>
    <row r="11" spans="1:6" x14ac:dyDescent="0.25">
      <c r="A11" t="s">
        <v>118</v>
      </c>
      <c r="C11" s="2"/>
      <c r="D11" s="2"/>
      <c r="E11" s="2"/>
      <c r="F11" s="2"/>
    </row>
    <row r="12" spans="1:6" x14ac:dyDescent="0.25">
      <c r="B12" t="s">
        <v>303</v>
      </c>
      <c r="E12" t="s">
        <v>304</v>
      </c>
    </row>
    <row r="13" spans="1:6" x14ac:dyDescent="0.25">
      <c r="B13" t="s">
        <v>305</v>
      </c>
      <c r="E13" t="s">
        <v>306</v>
      </c>
    </row>
    <row r="14" spans="1:6" x14ac:dyDescent="0.25">
      <c r="B14" t="s">
        <v>307</v>
      </c>
      <c r="E14" t="s">
        <v>308</v>
      </c>
    </row>
    <row r="15" spans="1:6" x14ac:dyDescent="0.25">
      <c r="B15" t="s">
        <v>309</v>
      </c>
      <c r="E15" t="s">
        <v>310</v>
      </c>
    </row>
    <row r="16" spans="1:6" x14ac:dyDescent="0.25">
      <c r="B16" t="s">
        <v>311</v>
      </c>
      <c r="E16" t="s">
        <v>312</v>
      </c>
    </row>
    <row r="17" spans="2:5" x14ac:dyDescent="0.25">
      <c r="B17" t="s">
        <v>313</v>
      </c>
      <c r="E17" t="s">
        <v>314</v>
      </c>
    </row>
    <row r="18" spans="2:5" x14ac:dyDescent="0.25">
      <c r="B18" t="s">
        <v>315</v>
      </c>
      <c r="E18" t="s">
        <v>316</v>
      </c>
    </row>
    <row r="19" spans="2:5" x14ac:dyDescent="0.25">
      <c r="B19" t="s">
        <v>317</v>
      </c>
      <c r="E19" t="s">
        <v>318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9"/>
  <sheetViews>
    <sheetView zoomScaleNormal="100" workbookViewId="0">
      <selection activeCell="I33" sqref="I33"/>
    </sheetView>
  </sheetViews>
  <sheetFormatPr defaultRowHeight="15" x14ac:dyDescent="0.25"/>
  <cols>
    <col min="1" max="1" width="13.85546875" customWidth="1"/>
    <col min="2" max="2" width="11.28515625" customWidth="1"/>
    <col min="3" max="3" width="11.85546875" customWidth="1"/>
  </cols>
  <sheetData>
    <row r="1" spans="1:11" x14ac:dyDescent="0.25">
      <c r="A1" t="s">
        <v>268</v>
      </c>
    </row>
    <row r="2" spans="1:11" x14ac:dyDescent="0.25">
      <c r="A2" t="s">
        <v>273</v>
      </c>
    </row>
    <row r="4" spans="1:11" x14ac:dyDescent="0.25">
      <c r="A4" s="114" t="s">
        <v>281</v>
      </c>
      <c r="B4" s="109" t="s">
        <v>280</v>
      </c>
    </row>
    <row r="5" spans="1:11" x14ac:dyDescent="0.25">
      <c r="B5" s="109" t="s">
        <v>299</v>
      </c>
      <c r="C5" s="109"/>
      <c r="D5" s="109"/>
      <c r="E5" s="109"/>
      <c r="F5" s="109"/>
      <c r="G5" s="109"/>
      <c r="H5" s="109"/>
      <c r="I5" s="109"/>
      <c r="J5" s="109"/>
      <c r="K5" s="109"/>
    </row>
    <row r="6" spans="1:11" x14ac:dyDescent="0.25">
      <c r="A6" s="110"/>
      <c r="B6" s="109" t="s">
        <v>278</v>
      </c>
      <c r="C6" s="109"/>
      <c r="D6" s="109"/>
      <c r="E6" s="109"/>
      <c r="F6" s="109"/>
      <c r="G6" s="109"/>
      <c r="H6" s="109"/>
      <c r="I6" s="109"/>
      <c r="J6" s="109"/>
      <c r="K6" s="109"/>
    </row>
    <row r="7" spans="1:11" x14ac:dyDescent="0.25">
      <c r="A7" s="110"/>
      <c r="B7" s="109" t="s">
        <v>279</v>
      </c>
      <c r="C7" s="109"/>
      <c r="D7" s="109"/>
      <c r="E7" s="109"/>
      <c r="F7" s="109"/>
      <c r="G7" s="109"/>
      <c r="H7" s="109"/>
      <c r="I7" s="109"/>
      <c r="J7" s="109"/>
      <c r="K7" s="109"/>
    </row>
    <row r="8" spans="1:11" x14ac:dyDescent="0.25">
      <c r="A8" s="110"/>
      <c r="B8" s="109"/>
      <c r="C8" s="109"/>
      <c r="D8" s="109"/>
      <c r="E8" s="109"/>
      <c r="F8" s="109"/>
      <c r="G8" s="109"/>
      <c r="H8" s="109"/>
      <c r="I8" s="109"/>
      <c r="J8" s="109"/>
      <c r="K8" s="109"/>
    </row>
    <row r="9" spans="1:11" ht="17.25" x14ac:dyDescent="0.25">
      <c r="A9" s="55" t="s">
        <v>282</v>
      </c>
      <c r="B9" s="92" t="s">
        <v>423</v>
      </c>
      <c r="C9" s="109"/>
      <c r="D9" s="109"/>
      <c r="E9" s="109"/>
      <c r="F9" s="109"/>
      <c r="G9" s="109"/>
      <c r="H9" s="109"/>
      <c r="I9" s="109"/>
      <c r="J9" s="109"/>
      <c r="K9" s="109"/>
    </row>
    <row r="10" spans="1:11" ht="17.25" x14ac:dyDescent="0.25">
      <c r="A10" s="55"/>
      <c r="B10" s="92" t="s">
        <v>298</v>
      </c>
    </row>
    <row r="11" spans="1:11" x14ac:dyDescent="0.25">
      <c r="A11" s="10"/>
      <c r="B11" s="13" t="s">
        <v>250</v>
      </c>
      <c r="C11" s="13" t="s">
        <v>251</v>
      </c>
      <c r="D11" s="13" t="s">
        <v>253</v>
      </c>
      <c r="E11" s="13" t="s">
        <v>267</v>
      </c>
      <c r="F11" s="5" t="s">
        <v>290</v>
      </c>
    </row>
    <row r="12" spans="1:11" x14ac:dyDescent="0.25">
      <c r="A12" s="89"/>
      <c r="B12" s="244" t="s">
        <v>13</v>
      </c>
      <c r="C12" s="244" t="s">
        <v>14</v>
      </c>
      <c r="D12" s="244" t="s">
        <v>202</v>
      </c>
      <c r="E12" s="244"/>
      <c r="F12" s="2"/>
      <c r="G12" s="2"/>
    </row>
    <row r="13" spans="1:11" x14ac:dyDescent="0.25">
      <c r="A13" s="3" t="s">
        <v>6</v>
      </c>
      <c r="B13" s="13">
        <v>-1</v>
      </c>
      <c r="C13" s="13">
        <v>-1</v>
      </c>
      <c r="D13" s="13">
        <f>B13*C13</f>
        <v>1</v>
      </c>
      <c r="E13" s="13">
        <v>77</v>
      </c>
      <c r="F13" s="122">
        <f>AVERAGE(E13:E14)</f>
        <v>74.5</v>
      </c>
    </row>
    <row r="14" spans="1:11" x14ac:dyDescent="0.25">
      <c r="A14" s="3"/>
      <c r="B14" s="13">
        <v>-1</v>
      </c>
      <c r="C14" s="13">
        <v>-1</v>
      </c>
      <c r="D14" s="13">
        <f>B14*C14</f>
        <v>1</v>
      </c>
      <c r="E14" s="13">
        <v>72</v>
      </c>
      <c r="F14" s="5"/>
    </row>
    <row r="15" spans="1:11" x14ac:dyDescent="0.25">
      <c r="A15" s="3" t="s">
        <v>7</v>
      </c>
      <c r="B15" s="13">
        <v>-1</v>
      </c>
      <c r="C15" s="13">
        <v>1</v>
      </c>
      <c r="D15" s="13">
        <f t="shared" ref="D15:D20" si="0">B15*C15</f>
        <v>-1</v>
      </c>
      <c r="E15" s="13">
        <v>85</v>
      </c>
      <c r="F15" s="122">
        <f>AVERAGE(E15:E16)</f>
        <v>84.5</v>
      </c>
    </row>
    <row r="16" spans="1:11" x14ac:dyDescent="0.25">
      <c r="A16" s="3"/>
      <c r="B16" s="13">
        <v>-1</v>
      </c>
      <c r="C16" s="13">
        <v>1</v>
      </c>
      <c r="D16" s="13">
        <f t="shared" si="0"/>
        <v>-1</v>
      </c>
      <c r="E16" s="5">
        <v>84</v>
      </c>
      <c r="F16" s="115"/>
    </row>
    <row r="17" spans="1:17" x14ac:dyDescent="0.25">
      <c r="A17" s="3" t="s">
        <v>8</v>
      </c>
      <c r="B17" s="13">
        <v>1</v>
      </c>
      <c r="C17" s="13">
        <v>-1</v>
      </c>
      <c r="D17" s="13">
        <f t="shared" si="0"/>
        <v>-1</v>
      </c>
      <c r="E17" s="13">
        <v>92</v>
      </c>
      <c r="F17" s="122">
        <f>AVERAGE(E17:E18)</f>
        <v>91.5</v>
      </c>
    </row>
    <row r="18" spans="1:17" x14ac:dyDescent="0.25">
      <c r="A18" s="3"/>
      <c r="B18" s="13">
        <v>1</v>
      </c>
      <c r="C18" s="13">
        <v>-1</v>
      </c>
      <c r="D18" s="13">
        <f t="shared" si="0"/>
        <v>-1</v>
      </c>
      <c r="E18" s="5">
        <v>91</v>
      </c>
      <c r="F18" s="115"/>
    </row>
    <row r="19" spans="1:17" x14ac:dyDescent="0.25">
      <c r="A19" s="3" t="s">
        <v>9</v>
      </c>
      <c r="B19" s="13">
        <v>1</v>
      </c>
      <c r="C19" s="13">
        <v>1</v>
      </c>
      <c r="D19" s="13">
        <f t="shared" si="0"/>
        <v>1</v>
      </c>
      <c r="E19" s="13">
        <v>68</v>
      </c>
      <c r="F19" s="122">
        <f>AVERAGE(E19:E20)</f>
        <v>71.5</v>
      </c>
    </row>
    <row r="20" spans="1:17" x14ac:dyDescent="0.25">
      <c r="B20" s="13">
        <v>1</v>
      </c>
      <c r="C20" s="13">
        <v>1</v>
      </c>
      <c r="D20" s="13">
        <f t="shared" si="0"/>
        <v>1</v>
      </c>
      <c r="E20" s="5">
        <v>75</v>
      </c>
      <c r="G20" t="s">
        <v>286</v>
      </c>
      <c r="H20" s="111">
        <f>AVERAGE(E13:E20)</f>
        <v>80.5</v>
      </c>
    </row>
    <row r="21" spans="1:17" x14ac:dyDescent="0.25">
      <c r="B21" s="13"/>
      <c r="C21" s="13"/>
      <c r="D21" s="13"/>
      <c r="E21" s="5"/>
    </row>
    <row r="22" spans="1:17" x14ac:dyDescent="0.25">
      <c r="A22" t="s">
        <v>293</v>
      </c>
    </row>
    <row r="23" spans="1:17" x14ac:dyDescent="0.25">
      <c r="B23" s="404" t="s">
        <v>270</v>
      </c>
      <c r="C23" s="404"/>
      <c r="D23" s="404" t="s">
        <v>271</v>
      </c>
      <c r="E23" s="404"/>
      <c r="F23" s="404" t="s">
        <v>272</v>
      </c>
      <c r="G23" s="404"/>
    </row>
    <row r="24" spans="1:17" x14ac:dyDescent="0.25">
      <c r="B24" s="257">
        <v>-1</v>
      </c>
      <c r="C24" s="256">
        <v>1</v>
      </c>
      <c r="D24" s="257">
        <v>-1</v>
      </c>
      <c r="E24" s="256">
        <v>1</v>
      </c>
      <c r="F24" s="257">
        <v>-1</v>
      </c>
      <c r="G24" s="256">
        <v>1</v>
      </c>
    </row>
    <row r="25" spans="1:17" x14ac:dyDescent="0.25">
      <c r="B25" s="18">
        <f>AVERAGE(E13:E16)</f>
        <v>79.5</v>
      </c>
      <c r="C25" s="19">
        <f>AVERAGE(E17:E20)</f>
        <v>81.5</v>
      </c>
      <c r="D25" s="18">
        <f>AVERAGE(E13:E14,E17:E18)</f>
        <v>83</v>
      </c>
      <c r="E25" s="19">
        <f>AVERAGE(E15:E16,E19:E20)</f>
        <v>78</v>
      </c>
      <c r="F25" s="18">
        <f>AVERAGE(E15:E18)</f>
        <v>88</v>
      </c>
      <c r="G25" s="19">
        <f>AVERAGE(E13:E14,E19:E20)</f>
        <v>73</v>
      </c>
    </row>
    <row r="26" spans="1:17" x14ac:dyDescent="0.25">
      <c r="B26" s="405">
        <f>C25-B25</f>
        <v>2</v>
      </c>
      <c r="C26" s="406"/>
      <c r="D26" s="405">
        <f>E25-D25</f>
        <v>-5</v>
      </c>
      <c r="E26" s="406"/>
      <c r="F26" s="405">
        <f>G25-F25</f>
        <v>-15</v>
      </c>
      <c r="G26" s="406"/>
    </row>
    <row r="28" spans="1:17" x14ac:dyDescent="0.25">
      <c r="A28" t="s">
        <v>294</v>
      </c>
    </row>
    <row r="29" spans="1:17" x14ac:dyDescent="0.25">
      <c r="A29" s="3" t="s">
        <v>269</v>
      </c>
      <c r="B29" s="111">
        <f>SUMPRODUCT(B13:B20,E13:E20)/4</f>
        <v>2</v>
      </c>
      <c r="C29" s="2"/>
    </row>
    <row r="30" spans="1:17" ht="17.25" x14ac:dyDescent="0.25">
      <c r="A30" s="3" t="s">
        <v>274</v>
      </c>
      <c r="B30" s="111">
        <f>SUMPRODUCT(C13:C20,E13:E20)/4</f>
        <v>-5</v>
      </c>
      <c r="D30" s="3" t="s">
        <v>276</v>
      </c>
      <c r="E30" s="17">
        <f t="array" ref="E30:L30">TRANSPOSE(B13:B20)</f>
        <v>-1</v>
      </c>
      <c r="F30" s="112">
        <v>-1</v>
      </c>
      <c r="G30" s="112">
        <v>-1</v>
      </c>
      <c r="H30" s="112">
        <v>-1</v>
      </c>
      <c r="I30" s="112">
        <v>1</v>
      </c>
      <c r="J30" s="112">
        <v>1</v>
      </c>
      <c r="K30" s="112">
        <v>1</v>
      </c>
      <c r="L30" s="259">
        <v>1</v>
      </c>
      <c r="M30" s="3" t="s">
        <v>277</v>
      </c>
      <c r="N30" s="50">
        <f>E13</f>
        <v>77</v>
      </c>
      <c r="P30" s="3" t="s">
        <v>283</v>
      </c>
      <c r="Q30" s="111">
        <f t="array" ref="Q30">MMULT(E30:L30,N30:N37)/4</f>
        <v>2</v>
      </c>
    </row>
    <row r="31" spans="1:17" x14ac:dyDescent="0.25">
      <c r="A31" s="3" t="s">
        <v>275</v>
      </c>
      <c r="B31" s="111">
        <f>SUMPRODUCT(D13:D20,E13:E20)/4</f>
        <v>-15</v>
      </c>
      <c r="N31" s="51">
        <f t="shared" ref="N31:N37" si="1">E14</f>
        <v>72</v>
      </c>
    </row>
    <row r="32" spans="1:17" x14ac:dyDescent="0.25">
      <c r="N32" s="51">
        <f t="shared" si="1"/>
        <v>85</v>
      </c>
    </row>
    <row r="33" spans="1:14" x14ac:dyDescent="0.25">
      <c r="N33" s="51">
        <f t="shared" si="1"/>
        <v>84</v>
      </c>
    </row>
    <row r="34" spans="1:14" x14ac:dyDescent="0.25">
      <c r="N34" s="51">
        <f t="shared" si="1"/>
        <v>92</v>
      </c>
    </row>
    <row r="35" spans="1:14" x14ac:dyDescent="0.25">
      <c r="N35" s="51">
        <f t="shared" si="1"/>
        <v>91</v>
      </c>
    </row>
    <row r="36" spans="1:14" x14ac:dyDescent="0.25">
      <c r="N36" s="51">
        <f t="shared" si="1"/>
        <v>68</v>
      </c>
    </row>
    <row r="37" spans="1:14" x14ac:dyDescent="0.25">
      <c r="N37" s="26">
        <f t="shared" si="1"/>
        <v>75</v>
      </c>
    </row>
    <row r="39" spans="1:14" x14ac:dyDescent="0.25">
      <c r="A39" t="s">
        <v>295</v>
      </c>
    </row>
    <row r="40" spans="1:14" x14ac:dyDescent="0.25">
      <c r="A40" s="3" t="s">
        <v>269</v>
      </c>
      <c r="B40" s="113">
        <f>E17-E13</f>
        <v>15</v>
      </c>
      <c r="D40" s="3" t="s">
        <v>274</v>
      </c>
      <c r="E40" s="113">
        <f>AVERAGE(E15-E13)</f>
        <v>8</v>
      </c>
    </row>
    <row r="41" spans="1:14" x14ac:dyDescent="0.25">
      <c r="B41" s="113">
        <f t="shared" ref="B41:B43" si="2">E18-E14</f>
        <v>19</v>
      </c>
      <c r="E41" s="113">
        <f>AVERAGE(E16-E14)</f>
        <v>12</v>
      </c>
    </row>
    <row r="42" spans="1:14" x14ac:dyDescent="0.25">
      <c r="B42" s="113">
        <f t="shared" si="2"/>
        <v>-17</v>
      </c>
      <c r="E42" s="113">
        <f>AVERAGE(E19-E17)</f>
        <v>-24</v>
      </c>
    </row>
    <row r="43" spans="1:14" x14ac:dyDescent="0.25">
      <c r="B43" s="113">
        <f t="shared" si="2"/>
        <v>-9</v>
      </c>
      <c r="E43" s="113">
        <f>AVERAGE(E20-E18)</f>
        <v>-16</v>
      </c>
    </row>
    <row r="44" spans="1:14" x14ac:dyDescent="0.25">
      <c r="B44" s="32">
        <f>AVERAGE(B40:B43)</f>
        <v>2</v>
      </c>
      <c r="E44" s="32">
        <f>AVERAGE(E40:E43)</f>
        <v>-5</v>
      </c>
    </row>
    <row r="47" spans="1:14" x14ac:dyDescent="0.25">
      <c r="A47" t="s">
        <v>296</v>
      </c>
    </row>
    <row r="48" spans="1:14" x14ac:dyDescent="0.25">
      <c r="A48" t="s">
        <v>291</v>
      </c>
    </row>
    <row r="49" spans="1:14" x14ac:dyDescent="0.25">
      <c r="A49" s="81" t="s">
        <v>288</v>
      </c>
      <c r="B49" s="80" t="s">
        <v>250</v>
      </c>
      <c r="C49" s="80" t="s">
        <v>251</v>
      </c>
      <c r="D49" s="80" t="s">
        <v>290</v>
      </c>
      <c r="E49" s="86"/>
      <c r="F49" s="82"/>
      <c r="H49" s="81" t="s">
        <v>289</v>
      </c>
      <c r="I49" s="80" t="s">
        <v>250</v>
      </c>
      <c r="J49" s="80" t="s">
        <v>251</v>
      </c>
      <c r="K49" s="80" t="s">
        <v>252</v>
      </c>
      <c r="L49" s="80" t="s">
        <v>267</v>
      </c>
      <c r="M49" s="86"/>
      <c r="N49" s="82"/>
    </row>
    <row r="50" spans="1:14" x14ac:dyDescent="0.25">
      <c r="A50" s="87"/>
      <c r="B50" s="13">
        <v>-1</v>
      </c>
      <c r="C50" s="13">
        <v>-1</v>
      </c>
      <c r="D50" s="23"/>
      <c r="E50" s="10"/>
      <c r="F50" s="88"/>
      <c r="H50" s="87"/>
      <c r="I50" s="13">
        <v>-1</v>
      </c>
      <c r="J50" s="13">
        <v>-1</v>
      </c>
      <c r="K50" s="13">
        <v>-1</v>
      </c>
      <c r="L50" s="13">
        <v>79</v>
      </c>
      <c r="M50" s="10"/>
      <c r="N50" s="88"/>
    </row>
    <row r="51" spans="1:14" x14ac:dyDescent="0.25">
      <c r="A51" s="87"/>
      <c r="B51" s="13">
        <v>1</v>
      </c>
      <c r="C51" s="13">
        <v>-1</v>
      </c>
      <c r="D51" s="23"/>
      <c r="E51" s="10"/>
      <c r="F51" s="88"/>
      <c r="H51" s="87"/>
      <c r="I51" s="13">
        <v>1</v>
      </c>
      <c r="J51" s="13">
        <v>-1</v>
      </c>
      <c r="K51" s="13">
        <v>-1</v>
      </c>
      <c r="L51" s="13">
        <v>97</v>
      </c>
      <c r="M51" s="10"/>
      <c r="N51" s="88"/>
    </row>
    <row r="52" spans="1:14" x14ac:dyDescent="0.25">
      <c r="A52" s="87"/>
      <c r="B52" s="13">
        <v>-1</v>
      </c>
      <c r="C52" s="13">
        <v>1</v>
      </c>
      <c r="D52" s="23"/>
      <c r="E52" s="10"/>
      <c r="F52" s="88"/>
      <c r="H52" s="87"/>
      <c r="I52" s="13">
        <v>-1</v>
      </c>
      <c r="J52" s="13">
        <v>1</v>
      </c>
      <c r="K52" s="13">
        <v>-1</v>
      </c>
      <c r="L52" s="13">
        <v>75</v>
      </c>
      <c r="M52" s="10"/>
      <c r="N52" s="88"/>
    </row>
    <row r="53" spans="1:14" x14ac:dyDescent="0.25">
      <c r="A53" s="87"/>
      <c r="B53" s="13">
        <v>1</v>
      </c>
      <c r="C53" s="13">
        <v>1</v>
      </c>
      <c r="D53" s="23"/>
      <c r="E53" s="10"/>
      <c r="F53" s="88"/>
      <c r="H53" s="87"/>
      <c r="I53" s="13">
        <v>1</v>
      </c>
      <c r="J53" s="13">
        <v>1</v>
      </c>
      <c r="K53" s="13">
        <v>-1</v>
      </c>
      <c r="L53" s="13">
        <v>92</v>
      </c>
      <c r="M53" s="10"/>
      <c r="N53" s="88"/>
    </row>
    <row r="54" spans="1:14" x14ac:dyDescent="0.25">
      <c r="A54" s="87"/>
      <c r="B54" s="10"/>
      <c r="C54" s="10"/>
      <c r="D54" s="10"/>
      <c r="E54" s="10"/>
      <c r="F54" s="88"/>
      <c r="H54" s="87"/>
      <c r="I54" s="13">
        <v>-1</v>
      </c>
      <c r="J54" s="13">
        <v>-1</v>
      </c>
      <c r="K54" s="13">
        <v>-1</v>
      </c>
      <c r="L54" s="13">
        <v>64</v>
      </c>
      <c r="M54" s="10"/>
      <c r="N54" s="88"/>
    </row>
    <row r="55" spans="1:14" x14ac:dyDescent="0.25">
      <c r="A55" s="87"/>
      <c r="B55" s="10"/>
      <c r="C55" s="10"/>
      <c r="D55" s="10"/>
      <c r="E55" s="10"/>
      <c r="F55" s="88"/>
      <c r="H55" s="87"/>
      <c r="I55" s="13">
        <v>1</v>
      </c>
      <c r="J55" s="13">
        <v>-1</v>
      </c>
      <c r="K55" s="13">
        <v>-1</v>
      </c>
      <c r="L55" s="13">
        <v>84</v>
      </c>
      <c r="M55" s="10"/>
      <c r="N55" s="88"/>
    </row>
    <row r="56" spans="1:14" x14ac:dyDescent="0.25">
      <c r="A56" s="87"/>
      <c r="B56" s="10"/>
      <c r="C56" s="10"/>
      <c r="D56" s="10"/>
      <c r="E56" s="10"/>
      <c r="F56" s="88"/>
      <c r="H56" s="87"/>
      <c r="I56" s="13">
        <v>-1</v>
      </c>
      <c r="J56" s="13">
        <v>1</v>
      </c>
      <c r="K56" s="13">
        <v>-1</v>
      </c>
      <c r="L56" s="13">
        <v>73</v>
      </c>
      <c r="M56" s="10"/>
      <c r="N56" s="88"/>
    </row>
    <row r="57" spans="1:14" x14ac:dyDescent="0.25">
      <c r="A57" s="87"/>
      <c r="B57" s="10"/>
      <c r="C57" s="10"/>
      <c r="D57" s="10"/>
      <c r="E57" s="10"/>
      <c r="F57" s="88"/>
      <c r="H57" s="87"/>
      <c r="I57" s="13">
        <v>1</v>
      </c>
      <c r="J57" s="13">
        <v>1</v>
      </c>
      <c r="K57" s="13">
        <v>-1</v>
      </c>
      <c r="L57" s="13">
        <v>90</v>
      </c>
      <c r="M57" s="10"/>
      <c r="N57" s="88"/>
    </row>
    <row r="58" spans="1:14" x14ac:dyDescent="0.25">
      <c r="A58" s="87"/>
      <c r="B58" s="10"/>
      <c r="C58" s="10"/>
      <c r="D58" s="10"/>
      <c r="E58" s="10"/>
      <c r="F58" s="88"/>
      <c r="H58" s="87"/>
      <c r="I58" s="10"/>
      <c r="J58" s="10"/>
      <c r="K58" s="10"/>
      <c r="L58" s="10"/>
      <c r="M58" s="10"/>
      <c r="N58" s="88"/>
    </row>
    <row r="59" spans="1:14" x14ac:dyDescent="0.25">
      <c r="A59" s="87" t="s">
        <v>288</v>
      </c>
      <c r="B59" s="10"/>
      <c r="C59" s="10"/>
      <c r="D59" s="10"/>
      <c r="E59" s="10"/>
      <c r="F59" s="88"/>
      <c r="H59" s="87" t="s">
        <v>289</v>
      </c>
      <c r="I59" s="10"/>
      <c r="J59" s="116" t="s">
        <v>284</v>
      </c>
      <c r="K59" s="116" t="s">
        <v>285</v>
      </c>
      <c r="L59" s="116" t="s">
        <v>292</v>
      </c>
      <c r="M59" s="13" t="s">
        <v>177</v>
      </c>
      <c r="N59" s="247" t="s">
        <v>176</v>
      </c>
    </row>
    <row r="60" spans="1:14" x14ac:dyDescent="0.25">
      <c r="A60" s="87"/>
      <c r="B60" s="10" t="s">
        <v>220</v>
      </c>
      <c r="C60" s="116" t="s">
        <v>284</v>
      </c>
      <c r="D60" s="116" t="s">
        <v>285</v>
      </c>
      <c r="E60" s="13" t="s">
        <v>177</v>
      </c>
      <c r="F60" s="247" t="s">
        <v>176</v>
      </c>
      <c r="H60" s="87"/>
      <c r="I60" s="13">
        <v>79</v>
      </c>
      <c r="J60" s="13">
        <f>I60+I61</f>
        <v>176</v>
      </c>
      <c r="K60" s="13">
        <f>J60+J61</f>
        <v>343</v>
      </c>
      <c r="L60" s="13">
        <f>K60+K61</f>
        <v>654</v>
      </c>
      <c r="M60" s="13">
        <f>L60/8</f>
        <v>81.75</v>
      </c>
      <c r="N60" s="247" t="s">
        <v>287</v>
      </c>
    </row>
    <row r="61" spans="1:14" x14ac:dyDescent="0.25">
      <c r="A61" s="117" t="s">
        <v>6</v>
      </c>
      <c r="B61" s="23"/>
      <c r="C61" s="23"/>
      <c r="D61" s="23"/>
      <c r="E61" s="23"/>
      <c r="F61" s="247" t="s">
        <v>287</v>
      </c>
      <c r="H61" s="87"/>
      <c r="I61" s="13">
        <v>97</v>
      </c>
      <c r="J61" s="13">
        <f>I62+I63</f>
        <v>167</v>
      </c>
      <c r="K61" s="13">
        <f>J62+J63</f>
        <v>311</v>
      </c>
      <c r="L61" s="13">
        <f>K62+K63</f>
        <v>72</v>
      </c>
      <c r="M61" s="13">
        <f>L61/4</f>
        <v>18</v>
      </c>
      <c r="N61" s="247" t="s">
        <v>250</v>
      </c>
    </row>
    <row r="62" spans="1:14" x14ac:dyDescent="0.25">
      <c r="A62" s="117" t="s">
        <v>8</v>
      </c>
      <c r="B62" s="23"/>
      <c r="C62" s="23"/>
      <c r="D62" s="23"/>
      <c r="E62" s="23"/>
      <c r="F62" s="247" t="s">
        <v>250</v>
      </c>
      <c r="H62" s="87"/>
      <c r="I62" s="13">
        <v>75</v>
      </c>
      <c r="J62" s="13">
        <f>I64+I65</f>
        <v>148</v>
      </c>
      <c r="K62" s="13">
        <f>J64+J65</f>
        <v>35</v>
      </c>
      <c r="L62" s="13">
        <f>K64+K65</f>
        <v>6</v>
      </c>
      <c r="M62" s="13">
        <f t="shared" ref="M62:M67" si="3">L62/4</f>
        <v>1.5</v>
      </c>
      <c r="N62" s="247" t="s">
        <v>251</v>
      </c>
    </row>
    <row r="63" spans="1:14" x14ac:dyDescent="0.25">
      <c r="A63" s="117" t="s">
        <v>7</v>
      </c>
      <c r="B63" s="23"/>
      <c r="C63" s="23"/>
      <c r="D63" s="23"/>
      <c r="E63" s="23"/>
      <c r="F63" s="247" t="s">
        <v>251</v>
      </c>
      <c r="H63" s="87"/>
      <c r="I63" s="13">
        <v>92</v>
      </c>
      <c r="J63" s="13">
        <f>I66+I67</f>
        <v>163</v>
      </c>
      <c r="K63" s="13">
        <f>J66+J67</f>
        <v>37</v>
      </c>
      <c r="L63" s="13">
        <f>K66+K67</f>
        <v>-4</v>
      </c>
      <c r="M63" s="13">
        <f t="shared" si="3"/>
        <v>-1</v>
      </c>
      <c r="N63" s="247" t="s">
        <v>253</v>
      </c>
    </row>
    <row r="64" spans="1:14" x14ac:dyDescent="0.25">
      <c r="A64" s="117" t="s">
        <v>9</v>
      </c>
      <c r="B64" s="23"/>
      <c r="C64" s="23"/>
      <c r="D64" s="23"/>
      <c r="E64" s="23"/>
      <c r="F64" s="247" t="s">
        <v>253</v>
      </c>
      <c r="H64" s="87"/>
      <c r="I64" s="13">
        <v>64</v>
      </c>
      <c r="J64" s="13">
        <f>I61-I60</f>
        <v>18</v>
      </c>
      <c r="K64" s="13">
        <f>J61-J60</f>
        <v>-9</v>
      </c>
      <c r="L64" s="13">
        <f>K61-K60</f>
        <v>-32</v>
      </c>
      <c r="M64" s="13">
        <f t="shared" si="3"/>
        <v>-8</v>
      </c>
      <c r="N64" s="118" t="s">
        <v>252</v>
      </c>
    </row>
    <row r="65" spans="1:14" x14ac:dyDescent="0.25">
      <c r="A65" s="83"/>
      <c r="B65" s="89"/>
      <c r="C65" s="89"/>
      <c r="D65" s="89"/>
      <c r="E65" s="89"/>
      <c r="F65" s="84"/>
      <c r="H65" s="87"/>
      <c r="I65" s="13">
        <v>84</v>
      </c>
      <c r="J65" s="13">
        <f>I63-I62</f>
        <v>17</v>
      </c>
      <c r="K65" s="13">
        <f>J63-J62</f>
        <v>15</v>
      </c>
      <c r="L65" s="13">
        <f>K63-K62</f>
        <v>2</v>
      </c>
      <c r="M65" s="13">
        <f t="shared" si="3"/>
        <v>0.5</v>
      </c>
      <c r="N65" s="118" t="s">
        <v>254</v>
      </c>
    </row>
    <row r="66" spans="1:14" x14ac:dyDescent="0.25">
      <c r="H66" s="87"/>
      <c r="I66" s="13">
        <v>73</v>
      </c>
      <c r="J66" s="13">
        <f>I65-I64</f>
        <v>20</v>
      </c>
      <c r="K66" s="13">
        <f>J65-J64</f>
        <v>-1</v>
      </c>
      <c r="L66" s="13">
        <f>K65-K64</f>
        <v>24</v>
      </c>
      <c r="M66" s="13">
        <f t="shared" si="3"/>
        <v>6</v>
      </c>
      <c r="N66" s="118" t="s">
        <v>255</v>
      </c>
    </row>
    <row r="67" spans="1:14" x14ac:dyDescent="0.25">
      <c r="H67" s="83"/>
      <c r="I67" s="244">
        <v>90</v>
      </c>
      <c r="J67" s="244">
        <f>I67-I66</f>
        <v>17</v>
      </c>
      <c r="K67" s="244">
        <f>J67-J66</f>
        <v>-3</v>
      </c>
      <c r="L67" s="244">
        <f>K67-K66</f>
        <v>-2</v>
      </c>
      <c r="M67" s="244">
        <f t="shared" si="3"/>
        <v>-0.5</v>
      </c>
      <c r="N67" s="119" t="s">
        <v>256</v>
      </c>
    </row>
    <row r="69" spans="1:14" x14ac:dyDescent="0.25">
      <c r="A69" t="s">
        <v>297</v>
      </c>
    </row>
  </sheetData>
  <mergeCells count="6">
    <mergeCell ref="B23:C23"/>
    <mergeCell ref="D23:E23"/>
    <mergeCell ref="F23:G23"/>
    <mergeCell ref="B26:C26"/>
    <mergeCell ref="D26:E26"/>
    <mergeCell ref="F26:G26"/>
  </mergeCells>
  <pageMargins left="0.7" right="0.7" top="0.75" bottom="0.75" header="0.3" footer="0.3"/>
  <pageSetup paperSize="9" scale="52" orientation="portrait" horizontalDpi="300" verticalDpi="300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44"/>
  <sheetViews>
    <sheetView workbookViewId="0">
      <selection activeCell="R23" sqref="R23"/>
    </sheetView>
  </sheetViews>
  <sheetFormatPr defaultRowHeight="15" x14ac:dyDescent="0.25"/>
  <cols>
    <col min="1" max="1" width="9.5703125" customWidth="1"/>
    <col min="3" max="3" width="10.5703125" customWidth="1"/>
    <col min="4" max="4" width="10" customWidth="1"/>
    <col min="5" max="5" width="10.140625" customWidth="1"/>
    <col min="8" max="8" width="9.85546875" customWidth="1"/>
  </cols>
  <sheetData>
    <row r="1" spans="1:16" x14ac:dyDescent="0.25">
      <c r="A1" t="s">
        <v>0</v>
      </c>
      <c r="B1" t="s">
        <v>238</v>
      </c>
    </row>
    <row r="2" spans="1:16" x14ac:dyDescent="0.25">
      <c r="B2" t="s">
        <v>239</v>
      </c>
    </row>
    <row r="3" spans="1:16" x14ac:dyDescent="0.25">
      <c r="B3" t="s">
        <v>240</v>
      </c>
    </row>
    <row r="4" spans="1:16" x14ac:dyDescent="0.25">
      <c r="B4" t="s">
        <v>241</v>
      </c>
      <c r="J4" s="109" t="s">
        <v>266</v>
      </c>
    </row>
    <row r="5" spans="1:16" x14ac:dyDescent="0.25">
      <c r="B5" t="s">
        <v>242</v>
      </c>
    </row>
    <row r="6" spans="1:16" ht="17.25" x14ac:dyDescent="0.25">
      <c r="B6" t="s">
        <v>243</v>
      </c>
    </row>
    <row r="7" spans="1:16" x14ac:dyDescent="0.25">
      <c r="B7" t="s">
        <v>244</v>
      </c>
    </row>
    <row r="9" spans="1:16" ht="15.75" x14ac:dyDescent="0.25">
      <c r="A9" s="101" t="s">
        <v>245</v>
      </c>
    </row>
    <row r="10" spans="1:16" ht="15" customHeight="1" x14ac:dyDescent="0.25">
      <c r="A10" s="417" t="s">
        <v>246</v>
      </c>
      <c r="B10" s="411" t="s">
        <v>247</v>
      </c>
      <c r="C10" s="420" t="s">
        <v>248</v>
      </c>
      <c r="D10" s="420"/>
      <c r="E10" s="420"/>
      <c r="F10" s="420"/>
      <c r="G10" s="420"/>
      <c r="H10" s="421"/>
      <c r="I10" s="422" t="s">
        <v>249</v>
      </c>
      <c r="J10" s="420"/>
      <c r="K10" s="420"/>
      <c r="L10" s="420"/>
      <c r="M10" s="420"/>
      <c r="N10" s="420"/>
      <c r="O10" s="420"/>
      <c r="P10" s="421"/>
    </row>
    <row r="11" spans="1:16" x14ac:dyDescent="0.25">
      <c r="A11" s="418"/>
      <c r="B11" s="412"/>
      <c r="C11" s="414" t="s">
        <v>250</v>
      </c>
      <c r="D11" s="407"/>
      <c r="E11" s="414" t="s">
        <v>251</v>
      </c>
      <c r="F11" s="407"/>
      <c r="G11" s="414" t="s">
        <v>252</v>
      </c>
      <c r="H11" s="407"/>
      <c r="I11" s="422" t="s">
        <v>253</v>
      </c>
      <c r="J11" s="421"/>
      <c r="K11" s="422" t="s">
        <v>254</v>
      </c>
      <c r="L11" s="421"/>
      <c r="M11" s="422" t="s">
        <v>255</v>
      </c>
      <c r="N11" s="421"/>
      <c r="O11" s="422" t="s">
        <v>256</v>
      </c>
      <c r="P11" s="421"/>
    </row>
    <row r="12" spans="1:16" x14ac:dyDescent="0.25">
      <c r="A12" s="418"/>
      <c r="B12" s="412"/>
      <c r="C12" s="416" t="s">
        <v>257</v>
      </c>
      <c r="D12" s="409"/>
      <c r="E12" s="416" t="s">
        <v>258</v>
      </c>
      <c r="F12" s="409"/>
      <c r="G12" s="416" t="s">
        <v>259</v>
      </c>
      <c r="H12" s="409"/>
      <c r="I12" s="411">
        <v>-1</v>
      </c>
      <c r="J12" s="411">
        <v>1</v>
      </c>
      <c r="K12" s="411">
        <v>-1</v>
      </c>
      <c r="L12" s="407">
        <v>1</v>
      </c>
      <c r="M12" s="414">
        <v>-1</v>
      </c>
      <c r="N12" s="411">
        <v>1</v>
      </c>
      <c r="O12" s="407">
        <v>-1</v>
      </c>
      <c r="P12" s="407">
        <v>1</v>
      </c>
    </row>
    <row r="13" spans="1:16" x14ac:dyDescent="0.25">
      <c r="A13" s="418"/>
      <c r="B13" s="412"/>
      <c r="C13" s="250" t="s">
        <v>260</v>
      </c>
      <c r="D13" s="247" t="s">
        <v>261</v>
      </c>
      <c r="E13" s="250" t="s">
        <v>262</v>
      </c>
      <c r="F13" s="247" t="s">
        <v>263</v>
      </c>
      <c r="G13" s="102">
        <v>0.95</v>
      </c>
      <c r="H13" s="103">
        <v>0.99</v>
      </c>
      <c r="I13" s="412"/>
      <c r="J13" s="412"/>
      <c r="K13" s="412"/>
      <c r="L13" s="408"/>
      <c r="M13" s="415"/>
      <c r="N13" s="412"/>
      <c r="O13" s="408"/>
      <c r="P13" s="408"/>
    </row>
    <row r="14" spans="1:16" x14ac:dyDescent="0.25">
      <c r="A14" s="419"/>
      <c r="B14" s="413"/>
      <c r="C14" s="252">
        <v>-1</v>
      </c>
      <c r="D14" s="248">
        <v>1</v>
      </c>
      <c r="E14" s="252">
        <v>-1</v>
      </c>
      <c r="F14" s="248">
        <v>1</v>
      </c>
      <c r="G14" s="252">
        <v>-1</v>
      </c>
      <c r="H14" s="248">
        <v>1</v>
      </c>
      <c r="I14" s="413"/>
      <c r="J14" s="413"/>
      <c r="K14" s="413"/>
      <c r="L14" s="409"/>
      <c r="M14" s="416"/>
      <c r="N14" s="413"/>
      <c r="O14" s="409"/>
      <c r="P14" s="409"/>
    </row>
    <row r="15" spans="1:16" s="2" customFormat="1" x14ac:dyDescent="0.25">
      <c r="A15" s="104">
        <v>1</v>
      </c>
      <c r="B15" s="79">
        <v>26.2</v>
      </c>
      <c r="C15" s="79">
        <v>26.2</v>
      </c>
      <c r="D15" s="105"/>
      <c r="E15" s="79">
        <f>B15</f>
        <v>26.2</v>
      </c>
      <c r="F15" s="105"/>
      <c r="G15" s="79">
        <f>B15</f>
        <v>26.2</v>
      </c>
      <c r="H15" s="105"/>
      <c r="I15" s="105"/>
      <c r="J15" s="79">
        <f>B15</f>
        <v>26.2</v>
      </c>
      <c r="K15" s="105"/>
      <c r="L15" s="79">
        <f>B15</f>
        <v>26.2</v>
      </c>
      <c r="M15" s="105"/>
      <c r="N15" s="79">
        <f>B15</f>
        <v>26.2</v>
      </c>
      <c r="O15" s="79">
        <f>B15</f>
        <v>26.2</v>
      </c>
      <c r="P15" s="106"/>
    </row>
    <row r="16" spans="1:16" s="2" customFormat="1" x14ac:dyDescent="0.25">
      <c r="A16" s="79">
        <v>2</v>
      </c>
      <c r="B16" s="79">
        <v>22.7</v>
      </c>
      <c r="C16" s="105"/>
      <c r="D16" s="79">
        <v>22.7</v>
      </c>
      <c r="E16" s="79">
        <f>B16</f>
        <v>22.7</v>
      </c>
      <c r="F16" s="105"/>
      <c r="G16" s="79">
        <f t="shared" ref="G16:G18" si="0">B16</f>
        <v>22.7</v>
      </c>
      <c r="H16" s="105"/>
      <c r="I16" s="79">
        <f>B16</f>
        <v>22.7</v>
      </c>
      <c r="J16" s="105"/>
      <c r="K16" s="79">
        <f>B16</f>
        <v>22.7</v>
      </c>
      <c r="L16" s="105"/>
      <c r="M16" s="105"/>
      <c r="N16" s="79">
        <f>B16</f>
        <v>22.7</v>
      </c>
      <c r="O16" s="105"/>
      <c r="P16" s="79">
        <f>B16</f>
        <v>22.7</v>
      </c>
    </row>
    <row r="17" spans="1:16" s="2" customFormat="1" x14ac:dyDescent="0.25">
      <c r="A17" s="104">
        <v>3</v>
      </c>
      <c r="B17" s="79">
        <v>47.1</v>
      </c>
      <c r="C17" s="79">
        <f>B17</f>
        <v>47.1</v>
      </c>
      <c r="D17" s="105"/>
      <c r="E17" s="105"/>
      <c r="F17" s="79">
        <f>B17</f>
        <v>47.1</v>
      </c>
      <c r="G17" s="79">
        <f t="shared" si="0"/>
        <v>47.1</v>
      </c>
      <c r="H17" s="105"/>
      <c r="I17" s="79">
        <f>B17</f>
        <v>47.1</v>
      </c>
      <c r="J17" s="105"/>
      <c r="K17" s="105"/>
      <c r="L17" s="79">
        <f>B17</f>
        <v>47.1</v>
      </c>
      <c r="M17" s="79">
        <f>B17</f>
        <v>47.1</v>
      </c>
      <c r="N17" s="105"/>
      <c r="O17" s="105"/>
      <c r="P17" s="79">
        <f>B17</f>
        <v>47.1</v>
      </c>
    </row>
    <row r="18" spans="1:16" s="2" customFormat="1" x14ac:dyDescent="0.25">
      <c r="A18" s="79">
        <v>4</v>
      </c>
      <c r="B18" s="79">
        <v>46.4</v>
      </c>
      <c r="C18" s="105"/>
      <c r="D18" s="79">
        <f>B18</f>
        <v>46.4</v>
      </c>
      <c r="E18" s="105"/>
      <c r="F18" s="79">
        <f>B18</f>
        <v>46.4</v>
      </c>
      <c r="G18" s="79">
        <f t="shared" si="0"/>
        <v>46.4</v>
      </c>
      <c r="H18" s="105"/>
      <c r="I18" s="105"/>
      <c r="J18" s="79">
        <f>B18</f>
        <v>46.4</v>
      </c>
      <c r="K18" s="79">
        <f>B18</f>
        <v>46.4</v>
      </c>
      <c r="L18" s="105"/>
      <c r="M18" s="79">
        <f t="shared" ref="M18:M20" si="1">B18</f>
        <v>46.4</v>
      </c>
      <c r="N18" s="105"/>
      <c r="O18" s="79">
        <f>B18</f>
        <v>46.4</v>
      </c>
      <c r="P18" s="105"/>
    </row>
    <row r="19" spans="1:16" s="2" customFormat="1" x14ac:dyDescent="0.25">
      <c r="A19" s="104">
        <v>5</v>
      </c>
      <c r="B19" s="79">
        <v>40.9</v>
      </c>
      <c r="C19" s="79">
        <f>B19</f>
        <v>40.9</v>
      </c>
      <c r="D19" s="105"/>
      <c r="E19" s="79">
        <f>B19</f>
        <v>40.9</v>
      </c>
      <c r="F19" s="105"/>
      <c r="G19" s="105"/>
      <c r="H19" s="79">
        <f>B19</f>
        <v>40.9</v>
      </c>
      <c r="I19" s="105"/>
      <c r="J19" s="79">
        <f>B19</f>
        <v>40.9</v>
      </c>
      <c r="K19" s="79">
        <f>B19</f>
        <v>40.9</v>
      </c>
      <c r="L19" s="105"/>
      <c r="M19" s="79">
        <f t="shared" si="1"/>
        <v>40.9</v>
      </c>
      <c r="N19" s="105"/>
      <c r="O19" s="105"/>
      <c r="P19" s="79">
        <f>B19</f>
        <v>40.9</v>
      </c>
    </row>
    <row r="20" spans="1:16" s="2" customFormat="1" x14ac:dyDescent="0.25">
      <c r="A20" s="79">
        <v>6</v>
      </c>
      <c r="B20" s="79">
        <v>34.1</v>
      </c>
      <c r="C20" s="105"/>
      <c r="D20" s="79">
        <f>B20</f>
        <v>34.1</v>
      </c>
      <c r="E20" s="79">
        <f>B20</f>
        <v>34.1</v>
      </c>
      <c r="F20" s="105"/>
      <c r="G20" s="105"/>
      <c r="H20" s="79">
        <f t="shared" ref="H20:H22" si="2">B20</f>
        <v>34.1</v>
      </c>
      <c r="I20" s="79">
        <f>B20</f>
        <v>34.1</v>
      </c>
      <c r="J20" s="105"/>
      <c r="K20" s="105"/>
      <c r="L20" s="79">
        <f>B20</f>
        <v>34.1</v>
      </c>
      <c r="M20" s="79">
        <f t="shared" si="1"/>
        <v>34.1</v>
      </c>
      <c r="N20" s="105"/>
      <c r="O20" s="79">
        <f>B20</f>
        <v>34.1</v>
      </c>
      <c r="P20" s="105"/>
    </row>
    <row r="21" spans="1:16" s="2" customFormat="1" x14ac:dyDescent="0.25">
      <c r="A21" s="104">
        <v>7</v>
      </c>
      <c r="B21" s="79">
        <v>42.9</v>
      </c>
      <c r="C21" s="79">
        <f>B21</f>
        <v>42.9</v>
      </c>
      <c r="D21" s="105"/>
      <c r="E21" s="105"/>
      <c r="F21" s="79">
        <f>B21</f>
        <v>42.9</v>
      </c>
      <c r="G21" s="105"/>
      <c r="H21" s="79">
        <f t="shared" si="2"/>
        <v>42.9</v>
      </c>
      <c r="I21" s="79">
        <f>B21</f>
        <v>42.9</v>
      </c>
      <c r="J21" s="105"/>
      <c r="K21" s="79">
        <f>B21</f>
        <v>42.9</v>
      </c>
      <c r="L21" s="105"/>
      <c r="M21" s="105"/>
      <c r="N21" s="79">
        <f>B21</f>
        <v>42.9</v>
      </c>
      <c r="O21" s="79">
        <f>B21</f>
        <v>42.9</v>
      </c>
      <c r="P21" s="105"/>
    </row>
    <row r="22" spans="1:16" s="2" customFormat="1" x14ac:dyDescent="0.25">
      <c r="A22" s="79">
        <v>8</v>
      </c>
      <c r="B22" s="79">
        <v>40</v>
      </c>
      <c r="C22" s="107"/>
      <c r="D22" s="79">
        <f>B22</f>
        <v>40</v>
      </c>
      <c r="E22" s="107"/>
      <c r="F22" s="79">
        <f>B22</f>
        <v>40</v>
      </c>
      <c r="G22" s="107"/>
      <c r="H22" s="79">
        <f t="shared" si="2"/>
        <v>40</v>
      </c>
      <c r="I22" s="107"/>
      <c r="J22" s="79">
        <f>B22</f>
        <v>40</v>
      </c>
      <c r="K22" s="107"/>
      <c r="L22" s="79">
        <f>B22</f>
        <v>40</v>
      </c>
      <c r="M22" s="107"/>
      <c r="N22" s="79">
        <f>B22</f>
        <v>40</v>
      </c>
      <c r="O22" s="107"/>
      <c r="P22" s="79">
        <f>B22</f>
        <v>40</v>
      </c>
    </row>
    <row r="23" spans="1:16" x14ac:dyDescent="0.25">
      <c r="A23" s="70" t="s">
        <v>196</v>
      </c>
      <c r="B23" s="25"/>
      <c r="C23" s="18"/>
      <c r="D23" s="50"/>
      <c r="E23" s="18"/>
      <c r="F23" s="50"/>
      <c r="G23" s="18"/>
      <c r="H23" s="50"/>
      <c r="I23" s="50"/>
      <c r="J23" s="19"/>
      <c r="K23" s="50"/>
      <c r="L23" s="19"/>
      <c r="M23" s="50"/>
      <c r="N23" s="32"/>
      <c r="O23" s="50"/>
      <c r="P23" s="19"/>
    </row>
    <row r="24" spans="1:16" x14ac:dyDescent="0.25">
      <c r="A24" s="70" t="s">
        <v>197</v>
      </c>
      <c r="B24" s="108"/>
      <c r="C24" s="249">
        <f>AVERAGE(C15:C22)</f>
        <v>39.274999999999999</v>
      </c>
      <c r="D24" s="249">
        <f>AVERAGE(D15:D22)</f>
        <v>35.799999999999997</v>
      </c>
      <c r="E24" s="249">
        <f t="shared" ref="E24:P24" si="3">AVERAGE(E15:E22)</f>
        <v>30.975000000000001</v>
      </c>
      <c r="F24" s="249">
        <f t="shared" si="3"/>
        <v>44.1</v>
      </c>
      <c r="G24" s="249">
        <f t="shared" si="3"/>
        <v>35.6</v>
      </c>
      <c r="H24" s="249">
        <f t="shared" si="3"/>
        <v>39.475000000000001</v>
      </c>
      <c r="I24" s="249">
        <f t="shared" si="3"/>
        <v>36.700000000000003</v>
      </c>
      <c r="J24" s="249">
        <f t="shared" si="3"/>
        <v>38.375</v>
      </c>
      <c r="K24" s="249">
        <f t="shared" si="3"/>
        <v>38.225000000000001</v>
      </c>
      <c r="L24" s="249">
        <f t="shared" si="3"/>
        <v>36.85</v>
      </c>
      <c r="M24" s="249">
        <f t="shared" si="3"/>
        <v>42.125</v>
      </c>
      <c r="N24" s="249">
        <f t="shared" si="3"/>
        <v>32.950000000000003</v>
      </c>
      <c r="O24" s="249">
        <f t="shared" si="3"/>
        <v>37.4</v>
      </c>
      <c r="P24" s="75">
        <f t="shared" si="3"/>
        <v>37.674999999999997</v>
      </c>
    </row>
    <row r="25" spans="1:16" x14ac:dyDescent="0.25">
      <c r="A25" s="70" t="s">
        <v>177</v>
      </c>
      <c r="B25" s="79" t="s">
        <v>264</v>
      </c>
      <c r="C25" s="410">
        <f>D24-C24</f>
        <v>-3.4750000000000014</v>
      </c>
      <c r="D25" s="406"/>
      <c r="E25" s="410">
        <f t="shared" ref="E25" si="4">F24-E24</f>
        <v>13.125</v>
      </c>
      <c r="F25" s="406"/>
      <c r="G25" s="410">
        <f t="shared" ref="G25" si="5">H24-G24</f>
        <v>3.875</v>
      </c>
      <c r="H25" s="406"/>
      <c r="I25" s="410">
        <f t="shared" ref="I25" si="6">J24-I24</f>
        <v>1.6749999999999972</v>
      </c>
      <c r="J25" s="406"/>
      <c r="K25" s="410">
        <f t="shared" ref="K25" si="7">L24-K24</f>
        <v>-1.375</v>
      </c>
      <c r="L25" s="406"/>
      <c r="M25" s="410">
        <f t="shared" ref="M25" si="8">N24-M24</f>
        <v>-9.1749999999999972</v>
      </c>
      <c r="N25" s="406"/>
      <c r="O25" s="410">
        <f t="shared" ref="O25" si="9">P24-O24</f>
        <v>0.27499999999999858</v>
      </c>
      <c r="P25" s="406"/>
    </row>
    <row r="44" spans="2:2" x14ac:dyDescent="0.25">
      <c r="B44" t="s">
        <v>265</v>
      </c>
    </row>
  </sheetData>
  <mergeCells count="29">
    <mergeCell ref="A10:A14"/>
    <mergeCell ref="B10:B14"/>
    <mergeCell ref="C10:H10"/>
    <mergeCell ref="I10:P10"/>
    <mergeCell ref="C11:D11"/>
    <mergeCell ref="E11:F11"/>
    <mergeCell ref="G11:H11"/>
    <mergeCell ref="I11:J11"/>
    <mergeCell ref="K11:L11"/>
    <mergeCell ref="M11:N11"/>
    <mergeCell ref="O11:P11"/>
    <mergeCell ref="C12:D12"/>
    <mergeCell ref="E12:F12"/>
    <mergeCell ref="G12:H12"/>
    <mergeCell ref="I12:I14"/>
    <mergeCell ref="J12:J14"/>
    <mergeCell ref="P12:P14"/>
    <mergeCell ref="C25:D25"/>
    <mergeCell ref="E25:F25"/>
    <mergeCell ref="G25:H25"/>
    <mergeCell ref="I25:J25"/>
    <mergeCell ref="K25:L25"/>
    <mergeCell ref="M25:N25"/>
    <mergeCell ref="O25:P25"/>
    <mergeCell ref="K12:K14"/>
    <mergeCell ref="L12:L14"/>
    <mergeCell ref="M12:M14"/>
    <mergeCell ref="N12:N14"/>
    <mergeCell ref="O12:O14"/>
  </mergeCells>
  <pageMargins left="0.7" right="0.7" top="0.75" bottom="0.75" header="0.3" footer="0.3"/>
  <drawing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149"/>
  <sheetViews>
    <sheetView topLeftCell="A106" zoomScaleNormal="100" workbookViewId="0">
      <selection activeCell="E68" sqref="E68"/>
    </sheetView>
  </sheetViews>
  <sheetFormatPr defaultRowHeight="15" x14ac:dyDescent="0.25"/>
  <cols>
    <col min="1" max="1" width="16.5703125" customWidth="1"/>
  </cols>
  <sheetData>
    <row r="1" spans="2:18" x14ac:dyDescent="0.25">
      <c r="B1" t="s">
        <v>143</v>
      </c>
    </row>
    <row r="2" spans="2:18" ht="18" x14ac:dyDescent="0.35">
      <c r="B2" t="s">
        <v>144</v>
      </c>
    </row>
    <row r="3" spans="2:18" ht="18" x14ac:dyDescent="0.35">
      <c r="B3" t="s">
        <v>145</v>
      </c>
    </row>
    <row r="4" spans="2:18" ht="18" x14ac:dyDescent="0.35">
      <c r="B4" t="s">
        <v>146</v>
      </c>
    </row>
    <row r="5" spans="2:18" ht="17.25" x14ac:dyDescent="0.25">
      <c r="B5" t="s">
        <v>147</v>
      </c>
    </row>
    <row r="6" spans="2:18" x14ac:dyDescent="0.25">
      <c r="B6" t="s">
        <v>3</v>
      </c>
    </row>
    <row r="7" spans="2:18" x14ac:dyDescent="0.25">
      <c r="B7" t="s">
        <v>4</v>
      </c>
      <c r="E7" s="61">
        <v>0.05</v>
      </c>
      <c r="F7" t="s">
        <v>5</v>
      </c>
    </row>
    <row r="8" spans="2:18" x14ac:dyDescent="0.25">
      <c r="C8" s="2"/>
      <c r="D8" s="2"/>
      <c r="E8" s="2"/>
      <c r="F8" s="2"/>
    </row>
    <row r="9" spans="2:18" x14ac:dyDescent="0.25">
      <c r="C9" s="2"/>
      <c r="D9" s="2"/>
      <c r="E9" s="2"/>
      <c r="F9" s="2"/>
    </row>
    <row r="10" spans="2:18" x14ac:dyDescent="0.25">
      <c r="B10" t="s">
        <v>148</v>
      </c>
      <c r="C10" s="2"/>
      <c r="D10" s="2"/>
      <c r="E10" s="2"/>
      <c r="F10" s="2"/>
    </row>
    <row r="11" spans="2:18" x14ac:dyDescent="0.25">
      <c r="C11" s="2"/>
      <c r="D11" s="2"/>
      <c r="E11" s="2"/>
      <c r="F11" s="2"/>
      <c r="J11" s="5"/>
      <c r="K11" s="5"/>
      <c r="L11" s="5"/>
      <c r="M11" s="5"/>
      <c r="N11" s="5"/>
      <c r="O11" s="5"/>
      <c r="P11" s="5"/>
      <c r="Q11" s="54"/>
      <c r="R11" s="54"/>
    </row>
    <row r="12" spans="2:18" x14ac:dyDescent="0.25">
      <c r="B12" s="63" t="s">
        <v>149</v>
      </c>
      <c r="C12" s="63" t="s">
        <v>150</v>
      </c>
      <c r="D12" s="63" t="s">
        <v>151</v>
      </c>
      <c r="E12" s="63" t="s">
        <v>152</v>
      </c>
      <c r="G12" t="s">
        <v>153</v>
      </c>
      <c r="J12" s="5"/>
      <c r="K12" s="5"/>
      <c r="L12" s="5"/>
      <c r="M12" s="54"/>
      <c r="N12" s="54"/>
      <c r="O12" s="54"/>
      <c r="P12" s="54"/>
      <c r="Q12" s="54"/>
      <c r="R12" s="64"/>
    </row>
    <row r="13" spans="2:18" x14ac:dyDescent="0.25">
      <c r="B13" s="65" t="s">
        <v>154</v>
      </c>
      <c r="C13" s="65" t="s">
        <v>155</v>
      </c>
      <c r="D13" s="65" t="s">
        <v>156</v>
      </c>
      <c r="E13" s="66">
        <v>9</v>
      </c>
      <c r="G13" t="s">
        <v>157</v>
      </c>
      <c r="J13" s="5"/>
      <c r="K13" s="5"/>
      <c r="L13" s="5"/>
      <c r="M13" s="54"/>
      <c r="N13" s="54"/>
      <c r="O13" s="54"/>
      <c r="P13" s="54"/>
      <c r="Q13" s="54"/>
      <c r="R13" s="64"/>
    </row>
    <row r="14" spans="2:18" x14ac:dyDescent="0.25">
      <c r="B14" s="65" t="s">
        <v>158</v>
      </c>
      <c r="C14" s="65" t="s">
        <v>155</v>
      </c>
      <c r="D14" s="65" t="s">
        <v>156</v>
      </c>
      <c r="E14" s="66">
        <v>21</v>
      </c>
      <c r="G14" t="s">
        <v>159</v>
      </c>
      <c r="J14" s="5"/>
      <c r="K14" s="5"/>
      <c r="L14" s="5"/>
      <c r="M14" s="54"/>
      <c r="N14" s="54"/>
      <c r="O14" s="54"/>
      <c r="P14" s="54"/>
      <c r="Q14" s="54"/>
      <c r="R14" s="64"/>
    </row>
    <row r="15" spans="2:18" x14ac:dyDescent="0.25">
      <c r="B15" s="65" t="s">
        <v>154</v>
      </c>
      <c r="C15" s="65" t="s">
        <v>160</v>
      </c>
      <c r="D15" s="65" t="s">
        <v>156</v>
      </c>
      <c r="E15" s="66">
        <v>16</v>
      </c>
      <c r="G15" t="s">
        <v>161</v>
      </c>
      <c r="J15" s="5"/>
      <c r="K15" s="5"/>
      <c r="L15" s="5"/>
      <c r="M15" s="54"/>
      <c r="N15" s="54"/>
      <c r="O15" s="54"/>
      <c r="P15" s="54"/>
      <c r="Q15" s="54"/>
      <c r="R15" s="64"/>
    </row>
    <row r="16" spans="2:18" x14ac:dyDescent="0.25">
      <c r="B16" s="65" t="s">
        <v>158</v>
      </c>
      <c r="C16" s="65" t="s">
        <v>160</v>
      </c>
      <c r="D16" s="65" t="s">
        <v>156</v>
      </c>
      <c r="E16" s="66">
        <v>12</v>
      </c>
      <c r="G16" t="s">
        <v>162</v>
      </c>
      <c r="J16" s="5"/>
      <c r="K16" s="5"/>
      <c r="L16" s="5"/>
      <c r="M16" s="54"/>
      <c r="N16" s="54"/>
      <c r="O16" s="54"/>
      <c r="P16" s="54"/>
      <c r="Q16" s="54"/>
      <c r="R16" s="64"/>
    </row>
    <row r="17" spans="1:18" x14ac:dyDescent="0.25">
      <c r="B17" s="65" t="s">
        <v>154</v>
      </c>
      <c r="C17" s="65" t="s">
        <v>155</v>
      </c>
      <c r="D17" s="65" t="s">
        <v>163</v>
      </c>
      <c r="E17" s="66">
        <v>21</v>
      </c>
      <c r="G17" t="s">
        <v>164</v>
      </c>
      <c r="J17" s="5"/>
      <c r="K17" s="5"/>
      <c r="L17" s="5"/>
      <c r="M17" s="54"/>
      <c r="N17" s="54"/>
      <c r="O17" s="54"/>
      <c r="P17" s="54"/>
      <c r="Q17" s="54"/>
      <c r="R17" s="64"/>
    </row>
    <row r="18" spans="1:18" x14ac:dyDescent="0.25">
      <c r="B18" s="65" t="s">
        <v>158</v>
      </c>
      <c r="C18" s="65" t="s">
        <v>155</v>
      </c>
      <c r="D18" s="65" t="s">
        <v>163</v>
      </c>
      <c r="E18" s="66">
        <v>17</v>
      </c>
      <c r="G18" t="s">
        <v>165</v>
      </c>
      <c r="J18" s="5"/>
      <c r="K18" s="5"/>
      <c r="L18" s="5"/>
      <c r="M18" s="54"/>
      <c r="N18" s="54"/>
      <c r="O18" s="54"/>
      <c r="P18" s="54"/>
      <c r="Q18" s="54"/>
      <c r="R18" s="64"/>
    </row>
    <row r="19" spans="1:18" x14ac:dyDescent="0.25">
      <c r="B19" s="65" t="s">
        <v>154</v>
      </c>
      <c r="C19" s="65" t="s">
        <v>160</v>
      </c>
      <c r="D19" s="65" t="s">
        <v>163</v>
      </c>
      <c r="E19" s="66">
        <v>22</v>
      </c>
      <c r="G19" t="s">
        <v>166</v>
      </c>
      <c r="J19" s="5"/>
      <c r="K19" s="5"/>
      <c r="L19" s="5"/>
      <c r="M19" s="54"/>
      <c r="N19" s="54"/>
      <c r="O19" s="54"/>
      <c r="P19" s="54"/>
      <c r="Q19" s="54"/>
      <c r="R19" s="64"/>
    </row>
    <row r="20" spans="1:18" x14ac:dyDescent="0.25">
      <c r="B20" s="65" t="s">
        <v>158</v>
      </c>
      <c r="C20" s="65" t="s">
        <v>160</v>
      </c>
      <c r="D20" s="65" t="s">
        <v>163</v>
      </c>
      <c r="E20" s="66">
        <v>18</v>
      </c>
      <c r="G20" t="s">
        <v>167</v>
      </c>
      <c r="J20" s="5"/>
      <c r="K20" s="5"/>
      <c r="L20" s="5"/>
      <c r="M20" s="54"/>
      <c r="N20" s="54"/>
      <c r="O20" s="54"/>
      <c r="P20" s="54"/>
      <c r="Q20" s="54"/>
      <c r="R20" s="64"/>
    </row>
    <row r="21" spans="1:18" x14ac:dyDescent="0.25">
      <c r="B21" s="65" t="s">
        <v>154</v>
      </c>
      <c r="C21" s="65" t="s">
        <v>155</v>
      </c>
      <c r="D21" s="65" t="s">
        <v>156</v>
      </c>
      <c r="E21" s="66">
        <v>7</v>
      </c>
      <c r="G21" t="s">
        <v>168</v>
      </c>
      <c r="J21" s="5"/>
      <c r="K21" s="5"/>
      <c r="L21" s="5"/>
      <c r="M21" s="54"/>
      <c r="N21" s="54"/>
      <c r="O21" s="54"/>
      <c r="P21" s="54"/>
      <c r="Q21" s="54"/>
      <c r="R21" s="64"/>
    </row>
    <row r="22" spans="1:18" x14ac:dyDescent="0.25">
      <c r="B22" s="65" t="s">
        <v>158</v>
      </c>
      <c r="C22" s="65" t="s">
        <v>155</v>
      </c>
      <c r="D22" s="65" t="s">
        <v>156</v>
      </c>
      <c r="E22" s="66">
        <v>10</v>
      </c>
      <c r="G22" t="s">
        <v>169</v>
      </c>
      <c r="J22" s="5"/>
      <c r="K22" s="5"/>
      <c r="L22" s="5"/>
      <c r="M22" s="54"/>
      <c r="N22" s="54"/>
      <c r="O22" s="54"/>
      <c r="P22" s="54"/>
      <c r="Q22" s="54"/>
      <c r="R22" s="64"/>
    </row>
    <row r="23" spans="1:18" x14ac:dyDescent="0.25">
      <c r="B23" s="65" t="s">
        <v>154</v>
      </c>
      <c r="C23" s="65" t="s">
        <v>160</v>
      </c>
      <c r="D23" s="65" t="s">
        <v>156</v>
      </c>
      <c r="E23" s="66">
        <v>13</v>
      </c>
      <c r="G23" t="s">
        <v>170</v>
      </c>
      <c r="J23" s="5"/>
      <c r="K23" s="5"/>
      <c r="L23" s="5"/>
      <c r="M23" s="54"/>
      <c r="N23" s="54"/>
      <c r="O23" s="54"/>
      <c r="P23" s="54"/>
      <c r="Q23" s="54"/>
      <c r="R23" s="64"/>
    </row>
    <row r="24" spans="1:18" x14ac:dyDescent="0.25">
      <c r="B24" s="65" t="s">
        <v>158</v>
      </c>
      <c r="C24" s="65" t="s">
        <v>160</v>
      </c>
      <c r="D24" s="65" t="s">
        <v>156</v>
      </c>
      <c r="E24" s="66">
        <v>5</v>
      </c>
      <c r="G24" t="s">
        <v>171</v>
      </c>
      <c r="J24" s="5"/>
      <c r="K24" s="5"/>
      <c r="L24" s="5"/>
      <c r="M24" s="54"/>
      <c r="N24" s="54"/>
      <c r="O24" s="54"/>
      <c r="P24" s="54"/>
      <c r="Q24" s="54"/>
      <c r="R24" s="64"/>
    </row>
    <row r="25" spans="1:18" x14ac:dyDescent="0.25">
      <c r="B25" s="65" t="s">
        <v>154</v>
      </c>
      <c r="C25" s="65" t="s">
        <v>155</v>
      </c>
      <c r="D25" s="65" t="s">
        <v>163</v>
      </c>
      <c r="E25" s="66">
        <v>15</v>
      </c>
      <c r="G25" t="s">
        <v>172</v>
      </c>
      <c r="J25" s="5"/>
      <c r="K25" s="5"/>
      <c r="L25" s="5"/>
      <c r="M25" s="54"/>
      <c r="N25" s="54"/>
      <c r="O25" s="54"/>
      <c r="P25" s="54"/>
      <c r="Q25" s="54"/>
      <c r="R25" s="64"/>
    </row>
    <row r="26" spans="1:18" x14ac:dyDescent="0.25">
      <c r="B26" s="65" t="s">
        <v>158</v>
      </c>
      <c r="C26" s="65" t="s">
        <v>155</v>
      </c>
      <c r="D26" s="65" t="s">
        <v>163</v>
      </c>
      <c r="E26" s="66">
        <v>21</v>
      </c>
      <c r="G26" t="s">
        <v>173</v>
      </c>
      <c r="J26" s="5"/>
      <c r="K26" s="5"/>
      <c r="L26" s="5"/>
      <c r="M26" s="54"/>
      <c r="N26" s="54"/>
      <c r="O26" s="54"/>
      <c r="P26" s="54"/>
      <c r="Q26" s="54"/>
      <c r="R26" s="64"/>
    </row>
    <row r="27" spans="1:18" x14ac:dyDescent="0.25">
      <c r="B27" s="65" t="s">
        <v>154</v>
      </c>
      <c r="C27" s="65" t="s">
        <v>160</v>
      </c>
      <c r="D27" s="65" t="s">
        <v>163</v>
      </c>
      <c r="E27" s="66">
        <v>26</v>
      </c>
      <c r="G27" t="s">
        <v>174</v>
      </c>
      <c r="J27" s="5"/>
      <c r="K27" s="5"/>
      <c r="L27" s="5"/>
      <c r="M27" s="54"/>
      <c r="N27" s="54"/>
      <c r="O27" s="54"/>
      <c r="P27" s="54"/>
      <c r="Q27" s="54"/>
      <c r="R27" s="64"/>
    </row>
    <row r="28" spans="1:18" x14ac:dyDescent="0.25">
      <c r="B28" s="65" t="s">
        <v>158</v>
      </c>
      <c r="C28" s="65" t="s">
        <v>160</v>
      </c>
      <c r="D28" s="65" t="s">
        <v>163</v>
      </c>
      <c r="E28" s="66">
        <v>18</v>
      </c>
      <c r="G28" t="s">
        <v>175</v>
      </c>
      <c r="J28" s="54"/>
      <c r="K28" s="54"/>
      <c r="L28" s="54"/>
      <c r="M28" s="54"/>
      <c r="N28" s="54"/>
      <c r="O28" s="54"/>
      <c r="P28" s="54"/>
      <c r="Q28" s="54"/>
      <c r="R28" s="54"/>
    </row>
    <row r="29" spans="1:18" x14ac:dyDescent="0.25">
      <c r="E29" s="274">
        <f>AVERAGE(E13:E28)</f>
        <v>15.6875</v>
      </c>
      <c r="J29" s="54"/>
      <c r="K29" s="54"/>
      <c r="L29" s="54"/>
      <c r="M29" s="54"/>
      <c r="N29" s="54"/>
      <c r="O29" s="54"/>
      <c r="P29" s="54"/>
      <c r="Q29" s="54"/>
      <c r="R29" s="54"/>
    </row>
    <row r="30" spans="1:18" x14ac:dyDescent="0.25">
      <c r="R30" s="52"/>
    </row>
    <row r="31" spans="1:18" x14ac:dyDescent="0.25">
      <c r="A31" s="10"/>
      <c r="B31" s="10" t="s">
        <v>13</v>
      </c>
      <c r="C31" s="10" t="s">
        <v>14</v>
      </c>
      <c r="D31" s="10" t="s">
        <v>481</v>
      </c>
      <c r="E31" s="54" t="s">
        <v>202</v>
      </c>
      <c r="F31" s="54" t="s">
        <v>482</v>
      </c>
      <c r="G31" s="54" t="s">
        <v>483</v>
      </c>
      <c r="H31" s="54" t="s">
        <v>484</v>
      </c>
    </row>
    <row r="32" spans="1:18" x14ac:dyDescent="0.25">
      <c r="A32" s="10"/>
      <c r="B32" s="349">
        <v>-1</v>
      </c>
      <c r="C32" s="350">
        <v>-1</v>
      </c>
      <c r="D32" s="351">
        <v>-1</v>
      </c>
      <c r="E32" s="352">
        <f>B32*C32</f>
        <v>1</v>
      </c>
      <c r="F32" s="352">
        <f>B32*D32</f>
        <v>1</v>
      </c>
      <c r="G32" s="352">
        <f>C32*D32</f>
        <v>1</v>
      </c>
      <c r="H32" s="352">
        <f>B32*C32*D32</f>
        <v>-1</v>
      </c>
    </row>
    <row r="33" spans="1:9" x14ac:dyDescent="0.25">
      <c r="A33" s="56"/>
      <c r="B33" s="353">
        <v>1</v>
      </c>
      <c r="C33" s="354">
        <v>-1</v>
      </c>
      <c r="D33" s="355">
        <v>-1</v>
      </c>
      <c r="E33" s="352">
        <f t="shared" ref="E33:E47" si="0">B33*C33</f>
        <v>-1</v>
      </c>
      <c r="F33" s="352">
        <f t="shared" ref="F33:F47" si="1">B33*D33</f>
        <v>-1</v>
      </c>
      <c r="G33" s="352">
        <f t="shared" ref="G33:G47" si="2">C33*D33</f>
        <v>1</v>
      </c>
      <c r="H33" s="352">
        <f t="shared" ref="H33:H47" si="3">B33*C33*D33</f>
        <v>1</v>
      </c>
    </row>
    <row r="34" spans="1:9" x14ac:dyDescent="0.25">
      <c r="A34" s="48"/>
      <c r="B34" s="353">
        <v>-1</v>
      </c>
      <c r="C34" s="354">
        <v>1</v>
      </c>
      <c r="D34" s="355">
        <v>-1</v>
      </c>
      <c r="E34" s="352">
        <f t="shared" si="0"/>
        <v>-1</v>
      </c>
      <c r="F34" s="352">
        <f t="shared" si="1"/>
        <v>1</v>
      </c>
      <c r="G34" s="352">
        <f t="shared" si="2"/>
        <v>-1</v>
      </c>
      <c r="H34" s="352">
        <f t="shared" si="3"/>
        <v>1</v>
      </c>
    </row>
    <row r="35" spans="1:9" x14ac:dyDescent="0.25">
      <c r="A35" s="48"/>
      <c r="B35" s="353">
        <v>1</v>
      </c>
      <c r="C35" s="356">
        <v>1</v>
      </c>
      <c r="D35" s="355">
        <v>-1</v>
      </c>
      <c r="E35" s="352">
        <f t="shared" si="0"/>
        <v>1</v>
      </c>
      <c r="F35" s="352">
        <f t="shared" si="1"/>
        <v>-1</v>
      </c>
      <c r="G35" s="352">
        <f t="shared" si="2"/>
        <v>-1</v>
      </c>
      <c r="H35" s="352">
        <f t="shared" si="3"/>
        <v>-1</v>
      </c>
    </row>
    <row r="36" spans="1:9" x14ac:dyDescent="0.25">
      <c r="A36" s="48"/>
      <c r="B36" s="357">
        <v>-1</v>
      </c>
      <c r="C36" s="352">
        <v>-1</v>
      </c>
      <c r="D36" s="358">
        <v>1</v>
      </c>
      <c r="E36" s="352">
        <f t="shared" si="0"/>
        <v>1</v>
      </c>
      <c r="F36" s="352">
        <f t="shared" si="1"/>
        <v>-1</v>
      </c>
      <c r="G36" s="352">
        <f t="shared" si="2"/>
        <v>-1</v>
      </c>
      <c r="H36" s="352">
        <f t="shared" si="3"/>
        <v>1</v>
      </c>
    </row>
    <row r="37" spans="1:9" x14ac:dyDescent="0.25">
      <c r="A37" s="48"/>
      <c r="B37" s="352">
        <v>1</v>
      </c>
      <c r="C37" s="352">
        <v>-1</v>
      </c>
      <c r="D37" s="358">
        <v>1</v>
      </c>
      <c r="E37" s="352">
        <f t="shared" si="0"/>
        <v>-1</v>
      </c>
      <c r="F37" s="352">
        <f t="shared" si="1"/>
        <v>1</v>
      </c>
      <c r="G37" s="352">
        <f t="shared" si="2"/>
        <v>-1</v>
      </c>
      <c r="H37" s="352">
        <f t="shared" si="3"/>
        <v>-1</v>
      </c>
    </row>
    <row r="38" spans="1:9" x14ac:dyDescent="0.25">
      <c r="A38" s="48"/>
      <c r="B38" s="359">
        <v>-1</v>
      </c>
      <c r="C38" s="352">
        <v>1</v>
      </c>
      <c r="D38" s="358">
        <v>1</v>
      </c>
      <c r="E38" s="352">
        <f t="shared" si="0"/>
        <v>-1</v>
      </c>
      <c r="F38" s="352">
        <f t="shared" si="1"/>
        <v>-1</v>
      </c>
      <c r="G38" s="352">
        <f t="shared" si="2"/>
        <v>1</v>
      </c>
      <c r="H38" s="352">
        <f t="shared" si="3"/>
        <v>-1</v>
      </c>
    </row>
    <row r="39" spans="1:9" x14ac:dyDescent="0.25">
      <c r="A39" s="10"/>
      <c r="B39" s="360">
        <v>1</v>
      </c>
      <c r="C39" s="361">
        <v>1</v>
      </c>
      <c r="D39" s="362">
        <v>1</v>
      </c>
      <c r="E39" s="352">
        <f t="shared" si="0"/>
        <v>1</v>
      </c>
      <c r="F39" s="352">
        <f t="shared" si="1"/>
        <v>1</v>
      </c>
      <c r="G39" s="352">
        <f t="shared" si="2"/>
        <v>1</v>
      </c>
      <c r="H39" s="352">
        <f t="shared" si="3"/>
        <v>1</v>
      </c>
    </row>
    <row r="40" spans="1:9" x14ac:dyDescent="0.25">
      <c r="A40" s="10"/>
      <c r="B40" s="354">
        <v>-1</v>
      </c>
      <c r="C40" s="354">
        <v>-1</v>
      </c>
      <c r="D40" s="352">
        <v>-1</v>
      </c>
      <c r="E40" s="352">
        <f t="shared" si="0"/>
        <v>1</v>
      </c>
      <c r="F40" s="352">
        <f t="shared" si="1"/>
        <v>1</v>
      </c>
      <c r="G40" s="352">
        <f t="shared" si="2"/>
        <v>1</v>
      </c>
      <c r="H40" s="352">
        <f t="shared" si="3"/>
        <v>-1</v>
      </c>
    </row>
    <row r="41" spans="1:9" x14ac:dyDescent="0.25">
      <c r="A41" s="57"/>
      <c r="B41" s="356">
        <v>1</v>
      </c>
      <c r="C41" s="354">
        <v>-1</v>
      </c>
      <c r="D41" s="352">
        <v>-1</v>
      </c>
      <c r="E41" s="352">
        <f t="shared" si="0"/>
        <v>-1</v>
      </c>
      <c r="F41" s="352">
        <f t="shared" si="1"/>
        <v>-1</v>
      </c>
      <c r="G41" s="352">
        <f t="shared" si="2"/>
        <v>1</v>
      </c>
      <c r="H41" s="352">
        <f t="shared" si="3"/>
        <v>1</v>
      </c>
    </row>
    <row r="42" spans="1:9" x14ac:dyDescent="0.25">
      <c r="A42" s="48"/>
      <c r="B42" s="356">
        <v>-1</v>
      </c>
      <c r="C42" s="354">
        <v>1</v>
      </c>
      <c r="D42" s="352">
        <v>-1</v>
      </c>
      <c r="E42" s="352">
        <f t="shared" si="0"/>
        <v>-1</v>
      </c>
      <c r="F42" s="352">
        <f t="shared" si="1"/>
        <v>1</v>
      </c>
      <c r="G42" s="352">
        <f t="shared" si="2"/>
        <v>-1</v>
      </c>
      <c r="H42" s="352">
        <f t="shared" si="3"/>
        <v>1</v>
      </c>
    </row>
    <row r="43" spans="1:9" x14ac:dyDescent="0.25">
      <c r="A43" s="48"/>
      <c r="B43" s="356">
        <v>1</v>
      </c>
      <c r="C43" s="356">
        <v>1</v>
      </c>
      <c r="D43" s="352">
        <v>-1</v>
      </c>
      <c r="E43" s="352">
        <f t="shared" si="0"/>
        <v>1</v>
      </c>
      <c r="F43" s="352">
        <f t="shared" si="1"/>
        <v>-1</v>
      </c>
      <c r="G43" s="352">
        <f t="shared" si="2"/>
        <v>-1</v>
      </c>
      <c r="H43" s="352">
        <f t="shared" si="3"/>
        <v>-1</v>
      </c>
    </row>
    <row r="44" spans="1:9" x14ac:dyDescent="0.25">
      <c r="A44" s="48"/>
      <c r="B44" s="352">
        <v>-1</v>
      </c>
      <c r="C44" s="352">
        <v>-1</v>
      </c>
      <c r="D44" s="363">
        <v>1</v>
      </c>
      <c r="E44" s="352">
        <f t="shared" si="0"/>
        <v>1</v>
      </c>
      <c r="F44" s="352">
        <f t="shared" si="1"/>
        <v>-1</v>
      </c>
      <c r="G44" s="352">
        <f t="shared" si="2"/>
        <v>-1</v>
      </c>
      <c r="H44" s="352">
        <f t="shared" si="3"/>
        <v>1</v>
      </c>
      <c r="I44" s="10"/>
    </row>
    <row r="45" spans="1:9" x14ac:dyDescent="0.25">
      <c r="A45" s="10"/>
      <c r="B45" s="352">
        <v>1</v>
      </c>
      <c r="C45" s="352">
        <v>-1</v>
      </c>
      <c r="D45" s="363">
        <v>1</v>
      </c>
      <c r="E45" s="352">
        <f t="shared" si="0"/>
        <v>-1</v>
      </c>
      <c r="F45" s="352">
        <f t="shared" si="1"/>
        <v>1</v>
      </c>
      <c r="G45" s="352">
        <f t="shared" si="2"/>
        <v>-1</v>
      </c>
      <c r="H45" s="352">
        <f t="shared" si="3"/>
        <v>-1</v>
      </c>
      <c r="I45" s="10"/>
    </row>
    <row r="46" spans="1:9" x14ac:dyDescent="0.25">
      <c r="A46" s="57"/>
      <c r="B46" s="363">
        <v>-1</v>
      </c>
      <c r="C46" s="352">
        <v>1</v>
      </c>
      <c r="D46" s="363">
        <v>1</v>
      </c>
      <c r="E46" s="352">
        <f t="shared" si="0"/>
        <v>-1</v>
      </c>
      <c r="F46" s="352">
        <f t="shared" si="1"/>
        <v>-1</v>
      </c>
      <c r="G46" s="352">
        <f t="shared" si="2"/>
        <v>1</v>
      </c>
      <c r="H46" s="352">
        <f t="shared" si="3"/>
        <v>-1</v>
      </c>
      <c r="I46" s="57"/>
    </row>
    <row r="47" spans="1:9" x14ac:dyDescent="0.25">
      <c r="A47" s="48"/>
      <c r="B47" s="363">
        <v>1</v>
      </c>
      <c r="C47" s="363">
        <v>1</v>
      </c>
      <c r="D47" s="363">
        <v>1</v>
      </c>
      <c r="E47" s="352">
        <f t="shared" si="0"/>
        <v>1</v>
      </c>
      <c r="F47" s="352">
        <f t="shared" si="1"/>
        <v>1</v>
      </c>
      <c r="G47" s="352">
        <f t="shared" si="2"/>
        <v>1</v>
      </c>
      <c r="H47" s="352">
        <f t="shared" si="3"/>
        <v>1</v>
      </c>
      <c r="I47" s="48"/>
    </row>
    <row r="48" spans="1:9" x14ac:dyDescent="0.25">
      <c r="A48" s="48"/>
      <c r="B48" s="48"/>
      <c r="C48" s="48"/>
      <c r="D48" s="48"/>
      <c r="E48" s="48"/>
      <c r="F48" s="48"/>
      <c r="G48" s="48"/>
      <c r="H48" s="48"/>
      <c r="I48" s="48"/>
    </row>
    <row r="49" spans="1:9" x14ac:dyDescent="0.25">
      <c r="A49" t="s">
        <v>204</v>
      </c>
    </row>
    <row r="50" spans="1:9" ht="15.75" thickBot="1" x14ac:dyDescent="0.3"/>
    <row r="51" spans="1:9" x14ac:dyDescent="0.25">
      <c r="A51" s="202" t="s">
        <v>368</v>
      </c>
      <c r="B51" s="202"/>
    </row>
    <row r="52" spans="1:9" x14ac:dyDescent="0.25">
      <c r="A52" s="48" t="s">
        <v>369</v>
      </c>
      <c r="B52" s="48">
        <v>0.87398401222684352</v>
      </c>
    </row>
    <row r="53" spans="1:9" x14ac:dyDescent="0.25">
      <c r="A53" s="48" t="s">
        <v>370</v>
      </c>
      <c r="B53" s="48">
        <v>0.76384805362813135</v>
      </c>
    </row>
    <row r="54" spans="1:9" x14ac:dyDescent="0.25">
      <c r="A54" s="48" t="s">
        <v>371</v>
      </c>
      <c r="B54" s="48">
        <v>0.55721510055274637</v>
      </c>
    </row>
    <row r="55" spans="1:9" x14ac:dyDescent="0.25">
      <c r="A55" s="48" t="s">
        <v>372</v>
      </c>
      <c r="B55" s="48">
        <v>3.9607448794387139</v>
      </c>
    </row>
    <row r="56" spans="1:9" ht="15.75" thickBot="1" x14ac:dyDescent="0.3">
      <c r="A56" s="203" t="s">
        <v>373</v>
      </c>
      <c r="B56" s="203">
        <v>16</v>
      </c>
    </row>
    <row r="58" spans="1:9" ht="15.75" thickBot="1" x14ac:dyDescent="0.3">
      <c r="A58" t="s">
        <v>374</v>
      </c>
    </row>
    <row r="59" spans="1:9" x14ac:dyDescent="0.25">
      <c r="A59" s="204"/>
      <c r="B59" s="204" t="s">
        <v>205</v>
      </c>
      <c r="C59" s="204" t="s">
        <v>206</v>
      </c>
      <c r="D59" s="204" t="s">
        <v>207</v>
      </c>
      <c r="E59" s="204" t="s">
        <v>208</v>
      </c>
      <c r="F59" s="204" t="s">
        <v>375</v>
      </c>
    </row>
    <row r="60" spans="1:9" x14ac:dyDescent="0.25">
      <c r="A60" s="48" t="s">
        <v>376</v>
      </c>
      <c r="B60" s="48">
        <v>7</v>
      </c>
      <c r="C60" s="48">
        <v>405.93750000000006</v>
      </c>
      <c r="D60" s="48">
        <v>57.991071428571438</v>
      </c>
      <c r="E60" s="48">
        <v>3.6966420034149139</v>
      </c>
      <c r="F60" s="48">
        <v>4.341306992603769E-2</v>
      </c>
    </row>
    <row r="61" spans="1:9" x14ac:dyDescent="0.25">
      <c r="A61" s="48" t="s">
        <v>377</v>
      </c>
      <c r="B61" s="48">
        <v>8</v>
      </c>
      <c r="C61" s="48">
        <v>125.49999999999994</v>
      </c>
      <c r="D61" s="48">
        <v>15.687499999999993</v>
      </c>
      <c r="E61" s="48"/>
      <c r="F61" s="48"/>
    </row>
    <row r="62" spans="1:9" ht="15.75" thickBot="1" x14ac:dyDescent="0.3">
      <c r="A62" s="203" t="s">
        <v>378</v>
      </c>
      <c r="B62" s="203">
        <v>15</v>
      </c>
      <c r="C62" s="203">
        <v>531.4375</v>
      </c>
      <c r="D62" s="203"/>
      <c r="E62" s="203"/>
      <c r="F62" s="203"/>
    </row>
    <row r="63" spans="1:9" ht="15.75" thickBot="1" x14ac:dyDescent="0.3"/>
    <row r="64" spans="1:9" x14ac:dyDescent="0.25">
      <c r="A64" s="204"/>
      <c r="B64" s="204" t="s">
        <v>379</v>
      </c>
      <c r="C64" s="204" t="s">
        <v>372</v>
      </c>
      <c r="D64" s="204" t="s">
        <v>380</v>
      </c>
      <c r="E64" s="204" t="s">
        <v>381</v>
      </c>
      <c r="F64" s="204" t="s">
        <v>382</v>
      </c>
      <c r="G64" s="204" t="s">
        <v>383</v>
      </c>
      <c r="H64" s="204" t="s">
        <v>485</v>
      </c>
      <c r="I64" s="204" t="s">
        <v>486</v>
      </c>
    </row>
    <row r="65" spans="1:9" x14ac:dyDescent="0.25">
      <c r="A65" s="48" t="s">
        <v>384</v>
      </c>
      <c r="B65" s="276">
        <v>15.6875</v>
      </c>
      <c r="C65" s="48">
        <v>0.99018621985967847</v>
      </c>
      <c r="D65" s="48">
        <v>15.842979517754863</v>
      </c>
      <c r="E65" s="48">
        <v>2.5203247944650263E-7</v>
      </c>
      <c r="F65" s="48">
        <v>13.404126482381399</v>
      </c>
      <c r="G65" s="48">
        <v>17.9708735176186</v>
      </c>
      <c r="H65" s="48">
        <v>13.404126482381399</v>
      </c>
      <c r="I65" s="48">
        <v>17.9708735176186</v>
      </c>
    </row>
    <row r="66" spans="1:9" x14ac:dyDescent="0.25">
      <c r="A66" s="48" t="s">
        <v>13</v>
      </c>
      <c r="B66" s="67">
        <v>-0.43750000000000011</v>
      </c>
      <c r="C66" s="48">
        <v>0.99018621985967847</v>
      </c>
      <c r="D66" s="48">
        <v>-0.44183608216846243</v>
      </c>
      <c r="E66" s="67">
        <v>0.67030758290468428</v>
      </c>
      <c r="F66" s="48">
        <v>-2.720873517618601</v>
      </c>
      <c r="G66" s="48">
        <v>1.845873517618601</v>
      </c>
      <c r="H66" s="48">
        <v>-2.720873517618601</v>
      </c>
      <c r="I66" s="48">
        <v>1.845873517618601</v>
      </c>
    </row>
    <row r="67" spans="1:9" x14ac:dyDescent="0.25">
      <c r="A67" s="48" t="s">
        <v>14</v>
      </c>
      <c r="B67" s="67">
        <v>0.56250000000000056</v>
      </c>
      <c r="C67" s="48">
        <v>0.99018621985967847</v>
      </c>
      <c r="D67" s="48">
        <v>0.5680749627880235</v>
      </c>
      <c r="E67" s="67">
        <v>0.58557090211882645</v>
      </c>
      <c r="F67" s="48">
        <v>-1.7208735176186005</v>
      </c>
      <c r="G67" s="48">
        <v>2.8458735176186014</v>
      </c>
      <c r="H67" s="48">
        <v>-1.7208735176186005</v>
      </c>
      <c r="I67" s="48">
        <v>2.8458735176186014</v>
      </c>
    </row>
    <row r="68" spans="1:9" x14ac:dyDescent="0.25">
      <c r="A68" s="48" t="s">
        <v>481</v>
      </c>
      <c r="B68" s="277">
        <v>4.0625</v>
      </c>
      <c r="C68" s="48">
        <v>0.99018621985967847</v>
      </c>
      <c r="D68" s="48">
        <v>4.1027636201357218</v>
      </c>
      <c r="E68" s="277">
        <v>3.4246666695766513E-3</v>
      </c>
      <c r="F68" s="48">
        <v>1.779126482381399</v>
      </c>
      <c r="G68" s="48">
        <v>6.3458735176186014</v>
      </c>
      <c r="H68" s="48">
        <v>1.779126482381399</v>
      </c>
      <c r="I68" s="48">
        <v>6.3458735176186014</v>
      </c>
    </row>
    <row r="69" spans="1:9" x14ac:dyDescent="0.25">
      <c r="A69" s="48" t="s">
        <v>202</v>
      </c>
      <c r="B69" s="278">
        <v>-2.5625000000000004</v>
      </c>
      <c r="C69" s="48">
        <v>0.99018621985967847</v>
      </c>
      <c r="D69" s="48">
        <v>-2.5878970527009941</v>
      </c>
      <c r="E69" s="278">
        <v>3.2218270325428525E-2</v>
      </c>
      <c r="F69" s="48">
        <v>-4.8458735176186014</v>
      </c>
      <c r="G69" s="48">
        <v>-0.27912648238139948</v>
      </c>
      <c r="H69" s="48">
        <v>-4.8458735176186014</v>
      </c>
      <c r="I69" s="48">
        <v>-0.27912648238139948</v>
      </c>
    </row>
    <row r="70" spans="1:9" x14ac:dyDescent="0.25">
      <c r="A70" s="48" t="s">
        <v>482</v>
      </c>
      <c r="B70" s="67">
        <v>-0.81249999999999978</v>
      </c>
      <c r="C70" s="48">
        <v>0.99018621985967847</v>
      </c>
      <c r="D70" s="48">
        <v>-0.82055272402714408</v>
      </c>
      <c r="E70" s="279">
        <v>0.43566718636529655</v>
      </c>
      <c r="F70" s="48">
        <v>-3.0958735176186005</v>
      </c>
      <c r="G70" s="48">
        <v>1.4708735176186012</v>
      </c>
      <c r="H70" s="48">
        <v>-3.0958735176186005</v>
      </c>
      <c r="I70" s="48">
        <v>1.4708735176186012</v>
      </c>
    </row>
    <row r="71" spans="1:9" x14ac:dyDescent="0.25">
      <c r="A71" s="48" t="s">
        <v>483</v>
      </c>
      <c r="B71" s="67">
        <v>0.68750000000000011</v>
      </c>
      <c r="C71" s="48">
        <v>0.99018621985967847</v>
      </c>
      <c r="D71" s="48">
        <v>0.69431384340758373</v>
      </c>
      <c r="E71" s="279">
        <v>0.50714358787762936</v>
      </c>
      <c r="F71" s="48">
        <v>-1.595873517618601</v>
      </c>
      <c r="G71" s="48">
        <v>2.970873517618601</v>
      </c>
      <c r="H71" s="48">
        <v>-1.595873517618601</v>
      </c>
      <c r="I71" s="48">
        <v>2.970873517618601</v>
      </c>
    </row>
    <row r="72" spans="1:9" ht="15.75" thickBot="1" x14ac:dyDescent="0.3">
      <c r="A72" s="203" t="s">
        <v>484</v>
      </c>
      <c r="B72" s="217">
        <v>0.81249999999999933</v>
      </c>
      <c r="C72" s="203">
        <v>0.99018621985967847</v>
      </c>
      <c r="D72" s="203">
        <v>0.82055272402714363</v>
      </c>
      <c r="E72" s="280">
        <v>0.43566718636529667</v>
      </c>
      <c r="F72" s="203">
        <v>-1.4708735176186016</v>
      </c>
      <c r="G72" s="203">
        <v>3.0958735176186005</v>
      </c>
      <c r="H72" s="203">
        <v>-1.4708735176186016</v>
      </c>
      <c r="I72" s="203">
        <v>3.0958735176186005</v>
      </c>
    </row>
    <row r="73" spans="1:9" x14ac:dyDescent="0.25">
      <c r="A73" s="48"/>
      <c r="B73" s="67"/>
      <c r="C73" s="48"/>
      <c r="D73" s="48"/>
      <c r="E73" s="279"/>
      <c r="F73" s="48"/>
      <c r="G73" s="48"/>
      <c r="H73" s="48"/>
      <c r="I73" s="48"/>
    </row>
    <row r="74" spans="1:9" x14ac:dyDescent="0.25">
      <c r="A74" s="69" t="s">
        <v>617</v>
      </c>
    </row>
    <row r="75" spans="1:9" ht="15.75" thickBot="1" x14ac:dyDescent="0.3">
      <c r="A75" s="48" t="s">
        <v>619</v>
      </c>
      <c r="B75" s="67">
        <v>-0.4375</v>
      </c>
      <c r="C75" s="67">
        <v>0.56250000000000056</v>
      </c>
      <c r="D75" s="277">
        <v>4.0625</v>
      </c>
      <c r="E75" s="278">
        <v>-2.5625000000000004</v>
      </c>
      <c r="F75" s="67">
        <v>-0.81249999999999978</v>
      </c>
      <c r="G75" s="67">
        <v>0.68750000000000011</v>
      </c>
      <c r="H75" s="217">
        <v>0.81249999999999933</v>
      </c>
    </row>
    <row r="76" spans="1:9" x14ac:dyDescent="0.25">
      <c r="A76" s="48" t="s">
        <v>618</v>
      </c>
      <c r="B76">
        <f>B75*2</f>
        <v>-0.875</v>
      </c>
      <c r="C76">
        <f t="shared" ref="C76:H76" si="4">C75*2</f>
        <v>1.1250000000000011</v>
      </c>
      <c r="D76" s="284">
        <f t="shared" si="4"/>
        <v>8.125</v>
      </c>
      <c r="E76" s="285">
        <f t="shared" si="4"/>
        <v>-5.1250000000000009</v>
      </c>
      <c r="F76">
        <f t="shared" si="4"/>
        <v>-1.6249999999999996</v>
      </c>
      <c r="G76">
        <f t="shared" si="4"/>
        <v>1.3750000000000002</v>
      </c>
      <c r="H76">
        <f t="shared" si="4"/>
        <v>1.6249999999999987</v>
      </c>
    </row>
    <row r="77" spans="1:9" x14ac:dyDescent="0.25">
      <c r="A77" s="70" t="s">
        <v>177</v>
      </c>
      <c r="B77" s="281">
        <v>-5.1250000000000009</v>
      </c>
      <c r="C77" s="53">
        <v>-1.6249999999999996</v>
      </c>
      <c r="D77" s="53">
        <v>-0.87500000000000022</v>
      </c>
      <c r="E77" s="53">
        <v>1.1250000000000011</v>
      </c>
      <c r="F77" s="53">
        <v>1.3750000000000002</v>
      </c>
      <c r="G77" s="53">
        <v>1.6249999999999987</v>
      </c>
      <c r="H77" s="282">
        <v>8.125</v>
      </c>
      <c r="I77" s="281">
        <v>-5.125</v>
      </c>
    </row>
    <row r="78" spans="1:9" x14ac:dyDescent="0.25">
      <c r="A78" s="70" t="s">
        <v>178</v>
      </c>
      <c r="B78" s="53">
        <f>100*(B80-0.5)/7</f>
        <v>7.1428571428571432</v>
      </c>
      <c r="C78" s="53">
        <f>100*(C80-0.5)/7</f>
        <v>21.428571428571427</v>
      </c>
      <c r="D78" s="53">
        <f t="shared" ref="D78:H78" si="5">100*(D80-0.5)/7</f>
        <v>35.714285714285715</v>
      </c>
      <c r="E78" s="53">
        <f t="shared" si="5"/>
        <v>50</v>
      </c>
      <c r="F78" s="53">
        <f t="shared" si="5"/>
        <v>64.285714285714292</v>
      </c>
      <c r="G78" s="53">
        <f t="shared" si="5"/>
        <v>78.571428571428569</v>
      </c>
      <c r="H78" s="53">
        <f t="shared" si="5"/>
        <v>92.857142857142861</v>
      </c>
      <c r="I78" s="53">
        <v>-1.6249999999999996</v>
      </c>
    </row>
    <row r="79" spans="1:9" x14ac:dyDescent="0.25">
      <c r="I79" s="53">
        <v>-0.87500000000000022</v>
      </c>
    </row>
    <row r="80" spans="1:9" x14ac:dyDescent="0.25">
      <c r="B80">
        <v>1</v>
      </c>
      <c r="C80">
        <v>2</v>
      </c>
      <c r="D80">
        <v>3</v>
      </c>
      <c r="E80">
        <v>4</v>
      </c>
      <c r="F80">
        <v>5</v>
      </c>
      <c r="G80">
        <v>6</v>
      </c>
      <c r="H80">
        <v>7</v>
      </c>
      <c r="I80" s="53">
        <v>1.1250000000000011</v>
      </c>
    </row>
    <row r="81" spans="9:9" x14ac:dyDescent="0.25">
      <c r="I81" s="53">
        <v>1.3750000000000002</v>
      </c>
    </row>
    <row r="82" spans="9:9" x14ac:dyDescent="0.25">
      <c r="I82" s="53">
        <v>1.6249999999999987</v>
      </c>
    </row>
    <row r="83" spans="9:9" x14ac:dyDescent="0.25">
      <c r="I83" s="282">
        <v>8.125</v>
      </c>
    </row>
    <row r="98" spans="1:8" x14ac:dyDescent="0.25">
      <c r="B98" s="286" t="s">
        <v>202</v>
      </c>
      <c r="H98" s="287" t="s">
        <v>481</v>
      </c>
    </row>
    <row r="99" spans="1:8" x14ac:dyDescent="0.25">
      <c r="B99" s="286">
        <v>-5.1250000000000009</v>
      </c>
      <c r="C99">
        <v>-1.6249999999999996</v>
      </c>
      <c r="D99">
        <v>-0.87500000000000022</v>
      </c>
      <c r="E99">
        <v>1.1250000000000011</v>
      </c>
      <c r="F99">
        <v>1.3750000000000002</v>
      </c>
      <c r="G99">
        <v>1.6249999999999987</v>
      </c>
      <c r="H99" s="287">
        <v>8.125</v>
      </c>
    </row>
    <row r="110" spans="1:8" x14ac:dyDescent="0.25">
      <c r="A110" s="69" t="s">
        <v>179</v>
      </c>
    </row>
    <row r="111" spans="1:8" x14ac:dyDescent="0.25">
      <c r="A111" s="92" t="s">
        <v>620</v>
      </c>
    </row>
    <row r="113" spans="1:4" x14ac:dyDescent="0.25">
      <c r="B113" t="s">
        <v>177</v>
      </c>
      <c r="C113" t="s">
        <v>621</v>
      </c>
    </row>
    <row r="114" spans="1:4" x14ac:dyDescent="0.25">
      <c r="B114">
        <v>-5.1250000000000009</v>
      </c>
      <c r="C114">
        <f t="shared" ref="C114:C120" si="6">ABS(B114)</f>
        <v>5.1250000000000009</v>
      </c>
      <c r="D114">
        <v>0.87500000000000022</v>
      </c>
    </row>
    <row r="115" spans="1:4" x14ac:dyDescent="0.25">
      <c r="B115">
        <v>-1.6249999999999996</v>
      </c>
      <c r="C115">
        <f t="shared" si="6"/>
        <v>1.6249999999999996</v>
      </c>
      <c r="D115">
        <v>1.1250000000000011</v>
      </c>
    </row>
    <row r="116" spans="1:4" x14ac:dyDescent="0.25">
      <c r="B116">
        <v>-0.87500000000000022</v>
      </c>
      <c r="C116">
        <f t="shared" si="6"/>
        <v>0.87500000000000022</v>
      </c>
      <c r="D116">
        <v>1.3750000000000002</v>
      </c>
    </row>
    <row r="117" spans="1:4" x14ac:dyDescent="0.25">
      <c r="B117">
        <v>1.1250000000000011</v>
      </c>
      <c r="C117">
        <f t="shared" si="6"/>
        <v>1.1250000000000011</v>
      </c>
      <c r="D117">
        <v>1.6249999999999987</v>
      </c>
    </row>
    <row r="118" spans="1:4" x14ac:dyDescent="0.25">
      <c r="B118">
        <v>1.3750000000000002</v>
      </c>
      <c r="C118">
        <f t="shared" si="6"/>
        <v>1.3750000000000002</v>
      </c>
      <c r="D118">
        <v>1.6249999999999996</v>
      </c>
    </row>
    <row r="119" spans="1:4" x14ac:dyDescent="0.25">
      <c r="B119">
        <v>1.6249999999999987</v>
      </c>
      <c r="C119">
        <f t="shared" si="6"/>
        <v>1.6249999999999987</v>
      </c>
      <c r="D119" s="283">
        <v>5.1250000000000009</v>
      </c>
    </row>
    <row r="120" spans="1:4" x14ac:dyDescent="0.25">
      <c r="B120">
        <v>8.125</v>
      </c>
      <c r="C120">
        <f t="shared" si="6"/>
        <v>8.125</v>
      </c>
      <c r="D120" s="284">
        <v>8.125</v>
      </c>
    </row>
    <row r="123" spans="1:4" x14ac:dyDescent="0.25">
      <c r="B123" s="3" t="s">
        <v>659</v>
      </c>
      <c r="C123">
        <f>_xlfn.T.INV(0.975,8)</f>
        <v>2.3060041352041662</v>
      </c>
    </row>
    <row r="126" spans="1:4" x14ac:dyDescent="0.25">
      <c r="A126" t="s">
        <v>673</v>
      </c>
    </row>
    <row r="128" spans="1:4" x14ac:dyDescent="0.25">
      <c r="A128" t="s">
        <v>204</v>
      </c>
    </row>
    <row r="129" spans="1:9" ht="15.75" thickBot="1" x14ac:dyDescent="0.3"/>
    <row r="130" spans="1:9" x14ac:dyDescent="0.25">
      <c r="A130" s="202" t="s">
        <v>368</v>
      </c>
      <c r="B130" s="202"/>
    </row>
    <row r="131" spans="1:9" x14ac:dyDescent="0.25">
      <c r="A131" s="48" t="s">
        <v>369</v>
      </c>
      <c r="B131" s="48">
        <v>0.84253611538461082</v>
      </c>
    </row>
    <row r="132" spans="1:9" x14ac:dyDescent="0.25">
      <c r="A132" s="48" t="s">
        <v>370</v>
      </c>
      <c r="B132" s="48">
        <v>0.70986710572739031</v>
      </c>
    </row>
    <row r="133" spans="1:9" x14ac:dyDescent="0.25">
      <c r="A133" s="48" t="s">
        <v>371</v>
      </c>
      <c r="B133" s="48">
        <v>0.60436423508280501</v>
      </c>
    </row>
    <row r="134" spans="1:9" x14ac:dyDescent="0.25">
      <c r="A134" s="48" t="s">
        <v>372</v>
      </c>
      <c r="B134" s="48">
        <v>3.7439344885488381</v>
      </c>
    </row>
    <row r="135" spans="1:9" ht="15.75" thickBot="1" x14ac:dyDescent="0.3">
      <c r="A135" s="203" t="s">
        <v>373</v>
      </c>
      <c r="B135" s="203">
        <v>16</v>
      </c>
    </row>
    <row r="137" spans="1:9" ht="15.75" thickBot="1" x14ac:dyDescent="0.3">
      <c r="A137" t="s">
        <v>374</v>
      </c>
    </row>
    <row r="138" spans="1:9" x14ac:dyDescent="0.25">
      <c r="A138" s="204"/>
      <c r="B138" s="204" t="s">
        <v>205</v>
      </c>
      <c r="C138" s="204" t="s">
        <v>206</v>
      </c>
      <c r="D138" s="204" t="s">
        <v>207</v>
      </c>
      <c r="E138" s="204" t="s">
        <v>208</v>
      </c>
      <c r="F138" s="204" t="s">
        <v>375</v>
      </c>
    </row>
    <row r="139" spans="1:9" x14ac:dyDescent="0.25">
      <c r="A139" s="48" t="s">
        <v>376</v>
      </c>
      <c r="B139" s="48">
        <v>4</v>
      </c>
      <c r="C139" s="48">
        <v>377.25</v>
      </c>
      <c r="D139" s="48">
        <v>94.3125</v>
      </c>
      <c r="E139" s="48">
        <v>6.7284150790433737</v>
      </c>
      <c r="F139" s="48">
        <v>5.4307227010229695E-3</v>
      </c>
    </row>
    <row r="140" spans="1:9" x14ac:dyDescent="0.25">
      <c r="A140" s="48" t="s">
        <v>377</v>
      </c>
      <c r="B140" s="48">
        <v>11</v>
      </c>
      <c r="C140" s="48">
        <v>154.18749999999997</v>
      </c>
      <c r="D140" s="48">
        <v>14.017045454545451</v>
      </c>
      <c r="E140" s="48"/>
      <c r="F140" s="48"/>
    </row>
    <row r="141" spans="1:9" ht="15.75" thickBot="1" x14ac:dyDescent="0.3">
      <c r="A141" s="203" t="s">
        <v>378</v>
      </c>
      <c r="B141" s="203">
        <v>15</v>
      </c>
      <c r="C141" s="203">
        <v>531.4375</v>
      </c>
      <c r="D141" s="203"/>
      <c r="E141" s="203"/>
      <c r="F141" s="203"/>
    </row>
    <row r="142" spans="1:9" ht="15.75" thickBot="1" x14ac:dyDescent="0.3"/>
    <row r="143" spans="1:9" x14ac:dyDescent="0.25">
      <c r="A143" s="204"/>
      <c r="B143" s="204" t="s">
        <v>379</v>
      </c>
      <c r="C143" s="204" t="s">
        <v>372</v>
      </c>
      <c r="D143" s="204" t="s">
        <v>380</v>
      </c>
      <c r="E143" s="204" t="s">
        <v>381</v>
      </c>
      <c r="F143" s="204" t="s">
        <v>382</v>
      </c>
      <c r="G143" s="204" t="s">
        <v>383</v>
      </c>
      <c r="H143" s="204" t="s">
        <v>485</v>
      </c>
      <c r="I143" s="204" t="s">
        <v>486</v>
      </c>
    </row>
    <row r="144" spans="1:9" x14ac:dyDescent="0.25">
      <c r="A144" s="48" t="s">
        <v>384</v>
      </c>
      <c r="B144" s="48">
        <v>15.6875</v>
      </c>
      <c r="C144" s="48">
        <v>0.93598362213720954</v>
      </c>
      <c r="D144" s="48">
        <v>16.760442842129461</v>
      </c>
      <c r="E144" s="48">
        <v>3.5253164319900237E-9</v>
      </c>
      <c r="F144" s="48">
        <v>13.627413937587182</v>
      </c>
      <c r="G144" s="48">
        <v>17.747586062412818</v>
      </c>
      <c r="H144" s="48">
        <v>13.627413937587182</v>
      </c>
      <c r="I144" s="48">
        <v>17.747586062412818</v>
      </c>
    </row>
    <row r="145" spans="1:14" x14ac:dyDescent="0.25">
      <c r="A145" s="48" t="s">
        <v>13</v>
      </c>
      <c r="B145" s="48">
        <v>-0.43750000000000022</v>
      </c>
      <c r="C145" s="48">
        <v>0.93598362213720954</v>
      </c>
      <c r="D145" s="48">
        <v>-0.46742270874464659</v>
      </c>
      <c r="E145" s="48">
        <v>0.64932057832728063</v>
      </c>
      <c r="F145" s="48">
        <v>-2.4975860624128181</v>
      </c>
      <c r="G145" s="48">
        <v>1.6225860624128174</v>
      </c>
      <c r="H145" s="48">
        <v>-2.4975860624128181</v>
      </c>
      <c r="I145" s="48">
        <v>1.6225860624128174</v>
      </c>
    </row>
    <row r="146" spans="1:14" x14ac:dyDescent="0.25">
      <c r="A146" s="48" t="s">
        <v>14</v>
      </c>
      <c r="B146" s="48">
        <v>0.56250000000000067</v>
      </c>
      <c r="C146" s="48">
        <v>0.93598362213720954</v>
      </c>
      <c r="D146" s="48">
        <v>0.60097205410026033</v>
      </c>
      <c r="E146" s="48">
        <v>0.56003829054402543</v>
      </c>
      <c r="F146" s="48">
        <v>-1.497586062412817</v>
      </c>
      <c r="G146" s="48">
        <v>2.6225860624128181</v>
      </c>
      <c r="H146" s="48">
        <v>-1.497586062412817</v>
      </c>
      <c r="I146" s="48">
        <v>2.6225860624128181</v>
      </c>
    </row>
    <row r="147" spans="1:14" x14ac:dyDescent="0.25">
      <c r="A147" s="48" t="s">
        <v>481</v>
      </c>
      <c r="B147" s="48">
        <v>4.0625</v>
      </c>
      <c r="C147" s="48">
        <v>0.93598362213720954</v>
      </c>
      <c r="D147" s="48">
        <v>4.3403537240574304</v>
      </c>
      <c r="E147" s="48">
        <v>1.174106110281771E-3</v>
      </c>
      <c r="F147" s="48">
        <v>2.0024139375871823</v>
      </c>
      <c r="G147" s="48">
        <v>6.1225860624128181</v>
      </c>
      <c r="H147" s="48">
        <v>2.0024139375871823</v>
      </c>
      <c r="I147" s="48">
        <v>6.1225860624128181</v>
      </c>
    </row>
    <row r="148" spans="1:14" ht="15.75" thickBot="1" x14ac:dyDescent="0.3">
      <c r="A148" s="203" t="s">
        <v>202</v>
      </c>
      <c r="B148" s="203">
        <v>-2.5625000000000004</v>
      </c>
      <c r="C148" s="203">
        <v>0.93598362213720954</v>
      </c>
      <c r="D148" s="203">
        <v>-2.7377615797900718</v>
      </c>
      <c r="E148" s="203">
        <v>1.9308560776313998E-2</v>
      </c>
      <c r="F148" s="203">
        <v>-4.6225860624128181</v>
      </c>
      <c r="G148" s="203">
        <v>-0.50241393758718278</v>
      </c>
      <c r="H148" s="203">
        <v>-4.6225860624128181</v>
      </c>
      <c r="I148" s="203">
        <v>-0.50241393758718278</v>
      </c>
    </row>
    <row r="149" spans="1:14" x14ac:dyDescent="0.25">
      <c r="A149" s="390" t="s">
        <v>526</v>
      </c>
      <c r="B149" s="85">
        <f>B144</f>
        <v>15.6875</v>
      </c>
      <c r="C149" s="85" t="s">
        <v>67</v>
      </c>
      <c r="D149" s="85">
        <f>B145</f>
        <v>-0.43750000000000022</v>
      </c>
      <c r="E149" s="85" t="s">
        <v>65</v>
      </c>
      <c r="F149" s="85">
        <f>B146</f>
        <v>0.56250000000000067</v>
      </c>
      <c r="G149" s="85" t="s">
        <v>527</v>
      </c>
      <c r="H149" s="85">
        <f>B147</f>
        <v>4.0625</v>
      </c>
      <c r="I149" s="85" t="s">
        <v>528</v>
      </c>
      <c r="J149" s="85">
        <f>B148</f>
        <v>-2.5625000000000004</v>
      </c>
      <c r="K149" s="85" t="s">
        <v>69</v>
      </c>
      <c r="L149" s="311"/>
      <c r="M149" s="311"/>
      <c r="N149" s="311"/>
    </row>
  </sheetData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196"/>
  <sheetViews>
    <sheetView topLeftCell="E82" zoomScaleNormal="100" workbookViewId="0">
      <selection activeCell="E11" sqref="E11:E26"/>
    </sheetView>
  </sheetViews>
  <sheetFormatPr defaultRowHeight="15" x14ac:dyDescent="0.25"/>
  <cols>
    <col min="2" max="2" width="15.7109375" customWidth="1"/>
    <col min="4" max="4" width="15.28515625" customWidth="1"/>
    <col min="6" max="6" width="13.42578125" customWidth="1"/>
    <col min="7" max="7" width="14.140625" customWidth="1"/>
    <col min="8" max="8" width="11.85546875" customWidth="1"/>
    <col min="9" max="9" width="13.28515625" customWidth="1"/>
    <col min="10" max="10" width="9.7109375" customWidth="1"/>
    <col min="11" max="11" width="13" customWidth="1"/>
    <col min="12" max="12" width="20.5703125" customWidth="1"/>
    <col min="16" max="16" width="14.28515625" customWidth="1"/>
    <col min="17" max="17" width="19.140625" customWidth="1"/>
  </cols>
  <sheetData>
    <row r="1" spans="1:17" x14ac:dyDescent="0.25">
      <c r="L1" t="s">
        <v>768</v>
      </c>
    </row>
    <row r="2" spans="1:17" x14ac:dyDescent="0.25">
      <c r="A2" t="s">
        <v>0</v>
      </c>
      <c r="B2" t="s">
        <v>180</v>
      </c>
      <c r="L2" s="71"/>
      <c r="M2" s="71"/>
      <c r="N2" s="71"/>
      <c r="O2" s="71"/>
      <c r="P2" s="71"/>
      <c r="Q2" s="71"/>
    </row>
    <row r="3" spans="1:17" ht="18" x14ac:dyDescent="0.35">
      <c r="B3" t="s">
        <v>773</v>
      </c>
      <c r="L3" s="71"/>
      <c r="M3" s="71"/>
      <c r="N3" s="71"/>
      <c r="O3" s="71"/>
      <c r="P3" s="71"/>
      <c r="Q3" s="71"/>
    </row>
    <row r="4" spans="1:17" ht="18" x14ac:dyDescent="0.35">
      <c r="B4" t="s">
        <v>182</v>
      </c>
      <c r="L4" s="71"/>
      <c r="M4" s="71"/>
      <c r="N4" s="71"/>
      <c r="O4" s="71"/>
      <c r="P4" s="71"/>
      <c r="Q4" s="71"/>
    </row>
    <row r="5" spans="1:17" ht="18" x14ac:dyDescent="0.35">
      <c r="B5" t="s">
        <v>183</v>
      </c>
      <c r="L5" s="71"/>
      <c r="M5" s="71"/>
      <c r="N5" s="71"/>
      <c r="O5" s="71"/>
      <c r="P5" s="71"/>
      <c r="Q5" s="71"/>
    </row>
    <row r="6" spans="1:17" ht="17.25" x14ac:dyDescent="0.25">
      <c r="B6" t="s">
        <v>147</v>
      </c>
      <c r="L6" s="71"/>
      <c r="M6" s="71"/>
      <c r="N6" s="71"/>
      <c r="O6" s="71"/>
      <c r="P6" s="71"/>
      <c r="Q6" s="71"/>
    </row>
    <row r="7" spans="1:17" x14ac:dyDescent="0.25">
      <c r="B7" t="s">
        <v>3</v>
      </c>
      <c r="L7" s="71"/>
      <c r="M7" s="71"/>
      <c r="N7" s="71"/>
      <c r="O7" s="71"/>
      <c r="P7" s="71"/>
      <c r="Q7" s="71"/>
    </row>
    <row r="8" spans="1:17" x14ac:dyDescent="0.25">
      <c r="B8" t="s">
        <v>4</v>
      </c>
      <c r="E8" s="61">
        <v>0.05</v>
      </c>
      <c r="F8" t="s">
        <v>5</v>
      </c>
      <c r="L8" s="71"/>
      <c r="M8" s="71"/>
      <c r="N8" s="71"/>
      <c r="O8" s="71"/>
      <c r="P8" s="71"/>
      <c r="Q8" s="71"/>
    </row>
    <row r="9" spans="1:17" x14ac:dyDescent="0.25">
      <c r="L9" s="71"/>
      <c r="M9" s="71"/>
      <c r="N9" s="71"/>
      <c r="O9" s="71"/>
      <c r="P9" s="71"/>
      <c r="Q9" s="71"/>
    </row>
    <row r="10" spans="1:17" x14ac:dyDescent="0.25">
      <c r="B10" s="2" t="s">
        <v>13</v>
      </c>
      <c r="C10" s="13" t="s">
        <v>14</v>
      </c>
      <c r="D10" s="13" t="s">
        <v>481</v>
      </c>
      <c r="E10" s="5" t="s">
        <v>203</v>
      </c>
      <c r="F10" s="10"/>
      <c r="G10" s="10"/>
      <c r="H10" s="10"/>
      <c r="I10" s="10"/>
      <c r="J10" s="10"/>
      <c r="K10" s="10"/>
      <c r="L10" s="71"/>
      <c r="M10" s="71"/>
      <c r="N10" s="71"/>
      <c r="O10" s="71"/>
      <c r="P10" s="71"/>
      <c r="Q10" s="71"/>
    </row>
    <row r="11" spans="1:17" x14ac:dyDescent="0.25">
      <c r="B11" s="18">
        <v>-1</v>
      </c>
      <c r="C11" s="32">
        <v>-1</v>
      </c>
      <c r="D11" s="246">
        <v>-1</v>
      </c>
      <c r="E11" s="250">
        <v>60</v>
      </c>
      <c r="F11" s="289" t="s">
        <v>487</v>
      </c>
      <c r="G11" s="5"/>
      <c r="J11" s="5"/>
      <c r="K11" s="10"/>
      <c r="L11" s="71"/>
      <c r="M11" s="71"/>
      <c r="N11" s="71"/>
      <c r="O11" s="71"/>
      <c r="P11" s="71"/>
      <c r="Q11" s="71"/>
    </row>
    <row r="12" spans="1:17" x14ac:dyDescent="0.25">
      <c r="B12" s="20">
        <v>1</v>
      </c>
      <c r="C12" s="23">
        <v>-1</v>
      </c>
      <c r="D12" s="247">
        <f t="shared" ref="D12:D26" si="0">B12*C12</f>
        <v>-1</v>
      </c>
      <c r="E12" s="251">
        <v>60</v>
      </c>
      <c r="F12" s="10"/>
      <c r="G12" s="10"/>
      <c r="H12" s="10"/>
      <c r="I12" s="10"/>
      <c r="J12" s="10"/>
      <c r="K12" s="10"/>
      <c r="L12" s="71"/>
      <c r="M12" s="71"/>
      <c r="N12" s="71"/>
      <c r="O12" s="71"/>
      <c r="P12" s="71"/>
      <c r="Q12" s="71"/>
    </row>
    <row r="13" spans="1:17" x14ac:dyDescent="0.25">
      <c r="B13" s="20">
        <v>-1</v>
      </c>
      <c r="C13" s="23">
        <v>1</v>
      </c>
      <c r="D13" s="247">
        <f t="shared" si="0"/>
        <v>-1</v>
      </c>
      <c r="E13" s="251">
        <v>42</v>
      </c>
      <c r="F13" s="10"/>
      <c r="G13" s="10"/>
      <c r="H13" s="10"/>
      <c r="I13" s="10"/>
      <c r="J13" s="10"/>
      <c r="K13" s="10"/>
      <c r="L13" s="71"/>
      <c r="M13" s="71"/>
      <c r="N13" s="71"/>
      <c r="O13" s="71"/>
      <c r="P13" s="71"/>
      <c r="Q13" s="71"/>
    </row>
    <row r="14" spans="1:17" x14ac:dyDescent="0.25">
      <c r="B14" s="20">
        <v>1</v>
      </c>
      <c r="C14" s="23">
        <v>1</v>
      </c>
      <c r="D14" s="247">
        <v>-1</v>
      </c>
      <c r="E14" s="251">
        <v>75</v>
      </c>
      <c r="F14" s="10"/>
      <c r="G14" s="10"/>
      <c r="H14" s="10"/>
      <c r="I14" s="10"/>
      <c r="J14" s="10"/>
      <c r="K14" s="10"/>
    </row>
    <row r="15" spans="1:17" x14ac:dyDescent="0.25">
      <c r="B15" s="290">
        <v>-1</v>
      </c>
      <c r="C15" s="5">
        <v>-1</v>
      </c>
      <c r="D15" s="247">
        <f t="shared" si="0"/>
        <v>1</v>
      </c>
      <c r="E15" s="251">
        <v>73</v>
      </c>
      <c r="F15" s="10"/>
      <c r="G15" s="10"/>
      <c r="H15" s="10"/>
      <c r="I15" s="10"/>
      <c r="J15" s="10"/>
      <c r="K15" s="10"/>
    </row>
    <row r="16" spans="1:17" x14ac:dyDescent="0.25">
      <c r="B16" s="290">
        <v>1</v>
      </c>
      <c r="C16" s="5">
        <v>-1</v>
      </c>
      <c r="D16" s="369">
        <v>1</v>
      </c>
      <c r="E16" s="251">
        <v>92</v>
      </c>
      <c r="F16" s="10"/>
      <c r="G16" s="10"/>
      <c r="H16" s="10"/>
      <c r="I16" s="10"/>
      <c r="J16" s="10"/>
      <c r="K16" s="10"/>
    </row>
    <row r="17" spans="1:11" x14ac:dyDescent="0.25">
      <c r="B17" s="290">
        <v>-1</v>
      </c>
      <c r="C17" s="5">
        <v>1</v>
      </c>
      <c r="D17" s="369">
        <v>1</v>
      </c>
      <c r="E17" s="251">
        <v>59</v>
      </c>
      <c r="F17" s="10"/>
      <c r="G17" s="10"/>
      <c r="H17" s="10"/>
      <c r="I17" s="10"/>
      <c r="J17" s="10"/>
      <c r="K17" s="10"/>
    </row>
    <row r="18" spans="1:11" x14ac:dyDescent="0.25">
      <c r="B18" s="291">
        <v>1</v>
      </c>
      <c r="C18" s="292">
        <v>1</v>
      </c>
      <c r="D18" s="248">
        <f t="shared" si="0"/>
        <v>1</v>
      </c>
      <c r="E18" s="251">
        <v>87</v>
      </c>
      <c r="F18" s="10"/>
      <c r="G18" s="10"/>
      <c r="H18" s="10"/>
      <c r="I18" s="10"/>
      <c r="J18" s="10"/>
      <c r="K18" s="10"/>
    </row>
    <row r="19" spans="1:11" x14ac:dyDescent="0.25">
      <c r="B19" s="18">
        <v>-1</v>
      </c>
      <c r="C19" s="32">
        <v>-1</v>
      </c>
      <c r="D19" s="368">
        <v>-1</v>
      </c>
      <c r="E19" s="251">
        <v>59</v>
      </c>
      <c r="F19" s="10"/>
      <c r="G19" s="10"/>
      <c r="H19" s="10"/>
      <c r="I19" s="10"/>
      <c r="J19" s="10"/>
      <c r="K19" s="10"/>
    </row>
    <row r="20" spans="1:11" x14ac:dyDescent="0.25">
      <c r="B20" s="20">
        <v>1</v>
      </c>
      <c r="C20" s="23">
        <v>-1</v>
      </c>
      <c r="D20" s="369">
        <f t="shared" si="0"/>
        <v>-1</v>
      </c>
      <c r="E20" s="251">
        <v>62</v>
      </c>
      <c r="F20" s="10"/>
      <c r="G20" s="10"/>
      <c r="H20" s="10"/>
      <c r="I20" s="10"/>
      <c r="J20" s="10"/>
      <c r="K20" s="10"/>
    </row>
    <row r="21" spans="1:11" x14ac:dyDescent="0.25">
      <c r="B21" s="20">
        <v>-1</v>
      </c>
      <c r="C21" s="23">
        <v>1</v>
      </c>
      <c r="D21" s="369">
        <f t="shared" si="0"/>
        <v>-1</v>
      </c>
      <c r="E21" s="251">
        <v>39</v>
      </c>
      <c r="F21" s="10"/>
      <c r="G21" s="10"/>
      <c r="H21" s="10"/>
      <c r="I21" s="10"/>
      <c r="J21" s="10"/>
      <c r="K21" s="10"/>
    </row>
    <row r="22" spans="1:11" x14ac:dyDescent="0.25">
      <c r="B22" s="20">
        <v>1</v>
      </c>
      <c r="C22" s="23">
        <v>1</v>
      </c>
      <c r="D22" s="369">
        <v>-1</v>
      </c>
      <c r="E22" s="251">
        <v>76</v>
      </c>
      <c r="F22" s="10"/>
      <c r="G22" s="10"/>
      <c r="H22" s="10"/>
      <c r="I22" s="10"/>
      <c r="J22" s="10"/>
      <c r="K22" s="10"/>
    </row>
    <row r="23" spans="1:11" x14ac:dyDescent="0.25">
      <c r="B23" s="290">
        <v>-1</v>
      </c>
      <c r="C23" s="5">
        <v>-1</v>
      </c>
      <c r="D23" s="369">
        <f t="shared" si="0"/>
        <v>1</v>
      </c>
      <c r="E23" s="251">
        <v>76</v>
      </c>
      <c r="F23" s="10"/>
      <c r="G23" s="10"/>
      <c r="H23" s="10"/>
      <c r="I23" s="10"/>
      <c r="J23" s="10"/>
      <c r="K23" s="10"/>
    </row>
    <row r="24" spans="1:11" x14ac:dyDescent="0.25">
      <c r="B24" s="290">
        <v>1</v>
      </c>
      <c r="C24" s="5">
        <v>-1</v>
      </c>
      <c r="D24" s="369">
        <v>1</v>
      </c>
      <c r="E24" s="251">
        <v>91</v>
      </c>
      <c r="F24" s="10"/>
      <c r="G24" s="10"/>
      <c r="H24" s="10"/>
      <c r="I24" s="10"/>
      <c r="J24" s="10"/>
      <c r="K24" s="10"/>
    </row>
    <row r="25" spans="1:11" x14ac:dyDescent="0.25">
      <c r="B25" s="290">
        <v>-1</v>
      </c>
      <c r="C25" s="5">
        <v>1</v>
      </c>
      <c r="D25" s="369">
        <v>1</v>
      </c>
      <c r="E25" s="251">
        <v>58</v>
      </c>
      <c r="F25" s="10"/>
      <c r="G25" s="10"/>
      <c r="H25" s="10"/>
      <c r="I25" s="10"/>
      <c r="J25" s="10"/>
      <c r="K25" s="10"/>
    </row>
    <row r="26" spans="1:11" x14ac:dyDescent="0.25">
      <c r="B26" s="291">
        <v>1</v>
      </c>
      <c r="C26" s="292">
        <v>1</v>
      </c>
      <c r="D26" s="370">
        <f t="shared" si="0"/>
        <v>1</v>
      </c>
      <c r="E26" s="252">
        <v>88</v>
      </c>
      <c r="F26" s="10" t="s">
        <v>488</v>
      </c>
      <c r="G26" s="10"/>
      <c r="H26" s="10"/>
      <c r="I26" s="10"/>
      <c r="J26" s="10"/>
      <c r="K26" s="10"/>
    </row>
    <row r="27" spans="1:11" x14ac:dyDescent="0.25">
      <c r="B27" s="5"/>
      <c r="C27" s="5"/>
      <c r="D27" s="13"/>
      <c r="E27" s="13"/>
      <c r="F27" s="10"/>
      <c r="G27" s="10"/>
      <c r="H27" s="10"/>
      <c r="I27" s="10"/>
      <c r="J27" s="10"/>
      <c r="K27" s="10"/>
    </row>
    <row r="28" spans="1:11" x14ac:dyDescent="0.25">
      <c r="A28" t="s">
        <v>489</v>
      </c>
      <c r="B28" s="5"/>
      <c r="C28" s="5"/>
      <c r="D28" s="13"/>
      <c r="E28" s="13"/>
      <c r="F28" s="10"/>
      <c r="G28" s="10"/>
      <c r="H28" s="10"/>
      <c r="I28" s="10"/>
      <c r="J28" s="10"/>
      <c r="K28" s="10"/>
    </row>
    <row r="29" spans="1:11" x14ac:dyDescent="0.25">
      <c r="B29" s="5"/>
      <c r="C29" s="5"/>
      <c r="D29" s="13"/>
      <c r="E29" s="13"/>
      <c r="F29" s="10"/>
      <c r="G29" s="10"/>
      <c r="H29" s="10"/>
      <c r="I29" s="10"/>
      <c r="J29" s="10"/>
      <c r="K29" s="10"/>
    </row>
    <row r="30" spans="1:11" x14ac:dyDescent="0.25">
      <c r="B30" s="5"/>
      <c r="C30" s="5"/>
      <c r="D30" s="13"/>
      <c r="E30" s="13"/>
      <c r="F30" s="10"/>
      <c r="G30" s="10"/>
      <c r="H30" s="10"/>
      <c r="I30" s="10"/>
      <c r="J30" s="10"/>
      <c r="K30" s="10"/>
    </row>
    <row r="31" spans="1:11" x14ac:dyDescent="0.25">
      <c r="B31" s="5"/>
      <c r="C31" s="5"/>
      <c r="D31" s="13"/>
      <c r="E31" s="13"/>
      <c r="F31" s="10"/>
      <c r="G31" s="10"/>
      <c r="H31" s="10"/>
      <c r="I31" s="10"/>
      <c r="J31" s="10"/>
      <c r="K31" s="10"/>
    </row>
    <row r="32" spans="1:11" x14ac:dyDescent="0.25">
      <c r="B32" s="5"/>
      <c r="C32" s="5"/>
      <c r="D32" s="13"/>
      <c r="E32" s="13"/>
      <c r="F32" s="10"/>
      <c r="G32" s="10"/>
      <c r="H32" s="10"/>
      <c r="I32" s="10"/>
      <c r="J32" s="10"/>
      <c r="K32" s="10"/>
    </row>
    <row r="33" spans="1:27" x14ac:dyDescent="0.25">
      <c r="B33" s="5"/>
      <c r="C33" s="5"/>
      <c r="D33" s="13"/>
      <c r="E33" s="13"/>
      <c r="F33" s="10"/>
      <c r="G33" s="10"/>
      <c r="H33" s="10"/>
      <c r="I33" s="10"/>
      <c r="J33" s="10"/>
      <c r="K33" s="10"/>
    </row>
    <row r="34" spans="1:27" x14ac:dyDescent="0.25">
      <c r="A34" s="13"/>
      <c r="B34" s="13" t="s">
        <v>13</v>
      </c>
      <c r="C34" s="5" t="s">
        <v>14</v>
      </c>
      <c r="D34" s="13" t="s">
        <v>481</v>
      </c>
      <c r="E34" s="13" t="s">
        <v>202</v>
      </c>
      <c r="F34" s="5" t="s">
        <v>482</v>
      </c>
      <c r="G34" s="5" t="s">
        <v>483</v>
      </c>
      <c r="H34" s="5" t="s">
        <v>484</v>
      </c>
      <c r="I34" s="10"/>
      <c r="J34" s="10"/>
      <c r="K34" s="10"/>
      <c r="L34" s="10"/>
    </row>
    <row r="35" spans="1:27" x14ac:dyDescent="0.25">
      <c r="A35" s="244" t="s">
        <v>490</v>
      </c>
      <c r="B35" s="244" t="s">
        <v>491</v>
      </c>
      <c r="C35" s="244" t="s">
        <v>492</v>
      </c>
      <c r="D35" s="292" t="s">
        <v>493</v>
      </c>
      <c r="E35" s="292" t="s">
        <v>494</v>
      </c>
      <c r="F35" s="292" t="s">
        <v>495</v>
      </c>
      <c r="G35" s="292" t="s">
        <v>496</v>
      </c>
      <c r="H35" s="292" t="s">
        <v>497</v>
      </c>
      <c r="I35" s="10"/>
      <c r="J35" s="10"/>
      <c r="K35" s="10"/>
      <c r="L35" s="10"/>
    </row>
    <row r="36" spans="1:27" x14ac:dyDescent="0.25">
      <c r="A36" s="293">
        <v>1</v>
      </c>
      <c r="B36" s="5">
        <v>-1</v>
      </c>
      <c r="C36" s="5">
        <v>-1</v>
      </c>
      <c r="D36" s="13">
        <v>-1</v>
      </c>
      <c r="E36" s="13">
        <f>B36*C36</f>
        <v>1</v>
      </c>
      <c r="F36" s="13">
        <f>B36*D36</f>
        <v>1</v>
      </c>
      <c r="G36" s="13">
        <f>C36*D36</f>
        <v>1</v>
      </c>
      <c r="H36" s="247">
        <f>B36*C36*D36</f>
        <v>-1</v>
      </c>
      <c r="I36" s="10" t="s">
        <v>498</v>
      </c>
      <c r="J36" s="10"/>
      <c r="K36" s="15" t="s">
        <v>50</v>
      </c>
      <c r="L36" s="253">
        <f t="array" ref="L36:AA43">TRANSPOSE(A36:H51)</f>
        <v>1</v>
      </c>
      <c r="M36" s="80">
        <v>1</v>
      </c>
      <c r="N36" s="80">
        <v>1</v>
      </c>
      <c r="O36" s="80">
        <v>1</v>
      </c>
      <c r="P36" s="80">
        <v>1</v>
      </c>
      <c r="Q36" s="80">
        <v>1</v>
      </c>
      <c r="R36" s="80">
        <v>1</v>
      </c>
      <c r="S36" s="80">
        <v>1</v>
      </c>
      <c r="T36" s="80">
        <v>1</v>
      </c>
      <c r="U36" s="80">
        <v>1</v>
      </c>
      <c r="V36" s="80">
        <v>1</v>
      </c>
      <c r="W36" s="80">
        <v>1</v>
      </c>
      <c r="X36" s="80">
        <v>1</v>
      </c>
      <c r="Y36" s="80">
        <v>1</v>
      </c>
      <c r="Z36" s="80">
        <v>1</v>
      </c>
      <c r="AA36" s="246">
        <v>1</v>
      </c>
    </row>
    <row r="37" spans="1:27" x14ac:dyDescent="0.25">
      <c r="A37" s="294">
        <v>1</v>
      </c>
      <c r="B37" s="5">
        <v>1</v>
      </c>
      <c r="C37" s="5">
        <v>-1</v>
      </c>
      <c r="D37" s="13">
        <v>-1</v>
      </c>
      <c r="E37" s="13">
        <f t="shared" ref="E37:E51" si="1">B37*C37</f>
        <v>-1</v>
      </c>
      <c r="F37" s="13">
        <f t="shared" ref="F37:F51" si="2">B37*D37</f>
        <v>-1</v>
      </c>
      <c r="G37" s="13">
        <f t="shared" ref="G37:G51" si="3">C37*D37</f>
        <v>1</v>
      </c>
      <c r="H37" s="247">
        <f t="shared" ref="H37:H51" si="4">B37*C37*D37</f>
        <v>1</v>
      </c>
      <c r="I37" s="10"/>
      <c r="J37" s="10"/>
      <c r="K37" s="15" t="s">
        <v>499</v>
      </c>
      <c r="L37" s="254">
        <v>-1</v>
      </c>
      <c r="M37" s="13">
        <v>1</v>
      </c>
      <c r="N37" s="13">
        <v>-1</v>
      </c>
      <c r="O37" s="13">
        <v>1</v>
      </c>
      <c r="P37" s="13">
        <v>-1</v>
      </c>
      <c r="Q37" s="13">
        <v>1</v>
      </c>
      <c r="R37" s="13">
        <v>-1</v>
      </c>
      <c r="S37" s="13">
        <v>1</v>
      </c>
      <c r="T37" s="13">
        <v>-1</v>
      </c>
      <c r="U37" s="13">
        <v>1</v>
      </c>
      <c r="V37" s="13">
        <v>-1</v>
      </c>
      <c r="W37" s="13">
        <v>1</v>
      </c>
      <c r="X37" s="13">
        <v>-1</v>
      </c>
      <c r="Y37" s="13">
        <v>1</v>
      </c>
      <c r="Z37" s="13">
        <v>-1</v>
      </c>
      <c r="AA37" s="247">
        <v>1</v>
      </c>
    </row>
    <row r="38" spans="1:27" x14ac:dyDescent="0.25">
      <c r="A38" s="294">
        <v>1</v>
      </c>
      <c r="B38" s="5">
        <v>-1</v>
      </c>
      <c r="C38" s="5">
        <v>1</v>
      </c>
      <c r="D38" s="13">
        <v>-1</v>
      </c>
      <c r="E38" s="13">
        <f t="shared" si="1"/>
        <v>-1</v>
      </c>
      <c r="F38" s="13">
        <f t="shared" si="2"/>
        <v>1</v>
      </c>
      <c r="G38" s="13">
        <f t="shared" si="3"/>
        <v>-1</v>
      </c>
      <c r="H38" s="247">
        <f t="shared" si="4"/>
        <v>1</v>
      </c>
      <c r="I38" s="10"/>
      <c r="J38" s="10"/>
      <c r="K38" s="10"/>
      <c r="L38" s="254">
        <v>-1</v>
      </c>
      <c r="M38" s="13">
        <v>-1</v>
      </c>
      <c r="N38" s="13">
        <v>1</v>
      </c>
      <c r="O38" s="13">
        <v>1</v>
      </c>
      <c r="P38" s="13">
        <v>-1</v>
      </c>
      <c r="Q38" s="13">
        <v>-1</v>
      </c>
      <c r="R38" s="13">
        <v>1</v>
      </c>
      <c r="S38" s="13">
        <v>1</v>
      </c>
      <c r="T38" s="13">
        <v>-1</v>
      </c>
      <c r="U38" s="13">
        <v>-1</v>
      </c>
      <c r="V38" s="13">
        <v>1</v>
      </c>
      <c r="W38" s="13">
        <v>1</v>
      </c>
      <c r="X38" s="13">
        <v>-1</v>
      </c>
      <c r="Y38" s="13">
        <v>-1</v>
      </c>
      <c r="Z38" s="13">
        <v>1</v>
      </c>
      <c r="AA38" s="247">
        <v>1</v>
      </c>
    </row>
    <row r="39" spans="1:27" x14ac:dyDescent="0.25">
      <c r="A39" s="294">
        <v>1</v>
      </c>
      <c r="B39" s="5">
        <v>1</v>
      </c>
      <c r="C39" s="5">
        <v>1</v>
      </c>
      <c r="D39" s="13">
        <v>-1</v>
      </c>
      <c r="E39" s="13">
        <f t="shared" si="1"/>
        <v>1</v>
      </c>
      <c r="F39" s="13">
        <f t="shared" si="2"/>
        <v>-1</v>
      </c>
      <c r="G39" s="13">
        <f t="shared" si="3"/>
        <v>-1</v>
      </c>
      <c r="H39" s="247">
        <f t="shared" si="4"/>
        <v>-1</v>
      </c>
      <c r="I39" s="10"/>
      <c r="J39" s="10"/>
      <c r="K39" s="10"/>
      <c r="L39" s="254">
        <v>-1</v>
      </c>
      <c r="M39" s="13">
        <v>-1</v>
      </c>
      <c r="N39" s="13">
        <v>-1</v>
      </c>
      <c r="O39" s="13">
        <v>-1</v>
      </c>
      <c r="P39" s="13">
        <v>1</v>
      </c>
      <c r="Q39" s="13">
        <v>1</v>
      </c>
      <c r="R39" s="13">
        <v>1</v>
      </c>
      <c r="S39" s="13">
        <v>1</v>
      </c>
      <c r="T39" s="13">
        <v>-1</v>
      </c>
      <c r="U39" s="13">
        <v>-1</v>
      </c>
      <c r="V39" s="13">
        <v>-1</v>
      </c>
      <c r="W39" s="13">
        <v>-1</v>
      </c>
      <c r="X39" s="13">
        <v>1</v>
      </c>
      <c r="Y39" s="13">
        <v>1</v>
      </c>
      <c r="Z39" s="13">
        <v>1</v>
      </c>
      <c r="AA39" s="247">
        <v>1</v>
      </c>
    </row>
    <row r="40" spans="1:27" x14ac:dyDescent="0.25">
      <c r="A40" s="294">
        <v>1</v>
      </c>
      <c r="B40" s="5">
        <v>-1</v>
      </c>
      <c r="C40" s="5">
        <v>-1</v>
      </c>
      <c r="D40" s="13">
        <v>1</v>
      </c>
      <c r="E40" s="13">
        <f t="shared" si="1"/>
        <v>1</v>
      </c>
      <c r="F40" s="13">
        <f t="shared" si="2"/>
        <v>-1</v>
      </c>
      <c r="G40" s="13">
        <f t="shared" si="3"/>
        <v>-1</v>
      </c>
      <c r="H40" s="247">
        <f t="shared" si="4"/>
        <v>1</v>
      </c>
      <c r="I40" s="10"/>
      <c r="J40" s="10"/>
      <c r="K40" s="10"/>
      <c r="L40" s="254">
        <v>1</v>
      </c>
      <c r="M40" s="13">
        <v>-1</v>
      </c>
      <c r="N40" s="13">
        <v>-1</v>
      </c>
      <c r="O40" s="13">
        <v>1</v>
      </c>
      <c r="P40" s="13">
        <v>1</v>
      </c>
      <c r="Q40" s="13">
        <v>-1</v>
      </c>
      <c r="R40" s="13">
        <v>-1</v>
      </c>
      <c r="S40" s="13">
        <v>1</v>
      </c>
      <c r="T40" s="13">
        <v>1</v>
      </c>
      <c r="U40" s="13">
        <v>-1</v>
      </c>
      <c r="V40" s="13">
        <v>-1</v>
      </c>
      <c r="W40" s="13">
        <v>1</v>
      </c>
      <c r="X40" s="13">
        <v>1</v>
      </c>
      <c r="Y40" s="13">
        <v>-1</v>
      </c>
      <c r="Z40" s="13">
        <v>-1</v>
      </c>
      <c r="AA40" s="247">
        <v>1</v>
      </c>
    </row>
    <row r="41" spans="1:27" x14ac:dyDescent="0.25">
      <c r="A41" s="294">
        <v>1</v>
      </c>
      <c r="B41" s="5">
        <v>1</v>
      </c>
      <c r="C41" s="5">
        <v>-1</v>
      </c>
      <c r="D41" s="13">
        <v>1</v>
      </c>
      <c r="E41" s="13">
        <f t="shared" si="1"/>
        <v>-1</v>
      </c>
      <c r="F41" s="13">
        <f t="shared" si="2"/>
        <v>1</v>
      </c>
      <c r="G41" s="13">
        <f t="shared" si="3"/>
        <v>-1</v>
      </c>
      <c r="H41" s="247">
        <f t="shared" si="4"/>
        <v>-1</v>
      </c>
      <c r="I41" s="10"/>
      <c r="J41" s="10"/>
      <c r="K41" s="10"/>
      <c r="L41" s="254">
        <v>1</v>
      </c>
      <c r="M41" s="13">
        <v>-1</v>
      </c>
      <c r="N41" s="13">
        <v>1</v>
      </c>
      <c r="O41" s="13">
        <v>-1</v>
      </c>
      <c r="P41" s="13">
        <v>-1</v>
      </c>
      <c r="Q41" s="13">
        <v>1</v>
      </c>
      <c r="R41" s="13">
        <v>-1</v>
      </c>
      <c r="S41" s="13">
        <v>1</v>
      </c>
      <c r="T41" s="13">
        <v>1</v>
      </c>
      <c r="U41" s="13">
        <v>-1</v>
      </c>
      <c r="V41" s="13">
        <v>1</v>
      </c>
      <c r="W41" s="13">
        <v>-1</v>
      </c>
      <c r="X41" s="13">
        <v>-1</v>
      </c>
      <c r="Y41" s="13">
        <v>1</v>
      </c>
      <c r="Z41" s="13">
        <v>-1</v>
      </c>
      <c r="AA41" s="247">
        <v>1</v>
      </c>
    </row>
    <row r="42" spans="1:27" x14ac:dyDescent="0.25">
      <c r="A42" s="294">
        <v>1</v>
      </c>
      <c r="B42" s="5">
        <v>-1</v>
      </c>
      <c r="C42" s="5">
        <v>1</v>
      </c>
      <c r="D42" s="13">
        <v>1</v>
      </c>
      <c r="E42" s="13">
        <f t="shared" si="1"/>
        <v>-1</v>
      </c>
      <c r="F42" s="13">
        <f t="shared" si="2"/>
        <v>-1</v>
      </c>
      <c r="G42" s="13">
        <f t="shared" si="3"/>
        <v>1</v>
      </c>
      <c r="H42" s="247">
        <f t="shared" si="4"/>
        <v>-1</v>
      </c>
      <c r="I42" s="10"/>
      <c r="J42" s="10"/>
      <c r="K42" s="10"/>
      <c r="L42" s="254">
        <v>1</v>
      </c>
      <c r="M42" s="13">
        <v>1</v>
      </c>
      <c r="N42" s="13">
        <v>-1</v>
      </c>
      <c r="O42" s="13">
        <v>-1</v>
      </c>
      <c r="P42" s="13">
        <v>-1</v>
      </c>
      <c r="Q42" s="13">
        <v>-1</v>
      </c>
      <c r="R42" s="13">
        <v>1</v>
      </c>
      <c r="S42" s="13">
        <v>1</v>
      </c>
      <c r="T42" s="13">
        <v>1</v>
      </c>
      <c r="U42" s="13">
        <v>1</v>
      </c>
      <c r="V42" s="13">
        <v>-1</v>
      </c>
      <c r="W42" s="13">
        <v>-1</v>
      </c>
      <c r="X42" s="13">
        <v>-1</v>
      </c>
      <c r="Y42" s="13">
        <v>-1</v>
      </c>
      <c r="Z42" s="13">
        <v>1</v>
      </c>
      <c r="AA42" s="247">
        <v>1</v>
      </c>
    </row>
    <row r="43" spans="1:27" x14ac:dyDescent="0.25">
      <c r="A43" s="294">
        <v>1</v>
      </c>
      <c r="B43" s="5">
        <v>1</v>
      </c>
      <c r="C43" s="5">
        <v>1</v>
      </c>
      <c r="D43" s="13">
        <v>1</v>
      </c>
      <c r="E43" s="13">
        <f t="shared" si="1"/>
        <v>1</v>
      </c>
      <c r="F43" s="13">
        <f t="shared" si="2"/>
        <v>1</v>
      </c>
      <c r="G43" s="13">
        <f t="shared" si="3"/>
        <v>1</v>
      </c>
      <c r="H43" s="247">
        <f t="shared" si="4"/>
        <v>1</v>
      </c>
      <c r="I43" s="10"/>
      <c r="J43" s="10"/>
      <c r="K43" s="10"/>
      <c r="L43" s="255">
        <v>-1</v>
      </c>
      <c r="M43" s="244">
        <v>1</v>
      </c>
      <c r="N43" s="244">
        <v>1</v>
      </c>
      <c r="O43" s="244">
        <v>-1</v>
      </c>
      <c r="P43" s="244">
        <v>1</v>
      </c>
      <c r="Q43" s="244">
        <v>-1</v>
      </c>
      <c r="R43" s="244">
        <v>-1</v>
      </c>
      <c r="S43" s="244">
        <v>1</v>
      </c>
      <c r="T43" s="244">
        <v>-1</v>
      </c>
      <c r="U43" s="244">
        <v>1</v>
      </c>
      <c r="V43" s="244">
        <v>1</v>
      </c>
      <c r="W43" s="244">
        <v>-1</v>
      </c>
      <c r="X43" s="244">
        <v>1</v>
      </c>
      <c r="Y43" s="244">
        <v>-1</v>
      </c>
      <c r="Z43" s="244">
        <v>-1</v>
      </c>
      <c r="AA43" s="248">
        <v>1</v>
      </c>
    </row>
    <row r="44" spans="1:27" x14ac:dyDescent="0.25">
      <c r="A44" s="294">
        <v>1</v>
      </c>
      <c r="B44" s="5">
        <v>-1</v>
      </c>
      <c r="C44" s="5">
        <v>-1</v>
      </c>
      <c r="D44" s="13">
        <v>-1</v>
      </c>
      <c r="E44" s="13">
        <f t="shared" si="1"/>
        <v>1</v>
      </c>
      <c r="F44" s="13">
        <f t="shared" si="2"/>
        <v>1</v>
      </c>
      <c r="G44" s="13">
        <f t="shared" si="3"/>
        <v>1</v>
      </c>
      <c r="H44" s="247">
        <f t="shared" si="4"/>
        <v>-1</v>
      </c>
      <c r="I44" s="10"/>
      <c r="J44" s="10"/>
      <c r="K44" s="10"/>
      <c r="L44" s="10"/>
    </row>
    <row r="45" spans="1:27" x14ac:dyDescent="0.25">
      <c r="A45" s="294">
        <v>1</v>
      </c>
      <c r="B45" s="5">
        <v>1</v>
      </c>
      <c r="C45" s="5">
        <v>-1</v>
      </c>
      <c r="D45" s="13">
        <v>-1</v>
      </c>
      <c r="E45" s="13">
        <f t="shared" si="1"/>
        <v>-1</v>
      </c>
      <c r="F45" s="13">
        <f t="shared" si="2"/>
        <v>-1</v>
      </c>
      <c r="G45" s="13">
        <f t="shared" si="3"/>
        <v>1</v>
      </c>
      <c r="H45" s="247">
        <f t="shared" si="4"/>
        <v>1</v>
      </c>
      <c r="I45" s="10"/>
      <c r="J45" s="10"/>
      <c r="K45" s="10"/>
      <c r="L45" s="10"/>
    </row>
    <row r="46" spans="1:27" x14ac:dyDescent="0.25">
      <c r="A46" s="294">
        <v>1</v>
      </c>
      <c r="B46" s="5">
        <v>-1</v>
      </c>
      <c r="C46" s="5">
        <v>1</v>
      </c>
      <c r="D46" s="13">
        <v>-1</v>
      </c>
      <c r="E46" s="13">
        <f t="shared" si="1"/>
        <v>-1</v>
      </c>
      <c r="F46" s="13">
        <f t="shared" si="2"/>
        <v>1</v>
      </c>
      <c r="G46" s="13">
        <f t="shared" si="3"/>
        <v>-1</v>
      </c>
      <c r="H46" s="247">
        <f t="shared" si="4"/>
        <v>1</v>
      </c>
      <c r="I46" s="10"/>
      <c r="J46" s="10"/>
      <c r="K46" s="10"/>
      <c r="L46" s="10"/>
    </row>
    <row r="47" spans="1:27" x14ac:dyDescent="0.25">
      <c r="A47" s="294">
        <v>1</v>
      </c>
      <c r="B47" s="5">
        <v>1</v>
      </c>
      <c r="C47" s="5">
        <v>1</v>
      </c>
      <c r="D47" s="13">
        <v>-1</v>
      </c>
      <c r="E47" s="13">
        <f t="shared" si="1"/>
        <v>1</v>
      </c>
      <c r="F47" s="13">
        <f t="shared" si="2"/>
        <v>-1</v>
      </c>
      <c r="G47" s="13">
        <f t="shared" si="3"/>
        <v>-1</v>
      </c>
      <c r="H47" s="247">
        <f t="shared" si="4"/>
        <v>-1</v>
      </c>
      <c r="I47" s="10"/>
      <c r="J47" s="10"/>
      <c r="K47" s="10"/>
      <c r="L47" s="10"/>
    </row>
    <row r="48" spans="1:27" x14ac:dyDescent="0.25">
      <c r="A48" s="294">
        <v>1</v>
      </c>
      <c r="B48" s="5">
        <v>-1</v>
      </c>
      <c r="C48" s="5">
        <v>-1</v>
      </c>
      <c r="D48" s="13">
        <v>1</v>
      </c>
      <c r="E48" s="13">
        <f t="shared" si="1"/>
        <v>1</v>
      </c>
      <c r="F48" s="13">
        <f t="shared" si="2"/>
        <v>-1</v>
      </c>
      <c r="G48" s="13">
        <f t="shared" si="3"/>
        <v>-1</v>
      </c>
      <c r="H48" s="247">
        <f t="shared" si="4"/>
        <v>1</v>
      </c>
      <c r="I48" s="10"/>
      <c r="J48" s="10"/>
      <c r="K48" s="10"/>
      <c r="L48" s="10"/>
    </row>
    <row r="49" spans="1:13" x14ac:dyDescent="0.25">
      <c r="A49" s="294">
        <v>1</v>
      </c>
      <c r="B49" s="5">
        <v>1</v>
      </c>
      <c r="C49" s="5">
        <v>-1</v>
      </c>
      <c r="D49" s="13">
        <v>1</v>
      </c>
      <c r="E49" s="13">
        <f t="shared" si="1"/>
        <v>-1</v>
      </c>
      <c r="F49" s="13">
        <f t="shared" si="2"/>
        <v>1</v>
      </c>
      <c r="G49" s="13">
        <f t="shared" si="3"/>
        <v>-1</v>
      </c>
      <c r="H49" s="247">
        <f t="shared" si="4"/>
        <v>-1</v>
      </c>
      <c r="I49" s="10"/>
      <c r="J49" s="10"/>
      <c r="K49" s="10"/>
      <c r="L49" s="10"/>
    </row>
    <row r="50" spans="1:13" x14ac:dyDescent="0.25">
      <c r="A50" s="294">
        <v>1</v>
      </c>
      <c r="B50" s="5">
        <v>-1</v>
      </c>
      <c r="C50" s="5">
        <v>1</v>
      </c>
      <c r="D50" s="13">
        <v>1</v>
      </c>
      <c r="E50" s="13">
        <f t="shared" si="1"/>
        <v>-1</v>
      </c>
      <c r="F50" s="13">
        <f t="shared" si="2"/>
        <v>-1</v>
      </c>
      <c r="G50" s="13">
        <f t="shared" si="3"/>
        <v>1</v>
      </c>
      <c r="H50" s="247">
        <f t="shared" si="4"/>
        <v>-1</v>
      </c>
      <c r="I50" s="57"/>
      <c r="J50" s="57"/>
      <c r="K50" s="10"/>
      <c r="L50" s="10"/>
    </row>
    <row r="51" spans="1:13" x14ac:dyDescent="0.25">
      <c r="A51" s="295">
        <v>1</v>
      </c>
      <c r="B51" s="292">
        <v>1</v>
      </c>
      <c r="C51" s="292">
        <v>1</v>
      </c>
      <c r="D51" s="244">
        <v>1</v>
      </c>
      <c r="E51" s="244">
        <f t="shared" si="1"/>
        <v>1</v>
      </c>
      <c r="F51" s="244">
        <f t="shared" si="2"/>
        <v>1</v>
      </c>
      <c r="G51" s="244">
        <f t="shared" si="3"/>
        <v>1</v>
      </c>
      <c r="H51" s="248">
        <f t="shared" si="4"/>
        <v>1</v>
      </c>
      <c r="I51" s="48" t="s">
        <v>500</v>
      </c>
      <c r="J51" s="48"/>
      <c r="K51" s="10"/>
      <c r="L51" s="72"/>
      <c r="M51" s="73"/>
    </row>
    <row r="52" spans="1:13" x14ac:dyDescent="0.25">
      <c r="A52" s="10"/>
      <c r="B52" s="48"/>
      <c r="C52" s="48"/>
      <c r="D52" s="48"/>
      <c r="E52" s="48"/>
      <c r="F52" s="48"/>
      <c r="G52" s="48"/>
      <c r="H52" s="48"/>
      <c r="I52" s="48"/>
      <c r="J52" s="48"/>
      <c r="K52" s="10"/>
      <c r="L52" s="72"/>
      <c r="M52" s="73"/>
    </row>
    <row r="53" spans="1:13" x14ac:dyDescent="0.25">
      <c r="A53" s="10"/>
      <c r="B53" s="48"/>
      <c r="C53" s="48"/>
      <c r="D53" s="48"/>
      <c r="E53" s="48"/>
      <c r="F53" s="48" t="s">
        <v>501</v>
      </c>
      <c r="G53" s="48"/>
      <c r="H53" s="48"/>
      <c r="I53" s="48"/>
      <c r="J53" s="48"/>
      <c r="K53" s="10"/>
      <c r="L53" s="10"/>
    </row>
    <row r="54" spans="1:13" x14ac:dyDescent="0.25">
      <c r="A54" s="10"/>
      <c r="B54" s="98" t="s">
        <v>59</v>
      </c>
      <c r="C54" s="296">
        <f t="array" ref="C54:C61">MMULT(L36:AA43,E11:E26)</f>
        <v>1097</v>
      </c>
      <c r="D54" s="48"/>
      <c r="E54" s="98" t="s">
        <v>502</v>
      </c>
      <c r="F54" s="299">
        <f>C54/16</f>
        <v>68.5625</v>
      </c>
      <c r="H54" s="300" t="s">
        <v>503</v>
      </c>
      <c r="I54" s="48"/>
      <c r="J54" s="301" t="s">
        <v>504</v>
      </c>
      <c r="K54" s="98" t="s">
        <v>505</v>
      </c>
      <c r="L54" s="364">
        <f>F54+F56*(-50/10)+F57*(-75/45)+F60*(-50/10)*(-75/45)</f>
        <v>51.999999999999993</v>
      </c>
    </row>
    <row r="55" spans="1:13" x14ac:dyDescent="0.25">
      <c r="A55" s="10"/>
      <c r="B55" s="48"/>
      <c r="C55" s="297">
        <v>165</v>
      </c>
      <c r="D55" s="48"/>
      <c r="E55" s="98" t="s">
        <v>506</v>
      </c>
      <c r="F55" s="302">
        <f t="shared" ref="F55:F61" si="5">C55/16</f>
        <v>10.3125</v>
      </c>
      <c r="G55" s="3" t="s">
        <v>419</v>
      </c>
      <c r="H55" s="48">
        <v>20.625</v>
      </c>
      <c r="I55" s="98" t="s">
        <v>506</v>
      </c>
      <c r="J55" s="303">
        <f>H55/2</f>
        <v>10.3125</v>
      </c>
      <c r="K55" s="98" t="s">
        <v>507</v>
      </c>
      <c r="L55" s="365">
        <f>F55+F58*(-50/10)+F59*(-75/45)+F61*(-50/10)*(-75/45)</f>
        <v>-42.5</v>
      </c>
    </row>
    <row r="56" spans="1:13" x14ac:dyDescent="0.25">
      <c r="A56" s="10"/>
      <c r="B56" s="48"/>
      <c r="C56" s="297">
        <v>-49</v>
      </c>
      <c r="D56" s="48"/>
      <c r="E56" s="98" t="s">
        <v>508</v>
      </c>
      <c r="F56" s="302">
        <f t="shared" si="5"/>
        <v>-3.0625</v>
      </c>
      <c r="G56" s="3" t="s">
        <v>420</v>
      </c>
      <c r="H56" s="10">
        <v>-6.125</v>
      </c>
      <c r="I56" s="98" t="s">
        <v>508</v>
      </c>
      <c r="J56" s="303">
        <f t="shared" ref="J56:J61" si="6">H56/2</f>
        <v>-3.0625</v>
      </c>
      <c r="K56" s="98" t="s">
        <v>509</v>
      </c>
      <c r="L56" s="365">
        <f>F56/10+F60/10*((-75/45))</f>
        <v>1.6666666666666663E-2</v>
      </c>
    </row>
    <row r="57" spans="1:13" x14ac:dyDescent="0.25">
      <c r="A57" s="10"/>
      <c r="B57" s="48"/>
      <c r="C57" s="297">
        <v>151</v>
      </c>
      <c r="D57" s="48"/>
      <c r="E57" s="98" t="s">
        <v>510</v>
      </c>
      <c r="F57" s="302">
        <f t="shared" si="5"/>
        <v>9.4375</v>
      </c>
      <c r="G57" s="3" t="s">
        <v>511</v>
      </c>
      <c r="H57">
        <v>18.875</v>
      </c>
      <c r="I57" s="98" t="s">
        <v>510</v>
      </c>
      <c r="J57" s="303">
        <f t="shared" si="6"/>
        <v>9.4375</v>
      </c>
      <c r="K57" s="98" t="s">
        <v>512</v>
      </c>
      <c r="L57" s="365">
        <f>F57/45+F60*(-50/10)/45</f>
        <v>0.42500000000000004</v>
      </c>
    </row>
    <row r="58" spans="1:13" x14ac:dyDescent="0.25">
      <c r="A58" s="10"/>
      <c r="B58" s="48"/>
      <c r="C58" s="297">
        <v>91</v>
      </c>
      <c r="D58" s="48"/>
      <c r="E58" s="98" t="s">
        <v>513</v>
      </c>
      <c r="F58" s="302">
        <f t="shared" si="5"/>
        <v>5.6875</v>
      </c>
      <c r="G58" s="3" t="s">
        <v>514</v>
      </c>
      <c r="H58">
        <v>11.375</v>
      </c>
      <c r="I58" s="98" t="s">
        <v>513</v>
      </c>
      <c r="J58" s="303">
        <f t="shared" si="6"/>
        <v>5.6875</v>
      </c>
      <c r="K58" s="98" t="s">
        <v>515</v>
      </c>
      <c r="L58" s="365">
        <f>F58/10+F61*(-75)/(10*45)</f>
        <v>1.0166666666666666</v>
      </c>
    </row>
    <row r="59" spans="1:13" x14ac:dyDescent="0.25">
      <c r="A59" s="10"/>
      <c r="B59" s="10"/>
      <c r="C59" s="251">
        <v>19</v>
      </c>
      <c r="D59" s="10"/>
      <c r="E59" s="98" t="s">
        <v>516</v>
      </c>
      <c r="F59" s="302">
        <f t="shared" si="5"/>
        <v>1.1875</v>
      </c>
      <c r="G59" s="3" t="s">
        <v>517</v>
      </c>
      <c r="H59">
        <v>2.375</v>
      </c>
      <c r="I59" s="98" t="s">
        <v>516</v>
      </c>
      <c r="J59" s="303">
        <f t="shared" si="6"/>
        <v>1.1875</v>
      </c>
      <c r="K59" s="98" t="s">
        <v>518</v>
      </c>
      <c r="L59" s="365">
        <f>F59/45+F61*(-50)/(10*45)</f>
        <v>0.32500000000000001</v>
      </c>
    </row>
    <row r="60" spans="1:13" x14ac:dyDescent="0.25">
      <c r="A60" s="10"/>
      <c r="B60" s="10"/>
      <c r="C60" s="251">
        <v>-31</v>
      </c>
      <c r="D60" s="10"/>
      <c r="E60" s="98" t="s">
        <v>519</v>
      </c>
      <c r="F60" s="302">
        <f t="shared" si="5"/>
        <v>-1.9375</v>
      </c>
      <c r="G60" s="3" t="s">
        <v>520</v>
      </c>
      <c r="H60">
        <v>-3.875</v>
      </c>
      <c r="I60" s="98" t="s">
        <v>519</v>
      </c>
      <c r="J60" s="303">
        <f t="shared" si="6"/>
        <v>-1.9375</v>
      </c>
      <c r="K60" s="98" t="s">
        <v>521</v>
      </c>
      <c r="L60" s="365">
        <f>F60/(10*45)</f>
        <v>-4.3055555555555555E-3</v>
      </c>
    </row>
    <row r="61" spans="1:13" x14ac:dyDescent="0.25">
      <c r="A61" s="10"/>
      <c r="B61" s="10"/>
      <c r="C61" s="298">
        <v>-43</v>
      </c>
      <c r="D61" s="304" t="s">
        <v>430</v>
      </c>
      <c r="E61" s="98" t="s">
        <v>522</v>
      </c>
      <c r="F61" s="305">
        <f t="shared" si="5"/>
        <v>-2.6875</v>
      </c>
      <c r="G61" s="3" t="s">
        <v>523</v>
      </c>
      <c r="H61">
        <v>-5.375</v>
      </c>
      <c r="I61" s="98" t="s">
        <v>522</v>
      </c>
      <c r="J61" s="303">
        <f t="shared" si="6"/>
        <v>-2.6875</v>
      </c>
      <c r="K61" s="98" t="s">
        <v>524</v>
      </c>
      <c r="L61" s="365">
        <f>F61/10/45</f>
        <v>-5.9722222222222216E-3</v>
      </c>
    </row>
    <row r="62" spans="1:13" x14ac:dyDescent="0.25">
      <c r="A62" s="10"/>
      <c r="B62" s="10"/>
      <c r="C62" s="10"/>
      <c r="D62" s="10"/>
      <c r="E62" s="10"/>
      <c r="F62" s="10"/>
      <c r="H62" s="10"/>
      <c r="I62" s="10"/>
      <c r="J62" s="10"/>
      <c r="K62" s="10"/>
      <c r="L62" s="10"/>
    </row>
    <row r="63" spans="1:13" x14ac:dyDescent="0.25">
      <c r="A63" s="10"/>
      <c r="B63" s="10"/>
      <c r="C63" s="10"/>
      <c r="D63" s="10"/>
      <c r="E63" s="10"/>
      <c r="F63" s="10"/>
      <c r="H63" s="10"/>
      <c r="I63" s="10"/>
      <c r="J63" s="10"/>
      <c r="K63" s="10"/>
      <c r="L63" s="10"/>
    </row>
    <row r="64" spans="1:13" x14ac:dyDescent="0.25">
      <c r="A64" s="10"/>
      <c r="B64" s="10"/>
      <c r="C64" s="10"/>
      <c r="D64" s="10"/>
      <c r="E64" s="10"/>
      <c r="F64" s="10"/>
      <c r="H64" s="10"/>
      <c r="I64" s="10"/>
      <c r="J64" s="10"/>
      <c r="K64" s="10"/>
      <c r="L64" s="10"/>
    </row>
    <row r="65" spans="1:19" x14ac:dyDescent="0.25">
      <c r="A65" s="10" t="s">
        <v>525</v>
      </c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</row>
    <row r="66" spans="1:19" x14ac:dyDescent="0.25">
      <c r="A66" s="10" t="s">
        <v>622</v>
      </c>
      <c r="B66" s="57"/>
      <c r="C66" s="57"/>
      <c r="D66" s="57"/>
      <c r="E66" s="10"/>
      <c r="F66" s="10"/>
      <c r="G66" s="10"/>
      <c r="H66" s="10"/>
      <c r="I66" s="10"/>
      <c r="J66" s="10"/>
      <c r="K66" s="10"/>
      <c r="L66" s="10"/>
    </row>
    <row r="67" spans="1:19" x14ac:dyDescent="0.25">
      <c r="A67" s="10"/>
      <c r="B67" s="13" t="s">
        <v>13</v>
      </c>
      <c r="C67" s="5" t="s">
        <v>14</v>
      </c>
      <c r="D67" s="13" t="s">
        <v>481</v>
      </c>
      <c r="E67" s="13" t="s">
        <v>202</v>
      </c>
      <c r="F67" s="5" t="s">
        <v>482</v>
      </c>
      <c r="G67" s="5" t="s">
        <v>483</v>
      </c>
      <c r="H67" s="5" t="s">
        <v>484</v>
      </c>
      <c r="I67" s="5" t="s">
        <v>203</v>
      </c>
      <c r="J67" s="10"/>
      <c r="K67" s="54"/>
      <c r="L67" s="54"/>
      <c r="M67" s="54"/>
      <c r="N67" s="54"/>
      <c r="O67" s="54"/>
      <c r="P67" s="54"/>
      <c r="Q67" s="54"/>
      <c r="R67" s="54"/>
      <c r="S67" s="54"/>
    </row>
    <row r="68" spans="1:19" x14ac:dyDescent="0.25">
      <c r="A68" s="10"/>
      <c r="B68" s="18">
        <f>B36</f>
        <v>-1</v>
      </c>
      <c r="C68" s="32">
        <f t="shared" ref="C68:H68" si="7">C36</f>
        <v>-1</v>
      </c>
      <c r="D68" s="32">
        <f t="shared" si="7"/>
        <v>-1</v>
      </c>
      <c r="E68" s="32">
        <f t="shared" si="7"/>
        <v>1</v>
      </c>
      <c r="F68" s="32">
        <f t="shared" si="7"/>
        <v>1</v>
      </c>
      <c r="G68" s="32">
        <f t="shared" si="7"/>
        <v>1</v>
      </c>
      <c r="H68" s="32">
        <f t="shared" si="7"/>
        <v>-1</v>
      </c>
      <c r="I68" s="50">
        <f>E11</f>
        <v>60</v>
      </c>
      <c r="J68" s="10"/>
      <c r="K68" s="54"/>
      <c r="L68" s="54"/>
      <c r="M68" s="54"/>
      <c r="N68" s="54"/>
      <c r="O68" s="54"/>
      <c r="P68" s="54"/>
      <c r="Q68" s="54"/>
      <c r="R68" s="54"/>
      <c r="S68" s="54"/>
    </row>
    <row r="69" spans="1:19" x14ac:dyDescent="0.25">
      <c r="A69" s="10"/>
      <c r="B69" s="20">
        <f t="shared" ref="B69:H83" si="8">B37</f>
        <v>1</v>
      </c>
      <c r="C69" s="23">
        <f t="shared" si="8"/>
        <v>-1</v>
      </c>
      <c r="D69" s="23">
        <f t="shared" si="8"/>
        <v>-1</v>
      </c>
      <c r="E69" s="23">
        <f t="shared" si="8"/>
        <v>-1</v>
      </c>
      <c r="F69" s="23">
        <f t="shared" si="8"/>
        <v>-1</v>
      </c>
      <c r="G69" s="23">
        <f t="shared" si="8"/>
        <v>1</v>
      </c>
      <c r="H69" s="23">
        <f t="shared" si="8"/>
        <v>1</v>
      </c>
      <c r="I69" s="51">
        <f t="shared" ref="I69:I83" si="9">E12</f>
        <v>60</v>
      </c>
      <c r="J69" s="10"/>
      <c r="K69" s="56"/>
      <c r="L69" s="56"/>
      <c r="M69" s="54"/>
      <c r="N69" s="54"/>
      <c r="O69" s="54"/>
      <c r="P69" s="54"/>
      <c r="Q69" s="54"/>
      <c r="R69" s="54"/>
      <c r="S69" s="54"/>
    </row>
    <row r="70" spans="1:19" x14ac:dyDescent="0.25">
      <c r="A70" s="10"/>
      <c r="B70" s="20">
        <f t="shared" si="8"/>
        <v>-1</v>
      </c>
      <c r="C70" s="23">
        <f t="shared" si="8"/>
        <v>1</v>
      </c>
      <c r="D70" s="23">
        <f t="shared" si="8"/>
        <v>-1</v>
      </c>
      <c r="E70" s="23">
        <f t="shared" si="8"/>
        <v>-1</v>
      </c>
      <c r="F70" s="23">
        <f t="shared" si="8"/>
        <v>1</v>
      </c>
      <c r="G70" s="23">
        <f t="shared" si="8"/>
        <v>-1</v>
      </c>
      <c r="H70" s="23">
        <f t="shared" si="8"/>
        <v>1</v>
      </c>
      <c r="I70" s="51">
        <f t="shared" si="9"/>
        <v>42</v>
      </c>
      <c r="J70" s="10"/>
      <c r="K70" s="48"/>
      <c r="L70" s="48"/>
      <c r="M70" s="54"/>
      <c r="N70" s="54"/>
      <c r="O70" s="54"/>
      <c r="P70" s="54"/>
      <c r="Q70" s="54"/>
      <c r="R70" s="54"/>
      <c r="S70" s="54"/>
    </row>
    <row r="71" spans="1:19" x14ac:dyDescent="0.25">
      <c r="A71" s="10"/>
      <c r="B71" s="20">
        <f t="shared" si="8"/>
        <v>1</v>
      </c>
      <c r="C71" s="23">
        <f t="shared" si="8"/>
        <v>1</v>
      </c>
      <c r="D71" s="23">
        <f t="shared" si="8"/>
        <v>-1</v>
      </c>
      <c r="E71" s="23">
        <f t="shared" si="8"/>
        <v>1</v>
      </c>
      <c r="F71" s="23">
        <f t="shared" si="8"/>
        <v>-1</v>
      </c>
      <c r="G71" s="23">
        <f t="shared" si="8"/>
        <v>-1</v>
      </c>
      <c r="H71" s="23">
        <f t="shared" si="8"/>
        <v>-1</v>
      </c>
      <c r="I71" s="51">
        <f t="shared" si="9"/>
        <v>75</v>
      </c>
      <c r="J71" s="10"/>
      <c r="K71" s="48"/>
      <c r="L71" s="48"/>
      <c r="M71" s="54"/>
      <c r="N71" s="54"/>
      <c r="O71" s="54"/>
      <c r="P71" s="54"/>
      <c r="Q71" s="54"/>
      <c r="R71" s="54"/>
      <c r="S71" s="54"/>
    </row>
    <row r="72" spans="1:19" x14ac:dyDescent="0.25">
      <c r="A72" s="10"/>
      <c r="B72" s="20">
        <f t="shared" si="8"/>
        <v>-1</v>
      </c>
      <c r="C72" s="23">
        <f t="shared" si="8"/>
        <v>-1</v>
      </c>
      <c r="D72" s="23">
        <f t="shared" si="8"/>
        <v>1</v>
      </c>
      <c r="E72" s="23">
        <f t="shared" si="8"/>
        <v>1</v>
      </c>
      <c r="F72" s="23">
        <f t="shared" si="8"/>
        <v>-1</v>
      </c>
      <c r="G72" s="23">
        <f t="shared" si="8"/>
        <v>-1</v>
      </c>
      <c r="H72" s="23">
        <f t="shared" si="8"/>
        <v>1</v>
      </c>
      <c r="I72" s="51">
        <f t="shared" si="9"/>
        <v>73</v>
      </c>
      <c r="J72" s="10"/>
      <c r="K72" s="48"/>
      <c r="L72" s="48"/>
      <c r="M72" s="54"/>
      <c r="N72" s="54"/>
      <c r="O72" s="54"/>
      <c r="P72" s="54"/>
      <c r="Q72" s="54"/>
      <c r="R72" s="54"/>
      <c r="S72" s="54"/>
    </row>
    <row r="73" spans="1:19" x14ac:dyDescent="0.25">
      <c r="A73" s="10"/>
      <c r="B73" s="20">
        <f t="shared" si="8"/>
        <v>1</v>
      </c>
      <c r="C73" s="23">
        <f t="shared" si="8"/>
        <v>-1</v>
      </c>
      <c r="D73" s="23">
        <f t="shared" si="8"/>
        <v>1</v>
      </c>
      <c r="E73" s="23">
        <f t="shared" si="8"/>
        <v>-1</v>
      </c>
      <c r="F73" s="23">
        <f t="shared" si="8"/>
        <v>1</v>
      </c>
      <c r="G73" s="23">
        <f t="shared" si="8"/>
        <v>-1</v>
      </c>
      <c r="H73" s="23">
        <f t="shared" si="8"/>
        <v>-1</v>
      </c>
      <c r="I73" s="51">
        <f t="shared" si="9"/>
        <v>92</v>
      </c>
      <c r="J73" s="10"/>
      <c r="K73" s="48"/>
      <c r="L73" s="48"/>
      <c r="M73" s="54"/>
      <c r="N73" s="54"/>
      <c r="O73" s="54"/>
      <c r="P73" s="54"/>
      <c r="Q73" s="54"/>
      <c r="R73" s="54"/>
      <c r="S73" s="54"/>
    </row>
    <row r="74" spans="1:19" x14ac:dyDescent="0.25">
      <c r="A74" s="10"/>
      <c r="B74" s="20">
        <f t="shared" si="8"/>
        <v>-1</v>
      </c>
      <c r="C74" s="23">
        <f t="shared" si="8"/>
        <v>1</v>
      </c>
      <c r="D74" s="23">
        <f t="shared" si="8"/>
        <v>1</v>
      </c>
      <c r="E74" s="23">
        <f t="shared" si="8"/>
        <v>-1</v>
      </c>
      <c r="F74" s="23">
        <f t="shared" si="8"/>
        <v>-1</v>
      </c>
      <c r="G74" s="23">
        <f t="shared" si="8"/>
        <v>1</v>
      </c>
      <c r="H74" s="23">
        <f t="shared" si="8"/>
        <v>-1</v>
      </c>
      <c r="I74" s="51">
        <f t="shared" si="9"/>
        <v>59</v>
      </c>
      <c r="J74" s="10"/>
      <c r="K74" s="48"/>
      <c r="L74" s="48"/>
      <c r="M74" s="54"/>
      <c r="N74" s="54"/>
      <c r="O74" s="54"/>
      <c r="P74" s="54"/>
      <c r="Q74" s="54"/>
      <c r="R74" s="54"/>
      <c r="S74" s="54"/>
    </row>
    <row r="75" spans="1:19" x14ac:dyDescent="0.25">
      <c r="A75" s="10"/>
      <c r="B75" s="20">
        <f t="shared" si="8"/>
        <v>1</v>
      </c>
      <c r="C75" s="23">
        <f t="shared" si="8"/>
        <v>1</v>
      </c>
      <c r="D75" s="23">
        <f t="shared" si="8"/>
        <v>1</v>
      </c>
      <c r="E75" s="23">
        <f t="shared" si="8"/>
        <v>1</v>
      </c>
      <c r="F75" s="23">
        <f t="shared" si="8"/>
        <v>1</v>
      </c>
      <c r="G75" s="23">
        <f t="shared" si="8"/>
        <v>1</v>
      </c>
      <c r="H75" s="23">
        <f t="shared" si="8"/>
        <v>1</v>
      </c>
      <c r="I75" s="51">
        <f t="shared" si="9"/>
        <v>87</v>
      </c>
      <c r="J75" s="10"/>
      <c r="K75" s="54"/>
      <c r="L75" s="54"/>
      <c r="M75" s="54"/>
      <c r="N75" s="54"/>
      <c r="O75" s="54"/>
      <c r="P75" s="54"/>
      <c r="Q75" s="54"/>
      <c r="R75" s="54"/>
      <c r="S75" s="54"/>
    </row>
    <row r="76" spans="1:19" x14ac:dyDescent="0.25">
      <c r="A76" s="10"/>
      <c r="B76" s="20">
        <f t="shared" si="8"/>
        <v>-1</v>
      </c>
      <c r="C76" s="23">
        <f t="shared" si="8"/>
        <v>-1</v>
      </c>
      <c r="D76" s="23">
        <f t="shared" si="8"/>
        <v>-1</v>
      </c>
      <c r="E76" s="23">
        <f t="shared" si="8"/>
        <v>1</v>
      </c>
      <c r="F76" s="23">
        <f t="shared" si="8"/>
        <v>1</v>
      </c>
      <c r="G76" s="23">
        <f t="shared" si="8"/>
        <v>1</v>
      </c>
      <c r="H76" s="23">
        <f t="shared" si="8"/>
        <v>-1</v>
      </c>
      <c r="I76" s="51">
        <f t="shared" si="9"/>
        <v>59</v>
      </c>
      <c r="J76" s="10"/>
      <c r="K76" s="54"/>
      <c r="L76" s="54"/>
      <c r="M76" s="54"/>
      <c r="N76" s="54"/>
      <c r="O76" s="54"/>
      <c r="P76" s="54"/>
      <c r="Q76" s="54"/>
      <c r="R76" s="54"/>
      <c r="S76" s="54"/>
    </row>
    <row r="77" spans="1:19" x14ac:dyDescent="0.25">
      <c r="A77" s="10"/>
      <c r="B77" s="20">
        <f t="shared" si="8"/>
        <v>1</v>
      </c>
      <c r="C77" s="23">
        <f t="shared" si="8"/>
        <v>-1</v>
      </c>
      <c r="D77" s="23">
        <f t="shared" si="8"/>
        <v>-1</v>
      </c>
      <c r="E77" s="23">
        <f t="shared" si="8"/>
        <v>-1</v>
      </c>
      <c r="F77" s="23">
        <f t="shared" si="8"/>
        <v>-1</v>
      </c>
      <c r="G77" s="23">
        <f t="shared" si="8"/>
        <v>1</v>
      </c>
      <c r="H77" s="23">
        <f t="shared" si="8"/>
        <v>1</v>
      </c>
      <c r="I77" s="51">
        <f t="shared" si="9"/>
        <v>62</v>
      </c>
      <c r="J77" s="10"/>
      <c r="K77" s="57"/>
      <c r="L77" s="57"/>
      <c r="M77" s="57"/>
      <c r="N77" s="57"/>
      <c r="O77" s="57"/>
      <c r="P77" s="57"/>
      <c r="Q77" s="54"/>
      <c r="R77" s="54"/>
      <c r="S77" s="54"/>
    </row>
    <row r="78" spans="1:19" x14ac:dyDescent="0.25">
      <c r="A78" s="10"/>
      <c r="B78" s="20">
        <f t="shared" si="8"/>
        <v>-1</v>
      </c>
      <c r="C78" s="23">
        <f t="shared" si="8"/>
        <v>1</v>
      </c>
      <c r="D78" s="23">
        <f t="shared" si="8"/>
        <v>-1</v>
      </c>
      <c r="E78" s="23">
        <f t="shared" si="8"/>
        <v>-1</v>
      </c>
      <c r="F78" s="23">
        <f t="shared" si="8"/>
        <v>1</v>
      </c>
      <c r="G78" s="23">
        <f t="shared" si="8"/>
        <v>-1</v>
      </c>
      <c r="H78" s="23">
        <f t="shared" si="8"/>
        <v>1</v>
      </c>
      <c r="I78" s="51">
        <f t="shared" si="9"/>
        <v>39</v>
      </c>
      <c r="J78" s="10"/>
      <c r="K78" s="48"/>
      <c r="L78" s="48"/>
      <c r="M78" s="48"/>
      <c r="N78" s="48"/>
      <c r="O78" s="48"/>
      <c r="P78" s="48"/>
      <c r="Q78" s="54"/>
      <c r="R78" s="54"/>
      <c r="S78" s="54"/>
    </row>
    <row r="79" spans="1:19" x14ac:dyDescent="0.25">
      <c r="A79" s="10"/>
      <c r="B79" s="20">
        <f t="shared" si="8"/>
        <v>1</v>
      </c>
      <c r="C79" s="23">
        <f t="shared" si="8"/>
        <v>1</v>
      </c>
      <c r="D79" s="23">
        <f t="shared" si="8"/>
        <v>-1</v>
      </c>
      <c r="E79" s="23">
        <f t="shared" si="8"/>
        <v>1</v>
      </c>
      <c r="F79" s="23">
        <f t="shared" si="8"/>
        <v>-1</v>
      </c>
      <c r="G79" s="23">
        <f t="shared" si="8"/>
        <v>-1</v>
      </c>
      <c r="H79" s="23">
        <f t="shared" si="8"/>
        <v>-1</v>
      </c>
      <c r="I79" s="51">
        <f t="shared" si="9"/>
        <v>76</v>
      </c>
      <c r="J79" s="10"/>
      <c r="K79" s="48"/>
      <c r="L79" s="48"/>
      <c r="M79" s="48"/>
      <c r="N79" s="48"/>
      <c r="O79" s="48"/>
      <c r="P79" s="48"/>
      <c r="Q79" s="54"/>
      <c r="R79" s="54"/>
      <c r="S79" s="54"/>
    </row>
    <row r="80" spans="1:19" x14ac:dyDescent="0.25">
      <c r="A80" s="10"/>
      <c r="B80" s="20">
        <f t="shared" si="8"/>
        <v>-1</v>
      </c>
      <c r="C80" s="23">
        <f t="shared" si="8"/>
        <v>-1</v>
      </c>
      <c r="D80" s="23">
        <f t="shared" si="8"/>
        <v>1</v>
      </c>
      <c r="E80" s="23">
        <f t="shared" si="8"/>
        <v>1</v>
      </c>
      <c r="F80" s="23">
        <f t="shared" si="8"/>
        <v>-1</v>
      </c>
      <c r="G80" s="23">
        <f t="shared" si="8"/>
        <v>-1</v>
      </c>
      <c r="H80" s="23">
        <f t="shared" si="8"/>
        <v>1</v>
      </c>
      <c r="I80" s="51">
        <f t="shared" si="9"/>
        <v>76</v>
      </c>
      <c r="J80" s="10"/>
      <c r="K80" s="48"/>
      <c r="L80" s="48"/>
      <c r="M80" s="48"/>
      <c r="N80" s="48"/>
      <c r="O80" s="48"/>
      <c r="P80" s="48"/>
      <c r="Q80" s="54"/>
      <c r="R80" s="54"/>
      <c r="S80" s="54"/>
    </row>
    <row r="81" spans="1:19" x14ac:dyDescent="0.25">
      <c r="A81" s="10"/>
      <c r="B81" s="20">
        <f t="shared" si="8"/>
        <v>1</v>
      </c>
      <c r="C81" s="23">
        <f t="shared" si="8"/>
        <v>-1</v>
      </c>
      <c r="D81" s="23">
        <f t="shared" si="8"/>
        <v>1</v>
      </c>
      <c r="E81" s="23">
        <f t="shared" si="8"/>
        <v>-1</v>
      </c>
      <c r="F81" s="23">
        <f t="shared" si="8"/>
        <v>1</v>
      </c>
      <c r="G81" s="23">
        <f t="shared" si="8"/>
        <v>-1</v>
      </c>
      <c r="H81" s="23">
        <f t="shared" si="8"/>
        <v>-1</v>
      </c>
      <c r="I81" s="51">
        <f t="shared" si="9"/>
        <v>91</v>
      </c>
      <c r="J81" s="10"/>
      <c r="K81" s="54"/>
      <c r="L81" s="54"/>
      <c r="M81" s="54"/>
      <c r="N81" s="54"/>
      <c r="O81" s="54"/>
      <c r="P81" s="54"/>
      <c r="Q81" s="54"/>
      <c r="R81" s="54"/>
      <c r="S81" s="54"/>
    </row>
    <row r="82" spans="1:19" x14ac:dyDescent="0.25">
      <c r="A82" s="10"/>
      <c r="B82" s="20">
        <f t="shared" si="8"/>
        <v>-1</v>
      </c>
      <c r="C82" s="23">
        <f t="shared" si="8"/>
        <v>1</v>
      </c>
      <c r="D82" s="23">
        <f t="shared" si="8"/>
        <v>1</v>
      </c>
      <c r="E82" s="23">
        <f t="shared" si="8"/>
        <v>-1</v>
      </c>
      <c r="F82" s="23">
        <f t="shared" si="8"/>
        <v>-1</v>
      </c>
      <c r="G82" s="23">
        <f t="shared" si="8"/>
        <v>1</v>
      </c>
      <c r="H82" s="23">
        <f t="shared" si="8"/>
        <v>-1</v>
      </c>
      <c r="I82" s="51">
        <f t="shared" si="9"/>
        <v>58</v>
      </c>
      <c r="J82" s="10"/>
      <c r="K82" s="57"/>
      <c r="L82" s="57"/>
      <c r="M82" s="57"/>
      <c r="N82" s="57"/>
      <c r="O82" s="57"/>
      <c r="P82" s="57"/>
      <c r="Q82" s="57"/>
      <c r="R82" s="57"/>
      <c r="S82" s="57"/>
    </row>
    <row r="83" spans="1:19" x14ac:dyDescent="0.25">
      <c r="A83" s="10"/>
      <c r="B83" s="245">
        <f t="shared" si="8"/>
        <v>1</v>
      </c>
      <c r="C83" s="35">
        <f t="shared" si="8"/>
        <v>1</v>
      </c>
      <c r="D83" s="35">
        <f t="shared" si="8"/>
        <v>1</v>
      </c>
      <c r="E83" s="35">
        <f t="shared" si="8"/>
        <v>1</v>
      </c>
      <c r="F83" s="35">
        <f t="shared" si="8"/>
        <v>1</v>
      </c>
      <c r="G83" s="35">
        <f t="shared" si="8"/>
        <v>1</v>
      </c>
      <c r="H83" s="35">
        <f t="shared" si="8"/>
        <v>1</v>
      </c>
      <c r="I83" s="51">
        <f t="shared" si="9"/>
        <v>88</v>
      </c>
      <c r="J83" s="10"/>
      <c r="K83" s="48"/>
      <c r="L83" s="67"/>
      <c r="M83" s="48"/>
      <c r="N83" s="48"/>
      <c r="O83" s="48"/>
      <c r="P83" s="48"/>
      <c r="Q83" s="48"/>
      <c r="R83" s="48"/>
      <c r="S83" s="48"/>
    </row>
    <row r="84" spans="1:19" x14ac:dyDescent="0.25">
      <c r="A84" s="10"/>
      <c r="B84" s="10"/>
      <c r="C84" s="10"/>
      <c r="D84" s="10"/>
      <c r="E84" s="10"/>
      <c r="F84" s="10"/>
      <c r="G84" s="10"/>
      <c r="H84" s="98" t="s">
        <v>502</v>
      </c>
      <c r="I84" s="306">
        <f>AVERAGE(I68:I83)</f>
        <v>68.5625</v>
      </c>
      <c r="J84" s="10"/>
      <c r="K84" s="48"/>
      <c r="L84" s="67"/>
      <c r="M84" s="48"/>
      <c r="N84" s="48"/>
      <c r="O84" s="48"/>
      <c r="P84" s="48"/>
      <c r="Q84" s="48"/>
      <c r="R84" s="48"/>
      <c r="S84" s="48"/>
    </row>
    <row r="85" spans="1:19" x14ac:dyDescent="0.2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48"/>
      <c r="L85" s="67"/>
      <c r="M85" s="48"/>
      <c r="N85" s="48"/>
      <c r="O85" s="48"/>
      <c r="P85" s="48"/>
      <c r="Q85" s="48"/>
      <c r="R85" s="48"/>
      <c r="S85" s="48"/>
    </row>
    <row r="86" spans="1:19" x14ac:dyDescent="0.25">
      <c r="A86" s="10"/>
      <c r="B86" t="s">
        <v>204</v>
      </c>
      <c r="K86" s="48"/>
      <c r="L86" s="67"/>
      <c r="M86" s="48"/>
      <c r="N86" s="48"/>
      <c r="O86" s="48"/>
      <c r="P86" s="48"/>
      <c r="Q86" s="48"/>
      <c r="R86" s="48"/>
      <c r="S86" s="48"/>
    </row>
    <row r="87" spans="1:19" ht="15.75" thickBot="1" x14ac:dyDescent="0.3">
      <c r="A87" s="10"/>
      <c r="K87" s="48"/>
      <c r="L87" s="67"/>
      <c r="M87" s="48"/>
      <c r="N87" s="48"/>
      <c r="O87" s="48"/>
      <c r="P87" s="48"/>
      <c r="Q87" s="48"/>
      <c r="R87" s="48"/>
      <c r="S87" s="48"/>
    </row>
    <row r="88" spans="1:19" x14ac:dyDescent="0.25">
      <c r="A88" s="10"/>
      <c r="B88" s="202" t="s">
        <v>368</v>
      </c>
      <c r="C88" s="202"/>
      <c r="K88" s="48"/>
      <c r="L88" s="67"/>
      <c r="M88" s="48"/>
      <c r="N88" s="48"/>
      <c r="O88" s="48"/>
      <c r="P88" s="48"/>
      <c r="Q88" s="48"/>
      <c r="R88" s="48"/>
      <c r="S88" s="48"/>
    </row>
    <row r="89" spans="1:19" x14ac:dyDescent="0.25">
      <c r="A89" s="10"/>
      <c r="B89" s="48" t="s">
        <v>369</v>
      </c>
      <c r="C89" s="48">
        <v>0.99831357916251751</v>
      </c>
      <c r="K89" s="48"/>
      <c r="L89" s="67"/>
      <c r="M89" s="48"/>
      <c r="N89" s="48"/>
      <c r="O89" s="48"/>
      <c r="P89" s="48"/>
      <c r="Q89" s="48"/>
      <c r="R89" s="48"/>
      <c r="S89" s="48"/>
    </row>
    <row r="90" spans="1:19" x14ac:dyDescent="0.25">
      <c r="A90" s="10"/>
      <c r="B90" s="48" t="s">
        <v>370</v>
      </c>
      <c r="C90" s="48">
        <v>0.9966300023402761</v>
      </c>
      <c r="K90" s="48"/>
      <c r="L90" s="67"/>
      <c r="M90" s="48"/>
      <c r="N90" s="48"/>
      <c r="O90" s="48"/>
      <c r="P90" s="48"/>
      <c r="Q90" s="48"/>
      <c r="R90" s="48"/>
      <c r="S90" s="48"/>
    </row>
    <row r="91" spans="1:19" x14ac:dyDescent="0.25">
      <c r="A91" s="10"/>
      <c r="B91" s="48" t="s">
        <v>371</v>
      </c>
      <c r="C91" s="48">
        <v>0.9936812543880178</v>
      </c>
    </row>
    <row r="92" spans="1:19" x14ac:dyDescent="0.25">
      <c r="A92" s="10"/>
      <c r="B92" s="48" t="s">
        <v>372</v>
      </c>
      <c r="C92" s="48">
        <v>1.2990381056766578</v>
      </c>
    </row>
    <row r="93" spans="1:19" ht="15.75" thickBot="1" x14ac:dyDescent="0.3">
      <c r="A93" s="10"/>
      <c r="B93" s="203" t="s">
        <v>373</v>
      </c>
      <c r="C93" s="203">
        <v>16</v>
      </c>
    </row>
    <row r="94" spans="1:19" x14ac:dyDescent="0.25">
      <c r="A94" s="10"/>
      <c r="K94" s="10"/>
      <c r="L94" s="10"/>
    </row>
    <row r="95" spans="1:19" ht="15.75" thickBot="1" x14ac:dyDescent="0.3">
      <c r="A95" s="10"/>
      <c r="B95" t="s">
        <v>374</v>
      </c>
      <c r="K95" s="10"/>
      <c r="L95" s="10"/>
    </row>
    <row r="96" spans="1:19" x14ac:dyDescent="0.25">
      <c r="A96" s="10"/>
      <c r="B96" s="204"/>
      <c r="C96" s="204" t="s">
        <v>205</v>
      </c>
      <c r="D96" s="204" t="s">
        <v>206</v>
      </c>
      <c r="E96" s="204" t="s">
        <v>207</v>
      </c>
      <c r="F96" s="204" t="s">
        <v>208</v>
      </c>
      <c r="G96" s="204" t="s">
        <v>375</v>
      </c>
      <c r="K96" s="10"/>
      <c r="L96" s="10"/>
    </row>
    <row r="97" spans="1:18" x14ac:dyDescent="0.25">
      <c r="A97" s="10"/>
      <c r="B97" s="48" t="s">
        <v>376</v>
      </c>
      <c r="C97" s="48">
        <v>7</v>
      </c>
      <c r="D97" s="48">
        <v>3992.4375</v>
      </c>
      <c r="E97" s="48">
        <v>570.34821428571433</v>
      </c>
      <c r="F97" s="48">
        <v>337.98412698412704</v>
      </c>
      <c r="G97" s="48">
        <v>3.0056119721342147E-9</v>
      </c>
      <c r="K97" s="10"/>
      <c r="L97" s="10"/>
    </row>
    <row r="98" spans="1:18" x14ac:dyDescent="0.25">
      <c r="A98" s="10"/>
      <c r="B98" s="48" t="s">
        <v>377</v>
      </c>
      <c r="C98" s="48">
        <v>8</v>
      </c>
      <c r="D98" s="48">
        <v>13.499999999999998</v>
      </c>
      <c r="E98" s="48">
        <v>1.6874999999999998</v>
      </c>
      <c r="F98" s="48"/>
      <c r="G98" s="48"/>
      <c r="K98" s="10"/>
      <c r="L98" s="10"/>
    </row>
    <row r="99" spans="1:18" ht="15.75" thickBot="1" x14ac:dyDescent="0.3">
      <c r="A99" s="10"/>
      <c r="B99" s="203" t="s">
        <v>378</v>
      </c>
      <c r="C99" s="203">
        <v>15</v>
      </c>
      <c r="D99" s="203">
        <v>4005.9375</v>
      </c>
      <c r="E99" s="203"/>
      <c r="F99" s="203"/>
      <c r="G99" s="203"/>
      <c r="K99" s="10"/>
      <c r="L99" s="10"/>
    </row>
    <row r="100" spans="1:18" ht="15.75" thickBot="1" x14ac:dyDescent="0.3">
      <c r="A100" s="10"/>
      <c r="K100" s="10"/>
      <c r="L100" s="10"/>
    </row>
    <row r="101" spans="1:18" x14ac:dyDescent="0.25">
      <c r="B101" s="204"/>
      <c r="C101" s="204" t="s">
        <v>379</v>
      </c>
      <c r="D101" s="204" t="s">
        <v>372</v>
      </c>
      <c r="E101" s="204" t="s">
        <v>380</v>
      </c>
      <c r="F101" s="204" t="s">
        <v>381</v>
      </c>
      <c r="G101" s="204" t="s">
        <v>382</v>
      </c>
      <c r="H101" s="204" t="s">
        <v>383</v>
      </c>
      <c r="I101" s="204" t="s">
        <v>485</v>
      </c>
      <c r="J101" s="204" t="s">
        <v>486</v>
      </c>
    </row>
    <row r="102" spans="1:18" x14ac:dyDescent="0.25">
      <c r="B102" s="48" t="s">
        <v>384</v>
      </c>
      <c r="C102" s="307">
        <v>68.5625</v>
      </c>
      <c r="D102" s="48">
        <v>0.32475952641916445</v>
      </c>
      <c r="E102" s="48">
        <v>211.11774843367317</v>
      </c>
      <c r="F102" s="48">
        <v>2.8362170133547816E-16</v>
      </c>
      <c r="G102" s="48">
        <v>67.813603189130461</v>
      </c>
      <c r="H102" s="48">
        <v>69.311396810869539</v>
      </c>
      <c r="I102" s="48">
        <v>67.813603189130461</v>
      </c>
      <c r="J102" s="48">
        <v>69.311396810869539</v>
      </c>
    </row>
    <row r="103" spans="1:18" x14ac:dyDescent="0.25">
      <c r="B103" s="48" t="s">
        <v>13</v>
      </c>
      <c r="C103" s="308">
        <v>10.312499999999998</v>
      </c>
      <c r="D103" s="48">
        <v>0.32475952641916445</v>
      </c>
      <c r="E103" s="48">
        <v>31.754264805429415</v>
      </c>
      <c r="F103" s="67">
        <v>1.053041162785146E-9</v>
      </c>
      <c r="G103" s="48">
        <v>9.5636031891304576</v>
      </c>
      <c r="H103" s="48">
        <v>11.061396810869539</v>
      </c>
      <c r="I103" s="48">
        <v>9.5636031891304576</v>
      </c>
      <c r="J103" s="48">
        <v>11.061396810869539</v>
      </c>
    </row>
    <row r="104" spans="1:18" x14ac:dyDescent="0.25">
      <c r="B104" s="48" t="s">
        <v>14</v>
      </c>
      <c r="C104" s="308">
        <v>-3.0625000000000018</v>
      </c>
      <c r="D104" s="48">
        <v>0.32475952641916445</v>
      </c>
      <c r="E104" s="48">
        <v>-9.4300543967638948</v>
      </c>
      <c r="F104" s="67">
        <v>1.3131828015563836E-5</v>
      </c>
      <c r="G104" s="48">
        <v>-3.811396810869542</v>
      </c>
      <c r="H104" s="48">
        <v>-2.3136031891304616</v>
      </c>
      <c r="I104" s="48">
        <v>-3.811396810869542</v>
      </c>
      <c r="J104" s="48">
        <v>-2.3136031891304616</v>
      </c>
    </row>
    <row r="105" spans="1:18" x14ac:dyDescent="0.25">
      <c r="B105" s="48" t="s">
        <v>481</v>
      </c>
      <c r="C105" s="308">
        <v>9.4375</v>
      </c>
      <c r="D105" s="48">
        <v>0.32475952641916445</v>
      </c>
      <c r="E105" s="48">
        <v>29.059963549211169</v>
      </c>
      <c r="F105" s="67">
        <v>2.1287025391320336E-9</v>
      </c>
      <c r="G105" s="48">
        <v>8.6886031891304594</v>
      </c>
      <c r="H105" s="48">
        <v>10.186396810869541</v>
      </c>
      <c r="I105" s="48">
        <v>8.6886031891304594</v>
      </c>
      <c r="J105" s="48">
        <v>10.186396810869541</v>
      </c>
      <c r="L105" s="85" t="s">
        <v>631</v>
      </c>
    </row>
    <row r="106" spans="1:18" x14ac:dyDescent="0.25">
      <c r="B106" s="48" t="s">
        <v>202</v>
      </c>
      <c r="C106" s="308">
        <v>5.6874999999999991</v>
      </c>
      <c r="D106" s="48">
        <v>0.32475952641916445</v>
      </c>
      <c r="E106" s="48">
        <v>17.512958165418649</v>
      </c>
      <c r="F106" s="67">
        <v>1.1536526707626934E-7</v>
      </c>
      <c r="G106" s="48">
        <v>4.9386031891304594</v>
      </c>
      <c r="H106" s="48">
        <v>6.4363968108695389</v>
      </c>
      <c r="I106" s="48">
        <v>4.9386031891304594</v>
      </c>
      <c r="J106" s="48">
        <v>6.4363968108695389</v>
      </c>
      <c r="L106" s="85" t="s">
        <v>632</v>
      </c>
    </row>
    <row r="107" spans="1:18" x14ac:dyDescent="0.25">
      <c r="B107" s="48" t="s">
        <v>482</v>
      </c>
      <c r="C107" s="308">
        <v>1.1875000000000002</v>
      </c>
      <c r="D107" s="48">
        <v>0.32475952641916445</v>
      </c>
      <c r="E107" s="48">
        <v>3.6565517048676313</v>
      </c>
      <c r="F107" s="67">
        <v>6.4331722811817194E-3</v>
      </c>
      <c r="G107" s="48">
        <v>0.43860318913046004</v>
      </c>
      <c r="H107" s="48">
        <v>1.9363968108695404</v>
      </c>
      <c r="I107" s="48">
        <v>0.43860318913046004</v>
      </c>
      <c r="J107" s="48">
        <v>1.9363968108695404</v>
      </c>
    </row>
    <row r="108" spans="1:18" x14ac:dyDescent="0.25">
      <c r="B108" s="48" t="s">
        <v>483</v>
      </c>
      <c r="C108" s="308">
        <v>-1.937499999999996</v>
      </c>
      <c r="D108" s="48">
        <v>0.32475952641916445</v>
      </c>
      <c r="E108" s="48">
        <v>-5.9659527816261217</v>
      </c>
      <c r="F108" s="67">
        <v>3.3592373308824681E-4</v>
      </c>
      <c r="G108" s="48">
        <v>-2.6863968108695362</v>
      </c>
      <c r="H108" s="48">
        <v>-1.1886031891304558</v>
      </c>
      <c r="I108" s="48">
        <v>-2.6863968108695362</v>
      </c>
      <c r="J108" s="48">
        <v>-1.1886031891304558</v>
      </c>
    </row>
    <row r="109" spans="1:18" ht="15.75" thickBot="1" x14ac:dyDescent="0.3">
      <c r="B109" s="203" t="s">
        <v>484</v>
      </c>
      <c r="C109" s="309">
        <v>-2.6874999999999969</v>
      </c>
      <c r="D109" s="203">
        <v>0.32475952641916445</v>
      </c>
      <c r="E109" s="203">
        <v>-8.2753538583846282</v>
      </c>
      <c r="F109" s="217">
        <v>3.4199919289478669E-5</v>
      </c>
      <c r="G109" s="203">
        <v>-3.4363968108695371</v>
      </c>
      <c r="H109" s="203">
        <v>-1.9386031891304567</v>
      </c>
      <c r="I109" s="203">
        <v>-3.4363968108695371</v>
      </c>
      <c r="J109" s="203">
        <v>-1.9386031891304567</v>
      </c>
    </row>
    <row r="110" spans="1:18" s="311" customFormat="1" x14ac:dyDescent="0.25">
      <c r="B110" s="310" t="s">
        <v>526</v>
      </c>
      <c r="C110" s="311">
        <f>C102</f>
        <v>68.5625</v>
      </c>
      <c r="D110" s="311" t="s">
        <v>67</v>
      </c>
      <c r="E110" s="311">
        <f>C103</f>
        <v>10.312499999999998</v>
      </c>
      <c r="F110" s="311" t="s">
        <v>65</v>
      </c>
      <c r="G110" s="311">
        <f>C104</f>
        <v>-3.0625000000000018</v>
      </c>
      <c r="H110" s="311" t="s">
        <v>527</v>
      </c>
      <c r="I110" s="311">
        <f>C105</f>
        <v>9.4375</v>
      </c>
      <c r="J110" s="311" t="s">
        <v>528</v>
      </c>
      <c r="K110" s="311">
        <f>C106</f>
        <v>5.6874999999999991</v>
      </c>
      <c r="L110" s="311" t="s">
        <v>529</v>
      </c>
      <c r="M110" s="311">
        <f>C107</f>
        <v>1.1875000000000002</v>
      </c>
      <c r="N110" s="311" t="s">
        <v>530</v>
      </c>
      <c r="O110" s="311">
        <f>C108</f>
        <v>-1.937499999999996</v>
      </c>
      <c r="P110" s="311" t="s">
        <v>531</v>
      </c>
      <c r="Q110" s="311">
        <f>C109</f>
        <v>-2.6874999999999969</v>
      </c>
      <c r="R110" s="311" t="s">
        <v>532</v>
      </c>
    </row>
    <row r="112" spans="1:18" x14ac:dyDescent="0.25">
      <c r="A112" s="28"/>
      <c r="B112" s="366" t="s">
        <v>623</v>
      </c>
      <c r="C112" s="271">
        <f>L54</f>
        <v>51.999999999999993</v>
      </c>
      <c r="D112" s="271" t="s">
        <v>67</v>
      </c>
      <c r="E112" s="271">
        <f>L55</f>
        <v>-42.5</v>
      </c>
      <c r="F112" s="271" t="s">
        <v>624</v>
      </c>
      <c r="G112" s="271">
        <f>L56</f>
        <v>1.6666666666666663E-2</v>
      </c>
      <c r="H112" s="271" t="s">
        <v>625</v>
      </c>
      <c r="I112" s="271">
        <f>L57</f>
        <v>0.42500000000000004</v>
      </c>
      <c r="J112" s="271" t="s">
        <v>626</v>
      </c>
      <c r="K112" s="271">
        <f>L58</f>
        <v>1.0166666666666666</v>
      </c>
      <c r="L112" s="271" t="s">
        <v>627</v>
      </c>
      <c r="M112" s="271">
        <f>L59</f>
        <v>0.32500000000000001</v>
      </c>
      <c r="N112" s="271" t="s">
        <v>628</v>
      </c>
      <c r="O112" s="271">
        <f>L60</f>
        <v>-4.3055555555555555E-3</v>
      </c>
      <c r="P112" s="271" t="s">
        <v>630</v>
      </c>
      <c r="Q112" s="271">
        <f>L61</f>
        <v>-5.9722222222222216E-3</v>
      </c>
      <c r="R112" s="271" t="s">
        <v>629</v>
      </c>
    </row>
    <row r="115" spans="2:17" x14ac:dyDescent="0.25">
      <c r="D115">
        <f>68.1*5</f>
        <v>340.5</v>
      </c>
    </row>
    <row r="118" spans="2:17" x14ac:dyDescent="0.25">
      <c r="B118" s="68" t="s">
        <v>763</v>
      </c>
    </row>
    <row r="119" spans="2:17" x14ac:dyDescent="0.25">
      <c r="B119" t="s">
        <v>770</v>
      </c>
    </row>
    <row r="124" spans="2:17" ht="90.75" customHeight="1" x14ac:dyDescent="0.25">
      <c r="J124" s="48"/>
      <c r="K124" s="396" t="s">
        <v>767</v>
      </c>
      <c r="L124" t="s">
        <v>764</v>
      </c>
      <c r="P124" s="396" t="s">
        <v>766</v>
      </c>
      <c r="Q124" s="401" t="s">
        <v>769</v>
      </c>
    </row>
    <row r="125" spans="2:17" x14ac:dyDescent="0.25">
      <c r="J125" s="98" t="s">
        <v>502</v>
      </c>
      <c r="K125" s="299">
        <f>F54</f>
        <v>68.5625</v>
      </c>
      <c r="L125">
        <v>1</v>
      </c>
      <c r="O125" s="98" t="s">
        <v>505</v>
      </c>
      <c r="P125" s="397">
        <f>L54</f>
        <v>51.999999999999993</v>
      </c>
      <c r="Q125">
        <v>1</v>
      </c>
    </row>
    <row r="126" spans="2:17" x14ac:dyDescent="0.25">
      <c r="J126" s="98" t="s">
        <v>506</v>
      </c>
      <c r="K126" s="394">
        <f t="shared" ref="K126:K132" si="10">F55</f>
        <v>10.3125</v>
      </c>
      <c r="L126">
        <v>-1</v>
      </c>
      <c r="O126" s="98" t="s">
        <v>507</v>
      </c>
      <c r="P126" s="398">
        <f t="shared" ref="P126:P132" si="11">L55</f>
        <v>-42.5</v>
      </c>
      <c r="Q126" s="85">
        <v>-1</v>
      </c>
    </row>
    <row r="127" spans="2:17" x14ac:dyDescent="0.25">
      <c r="J127" s="98" t="s">
        <v>508</v>
      </c>
      <c r="K127" s="394">
        <f t="shared" si="10"/>
        <v>-3.0625</v>
      </c>
      <c r="L127">
        <v>1</v>
      </c>
      <c r="O127" s="98" t="s">
        <v>509</v>
      </c>
      <c r="P127" s="398">
        <f t="shared" si="11"/>
        <v>1.6666666666666663E-2</v>
      </c>
      <c r="Q127">
        <v>60</v>
      </c>
    </row>
    <row r="128" spans="2:17" x14ac:dyDescent="0.25">
      <c r="J128" s="98" t="s">
        <v>510</v>
      </c>
      <c r="K128" s="394">
        <f t="shared" si="10"/>
        <v>9.4375</v>
      </c>
      <c r="L128">
        <v>1</v>
      </c>
      <c r="O128" s="98" t="s">
        <v>512</v>
      </c>
      <c r="P128" s="398">
        <f t="shared" si="11"/>
        <v>0.42500000000000004</v>
      </c>
      <c r="Q128">
        <v>120</v>
      </c>
    </row>
    <row r="129" spans="10:17" x14ac:dyDescent="0.25">
      <c r="J129" s="98" t="s">
        <v>513</v>
      </c>
      <c r="K129" s="394">
        <f t="shared" si="10"/>
        <v>5.6875</v>
      </c>
      <c r="L129">
        <f>L126*L127</f>
        <v>-1</v>
      </c>
      <c r="O129" s="98" t="s">
        <v>515</v>
      </c>
      <c r="P129" s="398">
        <f t="shared" si="11"/>
        <v>1.0166666666666666</v>
      </c>
      <c r="Q129">
        <f>Q126*Q127</f>
        <v>-60</v>
      </c>
    </row>
    <row r="130" spans="10:17" x14ac:dyDescent="0.25">
      <c r="J130" s="98" t="s">
        <v>516</v>
      </c>
      <c r="K130" s="394">
        <f t="shared" si="10"/>
        <v>1.1875</v>
      </c>
      <c r="L130">
        <f>L126*L128</f>
        <v>-1</v>
      </c>
      <c r="O130" s="98" t="s">
        <v>518</v>
      </c>
      <c r="P130" s="398">
        <f t="shared" si="11"/>
        <v>0.32500000000000001</v>
      </c>
      <c r="Q130">
        <f>Q126*Q128</f>
        <v>-120</v>
      </c>
    </row>
    <row r="131" spans="10:17" x14ac:dyDescent="0.25">
      <c r="J131" s="98" t="s">
        <v>519</v>
      </c>
      <c r="K131" s="394">
        <f t="shared" si="10"/>
        <v>-1.9375</v>
      </c>
      <c r="L131">
        <f>L127*L128</f>
        <v>1</v>
      </c>
      <c r="O131" s="98" t="s">
        <v>521</v>
      </c>
      <c r="P131" s="398">
        <f t="shared" si="11"/>
        <v>-4.3055555555555555E-3</v>
      </c>
      <c r="Q131">
        <f>Q127*Q128</f>
        <v>7200</v>
      </c>
    </row>
    <row r="132" spans="10:17" ht="15.75" thickBot="1" x14ac:dyDescent="0.3">
      <c r="J132" s="98" t="s">
        <v>522</v>
      </c>
      <c r="K132" s="395">
        <f t="shared" si="10"/>
        <v>-2.6875</v>
      </c>
      <c r="L132" s="400">
        <f>L126*L127*L128</f>
        <v>-1</v>
      </c>
      <c r="O132" s="98" t="s">
        <v>524</v>
      </c>
      <c r="P132" s="399">
        <f t="shared" si="11"/>
        <v>-5.9722222222222216E-3</v>
      </c>
      <c r="Q132" s="400">
        <f>Q126*Q127*Q128</f>
        <v>-7200</v>
      </c>
    </row>
    <row r="133" spans="10:17" ht="15.75" thickTop="1" x14ac:dyDescent="0.25">
      <c r="K133" s="3" t="s">
        <v>765</v>
      </c>
      <c r="L133" s="10">
        <f>SUMPRODUCT(K125:K132,L125:L132)</f>
        <v>58.5</v>
      </c>
      <c r="P133" s="3" t="s">
        <v>765</v>
      </c>
      <c r="Q133" s="10">
        <f>SUMPRODUCT(P125:P132,Q125:Q132)</f>
        <v>58.499999999999993</v>
      </c>
    </row>
    <row r="137" spans="10:17" x14ac:dyDescent="0.25">
      <c r="J137" s="98" t="s">
        <v>502</v>
      </c>
      <c r="K137" s="299">
        <f>K125</f>
        <v>68.5625</v>
      </c>
      <c r="L137">
        <v>1</v>
      </c>
      <c r="O137" s="98" t="s">
        <v>505</v>
      </c>
      <c r="P137" s="397">
        <f>P125</f>
        <v>51.999999999999993</v>
      </c>
      <c r="Q137">
        <v>1</v>
      </c>
    </row>
    <row r="138" spans="10:17" x14ac:dyDescent="0.25">
      <c r="J138" s="98" t="s">
        <v>506</v>
      </c>
      <c r="K138" s="394">
        <f t="shared" ref="K138:K144" si="12">K126</f>
        <v>10.3125</v>
      </c>
      <c r="L138">
        <v>-1</v>
      </c>
      <c r="O138" s="98" t="s">
        <v>507</v>
      </c>
      <c r="P138" s="398">
        <f>P126</f>
        <v>-42.5</v>
      </c>
      <c r="Q138" s="85">
        <v>-1</v>
      </c>
    </row>
    <row r="139" spans="10:17" x14ac:dyDescent="0.25">
      <c r="J139" s="98" t="s">
        <v>508</v>
      </c>
      <c r="K139" s="394">
        <f t="shared" si="12"/>
        <v>-3.0625</v>
      </c>
      <c r="L139">
        <v>0</v>
      </c>
      <c r="O139" s="98" t="s">
        <v>509</v>
      </c>
      <c r="P139" s="398">
        <f t="shared" ref="P139:P144" si="13">P127</f>
        <v>1.6666666666666663E-2</v>
      </c>
      <c r="Q139">
        <v>50</v>
      </c>
    </row>
    <row r="140" spans="10:17" x14ac:dyDescent="0.25">
      <c r="J140" s="98" t="s">
        <v>510</v>
      </c>
      <c r="K140" s="394">
        <f t="shared" si="12"/>
        <v>9.4375</v>
      </c>
      <c r="L140">
        <f>(60-75)/45</f>
        <v>-0.33333333333333331</v>
      </c>
      <c r="O140" s="98" t="s">
        <v>512</v>
      </c>
      <c r="P140" s="398">
        <f t="shared" si="13"/>
        <v>0.42500000000000004</v>
      </c>
      <c r="Q140">
        <v>60</v>
      </c>
    </row>
    <row r="141" spans="10:17" x14ac:dyDescent="0.25">
      <c r="J141" s="98" t="s">
        <v>513</v>
      </c>
      <c r="K141" s="394">
        <f t="shared" si="12"/>
        <v>5.6875</v>
      </c>
      <c r="L141">
        <f>L138*L139</f>
        <v>0</v>
      </c>
      <c r="O141" s="98" t="s">
        <v>515</v>
      </c>
      <c r="P141" s="398">
        <f t="shared" si="13"/>
        <v>1.0166666666666666</v>
      </c>
      <c r="Q141">
        <f>Q138*Q139</f>
        <v>-50</v>
      </c>
    </row>
    <row r="142" spans="10:17" x14ac:dyDescent="0.25">
      <c r="J142" s="98" t="s">
        <v>516</v>
      </c>
      <c r="K142" s="394">
        <f t="shared" si="12"/>
        <v>1.1875</v>
      </c>
      <c r="L142">
        <f>L138*L140</f>
        <v>0.33333333333333331</v>
      </c>
      <c r="O142" s="98" t="s">
        <v>518</v>
      </c>
      <c r="P142" s="398">
        <f t="shared" si="13"/>
        <v>0.32500000000000001</v>
      </c>
      <c r="Q142">
        <f>Q138*Q140</f>
        <v>-60</v>
      </c>
    </row>
    <row r="143" spans="10:17" x14ac:dyDescent="0.25">
      <c r="J143" s="98" t="s">
        <v>519</v>
      </c>
      <c r="K143" s="394">
        <f t="shared" si="12"/>
        <v>-1.9375</v>
      </c>
      <c r="L143">
        <f>L139*L140</f>
        <v>0</v>
      </c>
      <c r="O143" s="98" t="s">
        <v>521</v>
      </c>
      <c r="P143" s="398">
        <f t="shared" si="13"/>
        <v>-4.3055555555555555E-3</v>
      </c>
      <c r="Q143">
        <f>Q139*Q140</f>
        <v>3000</v>
      </c>
    </row>
    <row r="144" spans="10:17" ht="15.75" thickBot="1" x14ac:dyDescent="0.3">
      <c r="J144" s="98" t="s">
        <v>522</v>
      </c>
      <c r="K144" s="395">
        <f t="shared" si="12"/>
        <v>-2.6875</v>
      </c>
      <c r="L144" s="402">
        <f>L138*L139*L140</f>
        <v>0</v>
      </c>
      <c r="O144" s="98" t="s">
        <v>524</v>
      </c>
      <c r="P144" s="399">
        <f t="shared" si="13"/>
        <v>-5.9722222222222216E-3</v>
      </c>
      <c r="Q144" s="400">
        <f>Q138*Q139*Q140</f>
        <v>-3000</v>
      </c>
    </row>
    <row r="145" spans="10:17" ht="15.75" thickTop="1" x14ac:dyDescent="0.25">
      <c r="K145" s="3" t="s">
        <v>765</v>
      </c>
      <c r="L145" s="10">
        <f>SUMPRODUCT(K137:K144,L137:L144)</f>
        <v>55.5</v>
      </c>
      <c r="P145" s="3" t="s">
        <v>765</v>
      </c>
      <c r="Q145" s="10">
        <f>SUMPRODUCT(P137:P144,Q137:Q144)</f>
        <v>55.5</v>
      </c>
    </row>
    <row r="156" spans="10:17" x14ac:dyDescent="0.25">
      <c r="J156" s="98" t="s">
        <v>502</v>
      </c>
      <c r="K156" s="299">
        <f>K137</f>
        <v>68.5625</v>
      </c>
      <c r="L156">
        <v>1</v>
      </c>
      <c r="O156" s="98" t="s">
        <v>505</v>
      </c>
      <c r="P156" s="397">
        <f>P137</f>
        <v>51.999999999999993</v>
      </c>
      <c r="Q156">
        <v>1</v>
      </c>
    </row>
    <row r="157" spans="10:17" x14ac:dyDescent="0.25">
      <c r="J157" s="98" t="s">
        <v>506</v>
      </c>
      <c r="K157" s="394">
        <f t="shared" ref="K157:K163" si="14">K138</f>
        <v>10.3125</v>
      </c>
      <c r="L157">
        <v>1</v>
      </c>
      <c r="O157" s="98" t="s">
        <v>507</v>
      </c>
      <c r="P157" s="398">
        <f t="shared" ref="P157:P163" si="15">P138</f>
        <v>-42.5</v>
      </c>
      <c r="Q157" s="85">
        <v>1</v>
      </c>
    </row>
    <row r="158" spans="10:17" x14ac:dyDescent="0.25">
      <c r="J158" s="98" t="s">
        <v>508</v>
      </c>
      <c r="K158" s="394">
        <f t="shared" si="14"/>
        <v>-3.0625</v>
      </c>
      <c r="L158">
        <v>-1</v>
      </c>
      <c r="O158" s="98" t="s">
        <v>509</v>
      </c>
      <c r="P158" s="398">
        <f t="shared" si="15"/>
        <v>1.6666666666666663E-2</v>
      </c>
      <c r="Q158">
        <v>40</v>
      </c>
    </row>
    <row r="159" spans="10:17" x14ac:dyDescent="0.25">
      <c r="J159" s="98" t="s">
        <v>510</v>
      </c>
      <c r="K159" s="394">
        <f t="shared" si="14"/>
        <v>9.4375</v>
      </c>
      <c r="L159">
        <v>-1</v>
      </c>
      <c r="O159" s="98" t="s">
        <v>512</v>
      </c>
      <c r="P159" s="398">
        <f t="shared" si="15"/>
        <v>0.42500000000000004</v>
      </c>
      <c r="Q159">
        <v>30</v>
      </c>
    </row>
    <row r="160" spans="10:17" x14ac:dyDescent="0.25">
      <c r="J160" s="98" t="s">
        <v>513</v>
      </c>
      <c r="K160" s="394">
        <f t="shared" si="14"/>
        <v>5.6875</v>
      </c>
      <c r="L160">
        <f>L157*L158</f>
        <v>-1</v>
      </c>
      <c r="O160" s="98" t="s">
        <v>515</v>
      </c>
      <c r="P160" s="398">
        <f t="shared" si="15"/>
        <v>1.0166666666666666</v>
      </c>
      <c r="Q160">
        <f>Q157*Q158</f>
        <v>40</v>
      </c>
    </row>
    <row r="161" spans="2:17" x14ac:dyDescent="0.25">
      <c r="J161" s="98" t="s">
        <v>516</v>
      </c>
      <c r="K161" s="394">
        <f t="shared" si="14"/>
        <v>1.1875</v>
      </c>
      <c r="L161">
        <f>L157*L159</f>
        <v>-1</v>
      </c>
      <c r="O161" s="98" t="s">
        <v>518</v>
      </c>
      <c r="P161" s="398">
        <f t="shared" si="15"/>
        <v>0.32500000000000001</v>
      </c>
      <c r="Q161">
        <f>Q157*Q159</f>
        <v>30</v>
      </c>
    </row>
    <row r="162" spans="2:17" x14ac:dyDescent="0.25">
      <c r="J162" s="98" t="s">
        <v>519</v>
      </c>
      <c r="K162" s="394">
        <f t="shared" si="14"/>
        <v>-1.9375</v>
      </c>
      <c r="L162">
        <f>L158*L159</f>
        <v>1</v>
      </c>
      <c r="O162" s="98" t="s">
        <v>521</v>
      </c>
      <c r="P162" s="398">
        <f t="shared" si="15"/>
        <v>-4.3055555555555555E-3</v>
      </c>
      <c r="Q162">
        <f>Q158*Q159</f>
        <v>1200</v>
      </c>
    </row>
    <row r="163" spans="2:17" ht="15.75" thickBot="1" x14ac:dyDescent="0.3">
      <c r="J163" s="98" t="s">
        <v>522</v>
      </c>
      <c r="K163" s="395">
        <f t="shared" si="14"/>
        <v>-2.6875</v>
      </c>
      <c r="L163" s="402">
        <f>L157*L158*L159</f>
        <v>1</v>
      </c>
      <c r="O163" s="98" t="s">
        <v>524</v>
      </c>
      <c r="P163" s="399">
        <f t="shared" si="15"/>
        <v>-5.9722222222222216E-3</v>
      </c>
      <c r="Q163" s="402">
        <f>Q157*Q158*Q159</f>
        <v>1200</v>
      </c>
    </row>
    <row r="164" spans="2:17" ht="15.75" thickTop="1" x14ac:dyDescent="0.25">
      <c r="K164" s="3" t="s">
        <v>765</v>
      </c>
      <c r="L164" s="10">
        <f>SUMPRODUCT(K156:K163,L156:L163)</f>
        <v>61</v>
      </c>
      <c r="P164" s="3" t="s">
        <v>765</v>
      </c>
      <c r="Q164" s="10">
        <f>SUMPRODUCT(P156:P163,Q156:Q163)</f>
        <v>60.999999999999993</v>
      </c>
    </row>
    <row r="174" spans="2:17" x14ac:dyDescent="0.25">
      <c r="B174" t="s">
        <v>771</v>
      </c>
    </row>
    <row r="196" spans="2:2" x14ac:dyDescent="0.25">
      <c r="B196" t="s">
        <v>772</v>
      </c>
    </row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77"/>
  <sheetViews>
    <sheetView topLeftCell="A25" workbookViewId="0">
      <selection activeCell="Y17" sqref="Y17"/>
    </sheetView>
  </sheetViews>
  <sheetFormatPr defaultRowHeight="15" x14ac:dyDescent="0.25"/>
  <sheetData>
    <row r="2" spans="1:22" x14ac:dyDescent="0.25">
      <c r="A2" t="s">
        <v>0</v>
      </c>
      <c r="B2" t="s">
        <v>180</v>
      </c>
    </row>
    <row r="3" spans="1:22" ht="18" x14ac:dyDescent="0.35">
      <c r="B3" t="s">
        <v>181</v>
      </c>
    </row>
    <row r="4" spans="1:22" ht="18" x14ac:dyDescent="0.35">
      <c r="B4" t="s">
        <v>182</v>
      </c>
    </row>
    <row r="5" spans="1:22" ht="18" x14ac:dyDescent="0.35">
      <c r="B5" t="s">
        <v>183</v>
      </c>
    </row>
    <row r="6" spans="1:22" ht="17.25" x14ac:dyDescent="0.25">
      <c r="B6" t="s">
        <v>147</v>
      </c>
    </row>
    <row r="7" spans="1:22" x14ac:dyDescent="0.25">
      <c r="B7" t="s">
        <v>199</v>
      </c>
    </row>
    <row r="8" spans="1:22" x14ac:dyDescent="0.25">
      <c r="E8" s="24"/>
      <c r="F8" s="52"/>
      <c r="G8" s="52"/>
    </row>
    <row r="9" spans="1:22" x14ac:dyDescent="0.25">
      <c r="B9" t="s">
        <v>13</v>
      </c>
      <c r="C9" s="13" t="s">
        <v>14</v>
      </c>
      <c r="D9" s="13" t="s">
        <v>481</v>
      </c>
      <c r="E9" s="13" t="s">
        <v>267</v>
      </c>
    </row>
    <row r="10" spans="1:22" x14ac:dyDescent="0.25">
      <c r="B10" s="253">
        <v>-1</v>
      </c>
      <c r="C10" s="312">
        <v>-1</v>
      </c>
      <c r="D10" s="13">
        <v>-1</v>
      </c>
      <c r="E10" s="13">
        <v>60</v>
      </c>
      <c r="F10" s="10"/>
      <c r="G10" s="10"/>
      <c r="H10" s="10"/>
      <c r="I10" s="10"/>
      <c r="J10" s="10"/>
    </row>
    <row r="11" spans="1:22" x14ac:dyDescent="0.25">
      <c r="B11" s="254">
        <v>1</v>
      </c>
      <c r="C11" s="118">
        <v>-1</v>
      </c>
      <c r="D11" s="13">
        <v>-1</v>
      </c>
      <c r="E11" s="13">
        <v>60</v>
      </c>
      <c r="F11" s="10"/>
      <c r="G11" s="5"/>
      <c r="H11" s="5"/>
      <c r="I11" s="5"/>
      <c r="J11" s="5"/>
      <c r="O11" s="54"/>
      <c r="P11" s="54"/>
      <c r="Q11" s="54"/>
      <c r="V11" s="54"/>
    </row>
    <row r="12" spans="1:22" x14ac:dyDescent="0.25">
      <c r="B12" s="254">
        <v>-1</v>
      </c>
      <c r="C12" s="118">
        <v>1</v>
      </c>
      <c r="D12" s="13">
        <v>-1</v>
      </c>
      <c r="E12" s="13">
        <v>42</v>
      </c>
      <c r="F12" s="10"/>
      <c r="G12" s="10"/>
      <c r="H12" s="10"/>
      <c r="I12" s="10"/>
      <c r="J12" s="10"/>
      <c r="O12" s="54"/>
      <c r="P12" s="54"/>
      <c r="Q12" s="54"/>
      <c r="V12" s="54"/>
    </row>
    <row r="13" spans="1:22" x14ac:dyDescent="0.25">
      <c r="B13" s="254">
        <v>1</v>
      </c>
      <c r="C13" s="118">
        <v>1</v>
      </c>
      <c r="D13" s="13">
        <v>-1</v>
      </c>
      <c r="E13" s="13">
        <v>75</v>
      </c>
      <c r="F13" s="10"/>
      <c r="G13" s="10"/>
      <c r="H13" s="10"/>
      <c r="I13" s="10"/>
      <c r="J13" s="10"/>
      <c r="O13" s="54"/>
      <c r="P13" s="54"/>
      <c r="Q13" s="54"/>
    </row>
    <row r="14" spans="1:22" x14ac:dyDescent="0.25">
      <c r="B14" s="80">
        <v>-1</v>
      </c>
      <c r="C14" s="261">
        <v>-1</v>
      </c>
      <c r="D14" s="13">
        <v>1</v>
      </c>
      <c r="E14" s="13">
        <v>73</v>
      </c>
      <c r="F14" s="10"/>
      <c r="G14" s="10"/>
      <c r="H14" s="10"/>
      <c r="I14" s="10"/>
      <c r="J14" s="10"/>
      <c r="O14" s="54"/>
      <c r="P14" s="54"/>
      <c r="Q14" s="54"/>
    </row>
    <row r="15" spans="1:22" x14ac:dyDescent="0.25">
      <c r="B15" s="13">
        <v>1</v>
      </c>
      <c r="C15" s="5">
        <v>-1</v>
      </c>
      <c r="D15" s="13">
        <v>1</v>
      </c>
      <c r="E15" s="13">
        <v>92</v>
      </c>
      <c r="F15" s="10"/>
      <c r="G15" s="10"/>
      <c r="H15" s="10"/>
      <c r="I15" s="10"/>
      <c r="J15" s="10"/>
      <c r="O15" s="54"/>
      <c r="P15" s="54"/>
      <c r="Q15" s="54"/>
    </row>
    <row r="16" spans="1:22" x14ac:dyDescent="0.25">
      <c r="B16" s="13">
        <v>-1</v>
      </c>
      <c r="C16" s="5">
        <v>1</v>
      </c>
      <c r="D16" s="13">
        <v>1</v>
      </c>
      <c r="E16" s="13">
        <v>59</v>
      </c>
      <c r="F16" s="10"/>
      <c r="G16" s="10"/>
      <c r="H16" s="10"/>
      <c r="I16" s="10"/>
      <c r="J16" s="10"/>
      <c r="O16" s="54"/>
      <c r="P16" s="54"/>
      <c r="Q16" s="54"/>
    </row>
    <row r="17" spans="1:17" x14ac:dyDescent="0.25">
      <c r="B17" s="13">
        <v>1</v>
      </c>
      <c r="C17" s="5">
        <v>1</v>
      </c>
      <c r="D17" s="13">
        <v>1</v>
      </c>
      <c r="E17" s="13">
        <v>87</v>
      </c>
      <c r="F17" s="10"/>
      <c r="G17" s="10"/>
      <c r="H17" s="10"/>
      <c r="I17" s="10"/>
      <c r="J17" s="10"/>
      <c r="O17" s="54"/>
      <c r="P17" s="54"/>
      <c r="Q17" s="54"/>
    </row>
    <row r="18" spans="1:17" x14ac:dyDescent="0.25">
      <c r="B18" s="253">
        <v>-1</v>
      </c>
      <c r="C18" s="312">
        <v>-1</v>
      </c>
      <c r="D18" s="13">
        <v>-1</v>
      </c>
      <c r="E18" s="13">
        <v>59</v>
      </c>
      <c r="F18" s="10"/>
      <c r="G18" s="10"/>
      <c r="H18" s="10"/>
      <c r="I18" s="10"/>
      <c r="J18" s="10"/>
      <c r="O18" s="54"/>
      <c r="P18" s="54"/>
      <c r="Q18" s="54"/>
    </row>
    <row r="19" spans="1:17" x14ac:dyDescent="0.25">
      <c r="B19" s="254">
        <v>1</v>
      </c>
      <c r="C19" s="118">
        <v>-1</v>
      </c>
      <c r="D19" s="13">
        <v>-1</v>
      </c>
      <c r="E19" s="13">
        <v>62</v>
      </c>
      <c r="F19" s="10"/>
      <c r="G19" s="10"/>
      <c r="H19" s="10"/>
      <c r="I19" s="10"/>
      <c r="J19" s="10"/>
      <c r="O19" s="54"/>
      <c r="P19" s="54"/>
      <c r="Q19" s="54"/>
    </row>
    <row r="20" spans="1:17" x14ac:dyDescent="0.25">
      <c r="B20" s="254">
        <v>-1</v>
      </c>
      <c r="C20" s="118">
        <v>1</v>
      </c>
      <c r="D20" s="13">
        <v>-1</v>
      </c>
      <c r="E20" s="13">
        <v>39</v>
      </c>
      <c r="F20" s="10"/>
      <c r="G20" s="10"/>
      <c r="H20" s="10"/>
      <c r="I20" s="10"/>
      <c r="J20" s="10"/>
      <c r="O20" s="54"/>
      <c r="P20" s="54"/>
      <c r="Q20" s="54"/>
    </row>
    <row r="21" spans="1:17" x14ac:dyDescent="0.25">
      <c r="B21" s="254">
        <v>1</v>
      </c>
      <c r="C21" s="118">
        <v>1</v>
      </c>
      <c r="D21" s="13">
        <v>-1</v>
      </c>
      <c r="E21" s="13">
        <v>76</v>
      </c>
      <c r="F21" s="10"/>
      <c r="G21" s="10"/>
      <c r="H21" s="10"/>
      <c r="I21" s="10"/>
      <c r="J21" s="10"/>
      <c r="O21" s="54"/>
      <c r="P21" s="54"/>
      <c r="Q21" s="54"/>
    </row>
    <row r="22" spans="1:17" x14ac:dyDescent="0.25">
      <c r="B22" s="80">
        <v>-1</v>
      </c>
      <c r="C22" s="261">
        <v>-1</v>
      </c>
      <c r="D22" s="13">
        <v>1</v>
      </c>
      <c r="E22" s="13">
        <v>76</v>
      </c>
      <c r="F22" s="10"/>
      <c r="G22" s="10"/>
      <c r="H22" s="10"/>
      <c r="I22" s="10"/>
      <c r="J22" s="10"/>
      <c r="O22" s="54"/>
      <c r="P22" s="54"/>
      <c r="Q22" s="54"/>
    </row>
    <row r="23" spans="1:17" x14ac:dyDescent="0.25">
      <c r="B23" s="13">
        <v>1</v>
      </c>
      <c r="C23" s="5">
        <v>-1</v>
      </c>
      <c r="D23" s="13">
        <v>1</v>
      </c>
      <c r="E23" s="13">
        <v>91</v>
      </c>
      <c r="F23" s="10"/>
      <c r="G23" s="10"/>
      <c r="H23" s="10"/>
      <c r="I23" s="10"/>
      <c r="J23" s="10"/>
      <c r="O23" s="54"/>
      <c r="P23" s="54"/>
      <c r="Q23" s="54"/>
    </row>
    <row r="24" spans="1:17" x14ac:dyDescent="0.25">
      <c r="B24" s="13">
        <v>-1</v>
      </c>
      <c r="C24" s="5">
        <v>1</v>
      </c>
      <c r="D24" s="13">
        <v>1</v>
      </c>
      <c r="E24" s="13">
        <v>58</v>
      </c>
      <c r="F24" s="10"/>
      <c r="G24" s="10"/>
      <c r="H24" s="10"/>
      <c r="I24" s="10"/>
      <c r="J24" s="10"/>
      <c r="O24" s="54"/>
      <c r="P24" s="54"/>
      <c r="Q24" s="54"/>
    </row>
    <row r="25" spans="1:17" x14ac:dyDescent="0.25">
      <c r="B25" s="13">
        <v>1</v>
      </c>
      <c r="C25" s="5">
        <v>1</v>
      </c>
      <c r="D25" s="13">
        <v>1</v>
      </c>
      <c r="E25" s="13">
        <v>88</v>
      </c>
      <c r="F25" s="10"/>
      <c r="G25" s="10"/>
      <c r="H25" s="10"/>
      <c r="I25" s="10"/>
      <c r="J25" s="10"/>
      <c r="O25" s="54"/>
      <c r="P25" s="54"/>
      <c r="Q25" s="54"/>
    </row>
    <row r="26" spans="1:17" x14ac:dyDescent="0.25">
      <c r="C26" s="5"/>
      <c r="D26" s="13"/>
      <c r="E26" s="13"/>
      <c r="F26" s="10"/>
      <c r="G26" s="10"/>
      <c r="H26" s="10"/>
      <c r="I26" s="10"/>
      <c r="J26" s="10"/>
      <c r="O26" s="54"/>
      <c r="P26" s="54"/>
      <c r="Q26" s="54"/>
    </row>
    <row r="27" spans="1:17" x14ac:dyDescent="0.25">
      <c r="C27" s="5"/>
      <c r="D27" s="13"/>
      <c r="E27" s="13"/>
      <c r="F27" s="10"/>
      <c r="G27" s="10"/>
      <c r="H27" s="10"/>
      <c r="I27" s="10"/>
      <c r="J27" s="10"/>
      <c r="O27" s="54"/>
      <c r="P27" s="54"/>
      <c r="Q27" s="54"/>
    </row>
    <row r="28" spans="1:17" x14ac:dyDescent="0.25">
      <c r="A28" s="69" t="s">
        <v>184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</row>
    <row r="29" spans="1:17" x14ac:dyDescent="0.25">
      <c r="A29" s="70" t="s">
        <v>176</v>
      </c>
      <c r="B29" s="423" t="s">
        <v>41</v>
      </c>
      <c r="C29" s="423"/>
      <c r="D29" s="423" t="s">
        <v>44</v>
      </c>
      <c r="E29" s="423"/>
      <c r="F29" s="423" t="s">
        <v>185</v>
      </c>
      <c r="G29" s="423"/>
      <c r="H29" s="423" t="s">
        <v>186</v>
      </c>
      <c r="I29" s="423"/>
      <c r="J29" s="423" t="s">
        <v>187</v>
      </c>
      <c r="K29" s="423"/>
      <c r="L29" s="423" t="s">
        <v>188</v>
      </c>
      <c r="M29" s="423"/>
      <c r="N29" s="423" t="s">
        <v>189</v>
      </c>
      <c r="O29" s="423"/>
    </row>
    <row r="30" spans="1:17" x14ac:dyDescent="0.25">
      <c r="B30" s="253" t="s">
        <v>190</v>
      </c>
      <c r="C30" s="246" t="s">
        <v>191</v>
      </c>
      <c r="D30" s="253" t="s">
        <v>192</v>
      </c>
      <c r="E30" s="246" t="s">
        <v>193</v>
      </c>
      <c r="F30" s="2" t="s">
        <v>194</v>
      </c>
      <c r="G30" s="2" t="s">
        <v>195</v>
      </c>
      <c r="H30" s="253"/>
      <c r="I30" s="246"/>
      <c r="J30" s="2"/>
      <c r="K30" s="2"/>
      <c r="L30" s="253"/>
      <c r="M30" s="246"/>
      <c r="N30" s="253"/>
      <c r="O30" s="246"/>
    </row>
    <row r="31" spans="1:17" x14ac:dyDescent="0.25">
      <c r="B31" s="255">
        <v>-1</v>
      </c>
      <c r="C31" s="248">
        <v>1</v>
      </c>
      <c r="D31" s="255">
        <v>-1</v>
      </c>
      <c r="E31" s="248">
        <v>1</v>
      </c>
      <c r="F31" s="2">
        <v>-1</v>
      </c>
      <c r="G31" s="2">
        <v>1</v>
      </c>
      <c r="H31" s="255">
        <v>-1</v>
      </c>
      <c r="I31" s="248">
        <v>1</v>
      </c>
      <c r="J31" s="2">
        <v>-1</v>
      </c>
      <c r="K31" s="2">
        <v>1</v>
      </c>
      <c r="L31" s="255">
        <v>-1</v>
      </c>
      <c r="M31" s="248">
        <v>1</v>
      </c>
      <c r="N31" s="255">
        <v>-1</v>
      </c>
      <c r="O31" s="248">
        <v>1</v>
      </c>
    </row>
    <row r="32" spans="1:17" x14ac:dyDescent="0.25">
      <c r="A32" s="70" t="s">
        <v>196</v>
      </c>
      <c r="B32" s="18"/>
      <c r="C32" s="18"/>
      <c r="D32" s="18"/>
      <c r="E32" s="50"/>
      <c r="F32" s="18"/>
      <c r="G32" s="50"/>
      <c r="H32" s="50"/>
      <c r="I32" s="19"/>
      <c r="J32" s="50"/>
      <c r="K32" s="19"/>
      <c r="L32" s="50"/>
      <c r="M32" s="32"/>
      <c r="N32" s="50"/>
      <c r="O32" s="19"/>
    </row>
    <row r="33" spans="1:15" x14ac:dyDescent="0.25">
      <c r="A33" s="70" t="s">
        <v>197</v>
      </c>
      <c r="B33" s="249">
        <f>AVERAGE(E10,E12,E14,E16,E18,E20,E22,E24)</f>
        <v>58.25</v>
      </c>
      <c r="C33" s="249">
        <f>AVERAGE(E11,E13,E15,E17,E19,E21,E23,E25)</f>
        <v>78.875</v>
      </c>
      <c r="D33" s="74">
        <f>AVERAGE(E10:E11,E14:E15,E18:E19,E22:E23)</f>
        <v>71.625</v>
      </c>
      <c r="E33" s="313">
        <f>AVERAGE(E12:E13,E16:E17,E20:E21,E24:E25)</f>
        <v>65.5</v>
      </c>
      <c r="F33" s="74">
        <f>AVERAGE(E10:E13,E18:E21)</f>
        <v>59.125</v>
      </c>
      <c r="G33" s="313">
        <f>AVERAGE(E14:E17,E22:E25)</f>
        <v>78</v>
      </c>
      <c r="H33" s="313">
        <f>AVERAGE(E11:E12,E15:E16,E19:E20,E23:E24)</f>
        <v>62.875</v>
      </c>
      <c r="I33" s="76">
        <f>AVERAGE(E10,E13:E14,E17:E18,E21:E22,E25)</f>
        <v>74.25</v>
      </c>
      <c r="J33" s="313">
        <f>AVERAGE(E11,E13:E14,E16,E19,E21:E22,E24)</f>
        <v>67.375</v>
      </c>
      <c r="K33" s="76">
        <f>AVERAGE(E10,E12,E15,E17:E18,E20,E23,E25)</f>
        <v>69.75</v>
      </c>
      <c r="L33" s="313">
        <f>AVERAGE(E12:E15,E20:E23)</f>
        <v>70.5</v>
      </c>
      <c r="M33" s="77">
        <f>AVERAGE(E10:E11,E16:E19,E24:E25)</f>
        <v>66.625</v>
      </c>
      <c r="N33" s="313">
        <f>AVERAGE(E10,E13,E15,E16,E18,E21,E23,E24)</f>
        <v>71.25</v>
      </c>
      <c r="O33" s="76">
        <f>AVERAGE(E11:E12,E14,E17,E19:E20,E22,E25)</f>
        <v>65.875</v>
      </c>
    </row>
    <row r="34" spans="1:15" x14ac:dyDescent="0.25">
      <c r="A34" s="70" t="s">
        <v>177</v>
      </c>
      <c r="B34" s="410">
        <f>C33-B33</f>
        <v>20.625</v>
      </c>
      <c r="C34" s="406"/>
      <c r="D34" s="424">
        <f t="shared" ref="D34" si="0">E33-D33</f>
        <v>-6.125</v>
      </c>
      <c r="E34" s="425"/>
      <c r="F34" s="424">
        <f t="shared" ref="F34" si="1">G33-F33</f>
        <v>18.875</v>
      </c>
      <c r="G34" s="425"/>
      <c r="H34" s="424">
        <f t="shared" ref="H34" si="2">I33-H33</f>
        <v>11.375</v>
      </c>
      <c r="I34" s="425"/>
      <c r="J34" s="424">
        <f t="shared" ref="J34" si="3">K33-J33</f>
        <v>2.375</v>
      </c>
      <c r="K34" s="425"/>
      <c r="L34" s="424">
        <f t="shared" ref="L34" si="4">M33-L33</f>
        <v>-3.875</v>
      </c>
      <c r="M34" s="425"/>
      <c r="N34" s="424">
        <f t="shared" ref="N34" si="5">O33-N33</f>
        <v>-5.375</v>
      </c>
      <c r="O34" s="425"/>
    </row>
    <row r="35" spans="1:15" x14ac:dyDescent="0.25">
      <c r="B35" s="48"/>
      <c r="C35" s="48"/>
      <c r="D35" s="54"/>
      <c r="E35" s="54"/>
      <c r="F35" s="54"/>
      <c r="G35" s="54"/>
      <c r="H35" s="54"/>
      <c r="I35" s="54"/>
      <c r="J35" s="54"/>
      <c r="K35" s="54"/>
    </row>
    <row r="36" spans="1:15" x14ac:dyDescent="0.25">
      <c r="A36" s="69" t="s">
        <v>198</v>
      </c>
      <c r="B36" s="48"/>
      <c r="C36" s="48"/>
      <c r="D36" s="54"/>
      <c r="E36" s="54"/>
      <c r="F36" s="54"/>
      <c r="G36" s="54"/>
      <c r="H36" s="54"/>
      <c r="I36" s="54"/>
      <c r="J36" s="54"/>
      <c r="K36" s="54"/>
    </row>
    <row r="37" spans="1:15" x14ac:dyDescent="0.25">
      <c r="D37" s="423" t="s">
        <v>41</v>
      </c>
      <c r="E37" s="423"/>
      <c r="F37" s="54"/>
      <c r="G37" s="54"/>
      <c r="H37" s="54"/>
      <c r="I37" s="54"/>
      <c r="J37" s="54"/>
      <c r="K37" s="54"/>
    </row>
    <row r="38" spans="1:15" x14ac:dyDescent="0.25">
      <c r="D38" s="253" t="s">
        <v>190</v>
      </c>
      <c r="E38" s="246" t="s">
        <v>191</v>
      </c>
      <c r="F38" s="54"/>
      <c r="G38" s="54"/>
      <c r="H38" s="54"/>
      <c r="I38" s="54"/>
      <c r="J38" s="54"/>
      <c r="K38" s="54"/>
    </row>
    <row r="39" spans="1:15" ht="26.25" x14ac:dyDescent="0.4">
      <c r="D39" s="255">
        <v>-1</v>
      </c>
      <c r="E39" s="248">
        <v>1</v>
      </c>
      <c r="F39" s="54"/>
      <c r="G39" s="54"/>
      <c r="H39" s="314"/>
      <c r="I39" s="54"/>
      <c r="J39" s="54"/>
      <c r="K39" s="54"/>
    </row>
    <row r="40" spans="1:15" x14ac:dyDescent="0.25">
      <c r="A40" s="423" t="s">
        <v>44</v>
      </c>
      <c r="B40" s="79" t="s">
        <v>192</v>
      </c>
      <c r="C40" s="79">
        <v>-1</v>
      </c>
      <c r="D40" s="315">
        <f>AVERAGE(E10,E18,E22,E14)</f>
        <v>67</v>
      </c>
      <c r="E40" s="315">
        <f>AVERAGE(E11,E15,E19,E23)</f>
        <v>76.25</v>
      </c>
      <c r="F40" s="57"/>
      <c r="G40" s="57"/>
      <c r="H40" s="54"/>
      <c r="I40" s="54"/>
      <c r="J40" s="54"/>
      <c r="K40" s="54"/>
    </row>
    <row r="41" spans="1:15" x14ac:dyDescent="0.25">
      <c r="A41" s="423"/>
      <c r="B41" s="79" t="s">
        <v>193</v>
      </c>
      <c r="C41" s="79">
        <v>1</v>
      </c>
      <c r="D41" s="315">
        <f>AVERAGE(E12,E16,E20,E24)</f>
        <v>49.5</v>
      </c>
      <c r="E41" s="315">
        <f>AVERAGE(E13,E17,E21,E25)</f>
        <v>81.5</v>
      </c>
      <c r="F41" s="48"/>
      <c r="G41" s="48"/>
      <c r="H41" s="54"/>
      <c r="I41" s="54"/>
      <c r="J41" s="54"/>
      <c r="K41" s="54"/>
    </row>
    <row r="42" spans="1:15" x14ac:dyDescent="0.25">
      <c r="A42" s="5"/>
      <c r="B42" s="13"/>
      <c r="C42" s="13"/>
      <c r="D42" s="316"/>
      <c r="E42" s="316"/>
      <c r="F42" s="48"/>
      <c r="G42" s="48"/>
      <c r="H42" s="54"/>
      <c r="I42" s="54"/>
      <c r="J42" s="54"/>
      <c r="K42" s="54"/>
    </row>
    <row r="43" spans="1:15" x14ac:dyDescent="0.25">
      <c r="B43" t="s">
        <v>533</v>
      </c>
      <c r="C43" s="48"/>
      <c r="D43" s="48"/>
      <c r="E43" s="48"/>
      <c r="F43" s="48"/>
      <c r="G43" s="48"/>
      <c r="H43" s="54"/>
      <c r="I43" t="s">
        <v>534</v>
      </c>
      <c r="J43" s="54"/>
      <c r="K43" s="54"/>
    </row>
    <row r="44" spans="1:15" x14ac:dyDescent="0.25">
      <c r="B44" s="48"/>
      <c r="C44" s="48"/>
      <c r="D44" s="48"/>
      <c r="E44" s="48"/>
      <c r="F44" s="48"/>
      <c r="G44" s="48"/>
      <c r="H44" s="54"/>
      <c r="I44" s="54"/>
      <c r="J44" s="54"/>
      <c r="K44" s="54"/>
    </row>
    <row r="45" spans="1:15" x14ac:dyDescent="0.25">
      <c r="B45" s="54"/>
      <c r="C45" s="54"/>
      <c r="D45" s="54"/>
      <c r="E45" s="54"/>
      <c r="F45" s="54"/>
      <c r="G45" s="54"/>
      <c r="H45" s="54"/>
      <c r="I45" s="54"/>
      <c r="J45" s="54"/>
      <c r="K45" s="54"/>
    </row>
    <row r="46" spans="1:15" x14ac:dyDescent="0.25">
      <c r="B46" s="57"/>
      <c r="C46" s="57"/>
      <c r="D46" s="57"/>
      <c r="E46" s="57"/>
      <c r="F46" s="57"/>
      <c r="G46" s="57"/>
      <c r="H46" s="57"/>
      <c r="I46" s="57"/>
      <c r="J46" s="57"/>
      <c r="K46" s="54"/>
    </row>
    <row r="47" spans="1:15" x14ac:dyDescent="0.25">
      <c r="B47" s="48"/>
      <c r="C47" s="48"/>
      <c r="D47" s="48"/>
      <c r="E47" s="48"/>
      <c r="F47" s="48"/>
      <c r="G47" s="48"/>
      <c r="H47" s="48"/>
      <c r="I47" s="48"/>
      <c r="J47" s="48"/>
      <c r="K47" s="54"/>
    </row>
    <row r="48" spans="1:15" x14ac:dyDescent="0.25">
      <c r="B48" s="48"/>
      <c r="C48" s="48"/>
      <c r="D48" s="48"/>
      <c r="E48" s="48"/>
      <c r="F48" s="48"/>
      <c r="G48" s="48"/>
      <c r="H48" s="48"/>
      <c r="I48" s="48"/>
      <c r="J48" s="48"/>
      <c r="K48" s="54"/>
    </row>
    <row r="49" spans="2:11" x14ac:dyDescent="0.25">
      <c r="B49" s="48"/>
      <c r="C49" s="48"/>
      <c r="D49" s="48"/>
      <c r="E49" s="48"/>
      <c r="F49" s="48"/>
      <c r="G49" s="48"/>
      <c r="H49" s="48"/>
      <c r="I49" s="48"/>
      <c r="J49" s="48"/>
      <c r="K49" s="54"/>
    </row>
    <row r="50" spans="2:11" x14ac:dyDescent="0.25">
      <c r="B50" s="48"/>
      <c r="C50" s="48"/>
      <c r="D50" s="48"/>
      <c r="E50" s="48"/>
      <c r="F50" s="48"/>
      <c r="G50" s="48"/>
      <c r="H50" s="48"/>
      <c r="I50" s="48"/>
      <c r="J50" s="48"/>
      <c r="K50" s="54"/>
    </row>
    <row r="51" spans="2:11" x14ac:dyDescent="0.25">
      <c r="B51" s="48"/>
      <c r="C51" s="48"/>
      <c r="D51" s="48"/>
      <c r="E51" s="48"/>
      <c r="F51" s="48"/>
      <c r="G51" s="48"/>
      <c r="H51" s="48"/>
      <c r="I51" s="48"/>
      <c r="J51" s="48"/>
      <c r="K51" s="54"/>
    </row>
    <row r="52" spans="2:11" x14ac:dyDescent="0.25">
      <c r="B52" s="48"/>
      <c r="C52" s="48"/>
      <c r="D52" s="48"/>
      <c r="E52" s="48"/>
      <c r="F52" s="48"/>
      <c r="G52" s="48"/>
      <c r="H52" s="48"/>
      <c r="I52" s="48"/>
      <c r="J52" s="48"/>
      <c r="K52" s="54"/>
    </row>
    <row r="53" spans="2:11" x14ac:dyDescent="0.25">
      <c r="B53" s="48"/>
      <c r="C53" s="48"/>
      <c r="D53" s="48"/>
      <c r="E53" s="48"/>
      <c r="F53" s="48"/>
      <c r="G53" s="48"/>
      <c r="H53" s="48"/>
      <c r="I53" s="48"/>
      <c r="J53" s="48"/>
      <c r="K53" s="54"/>
    </row>
    <row r="54" spans="2:11" x14ac:dyDescent="0.25">
      <c r="B54" s="48"/>
      <c r="C54" s="48"/>
      <c r="D54" s="48"/>
      <c r="E54" s="48"/>
      <c r="F54" s="48"/>
      <c r="G54" s="48"/>
      <c r="H54" s="48"/>
      <c r="I54" s="48"/>
      <c r="J54" s="48"/>
      <c r="K54" s="54"/>
    </row>
    <row r="55" spans="2:11" x14ac:dyDescent="0.25">
      <c r="B55" s="54"/>
      <c r="C55" s="54"/>
      <c r="D55" s="54"/>
      <c r="E55" s="54"/>
      <c r="F55" s="54"/>
      <c r="G55" s="54"/>
      <c r="H55" s="54"/>
      <c r="I55" s="54"/>
      <c r="J55" s="54"/>
      <c r="K55" s="54"/>
    </row>
    <row r="56" spans="2:11" x14ac:dyDescent="0.25">
      <c r="B56" s="54"/>
      <c r="C56" s="54"/>
      <c r="D56" s="54"/>
      <c r="E56" s="54"/>
      <c r="F56" s="54"/>
      <c r="G56" s="54"/>
      <c r="H56" s="54"/>
      <c r="I56" s="54"/>
      <c r="J56" s="54"/>
      <c r="K56" s="54"/>
    </row>
    <row r="57" spans="2:11" x14ac:dyDescent="0.25">
      <c r="B57" s="54"/>
      <c r="C57" s="54"/>
      <c r="D57" s="54"/>
      <c r="E57" s="54"/>
      <c r="F57" s="54"/>
      <c r="G57" s="54"/>
      <c r="H57" s="54"/>
      <c r="I57" s="54"/>
      <c r="J57" s="54"/>
      <c r="K57" s="54"/>
    </row>
    <row r="58" spans="2:11" x14ac:dyDescent="0.25">
      <c r="B58" s="54"/>
      <c r="C58" s="54"/>
      <c r="D58" s="54"/>
      <c r="E58" s="54"/>
      <c r="F58" s="54"/>
      <c r="G58" s="54"/>
      <c r="H58" s="54"/>
      <c r="I58" s="54"/>
      <c r="J58" s="54"/>
      <c r="K58" s="54"/>
    </row>
    <row r="59" spans="2:11" x14ac:dyDescent="0.25">
      <c r="B59" s="54"/>
      <c r="C59" s="54"/>
      <c r="D59" s="54"/>
      <c r="E59" s="54"/>
      <c r="F59" s="54"/>
      <c r="G59" s="54"/>
      <c r="H59" s="54"/>
      <c r="I59" s="54"/>
      <c r="J59" s="54"/>
      <c r="K59" s="54"/>
    </row>
    <row r="60" spans="2:11" s="221" customFormat="1" x14ac:dyDescent="0.25">
      <c r="B60" s="317" t="s">
        <v>535</v>
      </c>
      <c r="C60" s="242"/>
      <c r="D60" s="242"/>
      <c r="E60" s="318"/>
      <c r="F60" s="318"/>
      <c r="G60" s="318"/>
      <c r="H60" s="318"/>
      <c r="I60" s="318"/>
      <c r="J60" s="317" t="s">
        <v>535</v>
      </c>
      <c r="K60" s="318"/>
    </row>
    <row r="61" spans="2:11" x14ac:dyDescent="0.25">
      <c r="B61" s="48" t="s">
        <v>536</v>
      </c>
      <c r="C61" s="48"/>
      <c r="D61" s="48"/>
      <c r="E61" s="54"/>
      <c r="F61" s="54"/>
      <c r="G61" s="54"/>
      <c r="H61" s="54"/>
      <c r="I61" s="54"/>
      <c r="J61" s="48" t="s">
        <v>537</v>
      </c>
      <c r="K61" s="54"/>
    </row>
    <row r="62" spans="2:11" x14ac:dyDescent="0.25">
      <c r="B62" s="48" t="s">
        <v>538</v>
      </c>
      <c r="C62" s="48"/>
      <c r="D62" s="48"/>
      <c r="E62" s="54"/>
      <c r="F62" s="54"/>
      <c r="G62" s="54"/>
      <c r="H62" s="54"/>
      <c r="I62" s="54"/>
      <c r="J62" s="48" t="s">
        <v>539</v>
      </c>
      <c r="K62" s="54"/>
    </row>
    <row r="63" spans="2:11" x14ac:dyDescent="0.25">
      <c r="B63" s="48" t="s">
        <v>540</v>
      </c>
      <c r="C63" s="48"/>
      <c r="D63" s="48"/>
      <c r="E63" s="54"/>
      <c r="F63" s="54"/>
      <c r="G63" s="54"/>
      <c r="H63" s="54"/>
      <c r="I63" s="54"/>
      <c r="J63" s="48" t="s">
        <v>541</v>
      </c>
      <c r="K63" s="54"/>
    </row>
    <row r="64" spans="2:11" x14ac:dyDescent="0.25">
      <c r="B64" s="48" t="s">
        <v>542</v>
      </c>
      <c r="C64" s="48"/>
      <c r="D64" s="48"/>
      <c r="E64" s="54"/>
      <c r="F64" s="54"/>
      <c r="G64" s="54"/>
      <c r="H64" s="54"/>
      <c r="I64" s="54"/>
      <c r="J64" s="48" t="s">
        <v>543</v>
      </c>
      <c r="K64" s="54"/>
    </row>
    <row r="65" spans="2:11" x14ac:dyDescent="0.25">
      <c r="B65" s="48" t="s">
        <v>544</v>
      </c>
      <c r="C65" s="48"/>
      <c r="D65" s="48"/>
      <c r="E65" s="54"/>
      <c r="F65" s="54"/>
      <c r="G65" s="54"/>
      <c r="H65" s="54"/>
      <c r="I65" s="54"/>
      <c r="J65" s="48" t="s">
        <v>544</v>
      </c>
      <c r="K65" s="54"/>
    </row>
    <row r="66" spans="2:11" x14ac:dyDescent="0.25">
      <c r="B66" s="48"/>
      <c r="C66" s="48"/>
      <c r="D66" s="48"/>
      <c r="E66" s="54"/>
      <c r="F66" s="54"/>
      <c r="G66" s="54"/>
      <c r="H66" s="54"/>
      <c r="I66" s="54"/>
      <c r="J66" s="48" t="s">
        <v>545</v>
      </c>
      <c r="K66" s="54"/>
    </row>
    <row r="67" spans="2:11" x14ac:dyDescent="0.25">
      <c r="B67" s="48"/>
      <c r="C67" s="48"/>
      <c r="D67" s="48"/>
      <c r="E67" s="54"/>
      <c r="F67" s="54"/>
      <c r="G67" s="54"/>
      <c r="H67" s="54"/>
      <c r="I67" s="54"/>
      <c r="J67" s="48" t="s">
        <v>546</v>
      </c>
      <c r="K67" s="54"/>
    </row>
    <row r="68" spans="2:11" x14ac:dyDescent="0.25">
      <c r="B68" s="48"/>
      <c r="C68" s="48"/>
      <c r="D68" s="48"/>
      <c r="E68" s="54"/>
      <c r="F68" s="54"/>
      <c r="G68" s="54"/>
      <c r="H68" s="54"/>
      <c r="I68" s="54"/>
      <c r="J68" s="54"/>
      <c r="K68" s="54"/>
    </row>
    <row r="69" spans="2:11" x14ac:dyDescent="0.25">
      <c r="B69" s="48"/>
      <c r="C69" s="48"/>
      <c r="D69" s="48"/>
    </row>
    <row r="70" spans="2:11" x14ac:dyDescent="0.25">
      <c r="B70" s="48"/>
      <c r="C70" s="48"/>
      <c r="D70" s="48"/>
    </row>
    <row r="71" spans="2:11" x14ac:dyDescent="0.25">
      <c r="B71" s="48"/>
      <c r="C71" s="48"/>
      <c r="D71" s="48"/>
    </row>
    <row r="72" spans="2:11" x14ac:dyDescent="0.25">
      <c r="B72" s="48"/>
      <c r="C72" s="48"/>
      <c r="D72" s="48"/>
    </row>
    <row r="73" spans="2:11" x14ac:dyDescent="0.25">
      <c r="B73" s="48"/>
      <c r="C73" s="48"/>
      <c r="D73" s="48"/>
    </row>
    <row r="74" spans="2:11" x14ac:dyDescent="0.25">
      <c r="B74" s="48"/>
      <c r="C74" s="48"/>
      <c r="D74" s="48"/>
    </row>
    <row r="75" spans="2:11" x14ac:dyDescent="0.25">
      <c r="B75" s="48"/>
      <c r="C75" s="48"/>
      <c r="D75" s="48"/>
    </row>
    <row r="76" spans="2:11" x14ac:dyDescent="0.25">
      <c r="B76" s="48"/>
      <c r="C76" s="48"/>
      <c r="D76" s="48"/>
    </row>
    <row r="77" spans="2:11" x14ac:dyDescent="0.25">
      <c r="B77" s="10"/>
      <c r="C77" s="10"/>
      <c r="D77" s="10"/>
    </row>
  </sheetData>
  <mergeCells count="16">
    <mergeCell ref="D37:E37"/>
    <mergeCell ref="A40:A41"/>
    <mergeCell ref="N29:O29"/>
    <mergeCell ref="B34:C34"/>
    <mergeCell ref="D34:E34"/>
    <mergeCell ref="F34:G34"/>
    <mergeCell ref="H34:I34"/>
    <mergeCell ref="J34:K34"/>
    <mergeCell ref="L34:M34"/>
    <mergeCell ref="N34:O34"/>
    <mergeCell ref="B29:C29"/>
    <mergeCell ref="D29:E29"/>
    <mergeCell ref="F29:G29"/>
    <mergeCell ref="H29:I29"/>
    <mergeCell ref="J29:K29"/>
    <mergeCell ref="L29:M29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1"/>
  <sheetViews>
    <sheetView topLeftCell="A73" workbookViewId="0">
      <selection activeCell="O103" sqref="O103"/>
    </sheetView>
  </sheetViews>
  <sheetFormatPr defaultRowHeight="15" x14ac:dyDescent="0.25"/>
  <sheetData>
    <row r="1" spans="1:10" ht="30" x14ac:dyDescent="0.25">
      <c r="A1" s="428" t="s">
        <v>776</v>
      </c>
      <c r="B1" s="428" t="s">
        <v>777</v>
      </c>
      <c r="C1" s="428" t="s">
        <v>778</v>
      </c>
      <c r="D1" s="428" t="s">
        <v>779</v>
      </c>
      <c r="G1" s="428" t="s">
        <v>776</v>
      </c>
      <c r="H1" s="428" t="s">
        <v>777</v>
      </c>
      <c r="I1" s="428" t="s">
        <v>778</v>
      </c>
      <c r="J1" s="428" t="s">
        <v>779</v>
      </c>
    </row>
    <row r="2" spans="1:10" x14ac:dyDescent="0.25">
      <c r="A2" s="65" t="s">
        <v>190</v>
      </c>
      <c r="B2" s="65">
        <v>40</v>
      </c>
      <c r="C2" s="65">
        <v>30</v>
      </c>
      <c r="D2" s="65">
        <v>60</v>
      </c>
      <c r="G2" s="65">
        <v>-1</v>
      </c>
      <c r="H2" s="65">
        <v>-1</v>
      </c>
      <c r="I2" s="65">
        <v>-1</v>
      </c>
      <c r="J2" s="65">
        <v>60</v>
      </c>
    </row>
    <row r="3" spans="1:10" x14ac:dyDescent="0.25">
      <c r="A3" s="65" t="s">
        <v>191</v>
      </c>
      <c r="B3" s="65">
        <v>40</v>
      </c>
      <c r="C3" s="65">
        <v>30</v>
      </c>
      <c r="D3" s="65">
        <v>60</v>
      </c>
      <c r="G3" s="65">
        <v>1</v>
      </c>
      <c r="H3" s="65">
        <v>-1</v>
      </c>
      <c r="I3" s="65">
        <v>-1</v>
      </c>
      <c r="J3" s="65">
        <v>60</v>
      </c>
    </row>
    <row r="4" spans="1:10" x14ac:dyDescent="0.25">
      <c r="A4" s="65" t="s">
        <v>190</v>
      </c>
      <c r="B4" s="65">
        <v>60</v>
      </c>
      <c r="C4" s="65">
        <v>30</v>
      </c>
      <c r="D4" s="65">
        <v>42</v>
      </c>
      <c r="G4" s="65">
        <v>-1</v>
      </c>
      <c r="H4" s="65">
        <v>1</v>
      </c>
      <c r="I4" s="65">
        <v>-1</v>
      </c>
      <c r="J4" s="65">
        <v>42</v>
      </c>
    </row>
    <row r="5" spans="1:10" x14ac:dyDescent="0.25">
      <c r="A5" s="65" t="s">
        <v>191</v>
      </c>
      <c r="B5" s="65">
        <v>60</v>
      </c>
      <c r="C5" s="65">
        <v>30</v>
      </c>
      <c r="D5" s="65">
        <v>75</v>
      </c>
      <c r="G5" s="65">
        <v>1</v>
      </c>
      <c r="H5" s="65">
        <v>1</v>
      </c>
      <c r="I5" s="65">
        <v>-1</v>
      </c>
      <c r="J5" s="65">
        <v>75</v>
      </c>
    </row>
    <row r="6" spans="1:10" x14ac:dyDescent="0.25">
      <c r="A6" s="65" t="s">
        <v>190</v>
      </c>
      <c r="B6" s="65">
        <v>40</v>
      </c>
      <c r="C6" s="65">
        <v>120</v>
      </c>
      <c r="D6" s="65">
        <v>73</v>
      </c>
      <c r="G6" s="65">
        <v>-1</v>
      </c>
      <c r="H6" s="65">
        <v>-1</v>
      </c>
      <c r="I6" s="65">
        <v>1</v>
      </c>
      <c r="J6" s="65">
        <v>73</v>
      </c>
    </row>
    <row r="7" spans="1:10" x14ac:dyDescent="0.25">
      <c r="A7" s="65" t="s">
        <v>191</v>
      </c>
      <c r="B7" s="65">
        <v>40</v>
      </c>
      <c r="C7" s="65">
        <v>120</v>
      </c>
      <c r="D7" s="65">
        <v>92</v>
      </c>
      <c r="G7" s="65">
        <v>1</v>
      </c>
      <c r="H7" s="65">
        <v>-1</v>
      </c>
      <c r="I7" s="65">
        <v>1</v>
      </c>
      <c r="J7" s="65">
        <v>92</v>
      </c>
    </row>
    <row r="8" spans="1:10" x14ac:dyDescent="0.25">
      <c r="A8" s="65" t="s">
        <v>190</v>
      </c>
      <c r="B8" s="65">
        <v>60</v>
      </c>
      <c r="C8" s="65">
        <v>120</v>
      </c>
      <c r="D8" s="65">
        <v>59</v>
      </c>
      <c r="G8" s="65">
        <v>-1</v>
      </c>
      <c r="H8" s="65">
        <v>1</v>
      </c>
      <c r="I8" s="65">
        <v>1</v>
      </c>
      <c r="J8" s="65">
        <v>59</v>
      </c>
    </row>
    <row r="9" spans="1:10" x14ac:dyDescent="0.25">
      <c r="A9" s="65" t="s">
        <v>191</v>
      </c>
      <c r="B9" s="65">
        <v>60</v>
      </c>
      <c r="C9" s="65">
        <v>120</v>
      </c>
      <c r="D9" s="65">
        <v>87</v>
      </c>
      <c r="G9" s="65">
        <v>1</v>
      </c>
      <c r="H9" s="65">
        <v>1</v>
      </c>
      <c r="I9" s="65">
        <v>1</v>
      </c>
      <c r="J9" s="65">
        <v>87</v>
      </c>
    </row>
    <row r="10" spans="1:10" x14ac:dyDescent="0.25">
      <c r="A10" s="65" t="s">
        <v>190</v>
      </c>
      <c r="B10" s="65">
        <v>40</v>
      </c>
      <c r="C10" s="65">
        <v>30</v>
      </c>
      <c r="D10" s="65">
        <v>59</v>
      </c>
      <c r="G10" s="65">
        <v>-1</v>
      </c>
      <c r="H10" s="65">
        <v>-1</v>
      </c>
      <c r="I10" s="65">
        <v>-1</v>
      </c>
      <c r="J10" s="65">
        <v>59</v>
      </c>
    </row>
    <row r="11" spans="1:10" x14ac:dyDescent="0.25">
      <c r="A11" s="65" t="s">
        <v>191</v>
      </c>
      <c r="B11" s="65">
        <v>40</v>
      </c>
      <c r="C11" s="65">
        <v>30</v>
      </c>
      <c r="D11" s="65">
        <v>62</v>
      </c>
      <c r="G11" s="65">
        <v>1</v>
      </c>
      <c r="H11" s="65">
        <v>-1</v>
      </c>
      <c r="I11" s="65">
        <v>-1</v>
      </c>
      <c r="J11" s="65">
        <v>62</v>
      </c>
    </row>
    <row r="12" spans="1:10" x14ac:dyDescent="0.25">
      <c r="A12" s="65" t="s">
        <v>190</v>
      </c>
      <c r="B12" s="65">
        <v>60</v>
      </c>
      <c r="C12" s="65">
        <v>30</v>
      </c>
      <c r="D12" s="65">
        <v>39</v>
      </c>
      <c r="G12" s="65">
        <v>-1</v>
      </c>
      <c r="H12" s="65">
        <v>1</v>
      </c>
      <c r="I12" s="65">
        <v>-1</v>
      </c>
      <c r="J12" s="65">
        <v>39</v>
      </c>
    </row>
    <row r="13" spans="1:10" x14ac:dyDescent="0.25">
      <c r="A13" s="65" t="s">
        <v>191</v>
      </c>
      <c r="B13" s="65">
        <v>60</v>
      </c>
      <c r="C13" s="65">
        <v>30</v>
      </c>
      <c r="D13" s="65">
        <v>76</v>
      </c>
      <c r="G13" s="65">
        <v>1</v>
      </c>
      <c r="H13" s="65">
        <v>1</v>
      </c>
      <c r="I13" s="65">
        <v>-1</v>
      </c>
      <c r="J13" s="65">
        <v>76</v>
      </c>
    </row>
    <row r="14" spans="1:10" x14ac:dyDescent="0.25">
      <c r="A14" s="65" t="s">
        <v>190</v>
      </c>
      <c r="B14" s="65">
        <v>40</v>
      </c>
      <c r="C14" s="65">
        <v>120</v>
      </c>
      <c r="D14" s="65">
        <v>76</v>
      </c>
      <c r="G14" s="65">
        <v>-1</v>
      </c>
      <c r="H14" s="65">
        <v>-1</v>
      </c>
      <c r="I14" s="65">
        <v>1</v>
      </c>
      <c r="J14" s="65">
        <v>76</v>
      </c>
    </row>
    <row r="15" spans="1:10" x14ac:dyDescent="0.25">
      <c r="A15" s="65" t="s">
        <v>191</v>
      </c>
      <c r="B15" s="65">
        <v>40</v>
      </c>
      <c r="C15" s="65">
        <v>120</v>
      </c>
      <c r="D15" s="65">
        <v>91</v>
      </c>
      <c r="G15" s="65">
        <v>1</v>
      </c>
      <c r="H15" s="65">
        <v>-1</v>
      </c>
      <c r="I15" s="65">
        <v>1</v>
      </c>
      <c r="J15" s="65">
        <v>91</v>
      </c>
    </row>
    <row r="16" spans="1:10" x14ac:dyDescent="0.25">
      <c r="A16" s="65" t="s">
        <v>190</v>
      </c>
      <c r="B16" s="65">
        <v>60</v>
      </c>
      <c r="C16" s="65">
        <v>120</v>
      </c>
      <c r="D16" s="65">
        <v>58</v>
      </c>
      <c r="G16" s="65">
        <v>-1</v>
      </c>
      <c r="H16" s="65">
        <v>1</v>
      </c>
      <c r="I16" s="65">
        <v>1</v>
      </c>
      <c r="J16" s="65">
        <v>58</v>
      </c>
    </row>
    <row r="17" spans="1:10" x14ac:dyDescent="0.25">
      <c r="A17" s="65" t="s">
        <v>191</v>
      </c>
      <c r="B17" s="65">
        <v>60</v>
      </c>
      <c r="C17" s="65">
        <v>120</v>
      </c>
      <c r="D17" s="65">
        <v>88</v>
      </c>
      <c r="G17" s="65">
        <v>1</v>
      </c>
      <c r="H17" s="65">
        <v>1</v>
      </c>
      <c r="I17" s="65">
        <v>1</v>
      </c>
      <c r="J17" s="65">
        <v>88</v>
      </c>
    </row>
    <row r="18" spans="1:10" x14ac:dyDescent="0.25">
      <c r="A18" s="429" t="s">
        <v>190</v>
      </c>
      <c r="B18" s="430">
        <v>50</v>
      </c>
      <c r="C18" s="430">
        <v>75</v>
      </c>
      <c r="D18" s="431">
        <v>68</v>
      </c>
      <c r="G18" s="429">
        <v>-1</v>
      </c>
      <c r="H18" s="430">
        <v>0</v>
      </c>
      <c r="I18" s="430">
        <v>0</v>
      </c>
      <c r="J18" s="431">
        <v>68</v>
      </c>
    </row>
    <row r="19" spans="1:10" x14ac:dyDescent="0.25">
      <c r="A19" s="432" t="s">
        <v>191</v>
      </c>
      <c r="B19" s="433">
        <v>50</v>
      </c>
      <c r="C19" s="433">
        <v>75</v>
      </c>
      <c r="D19" s="434">
        <v>69</v>
      </c>
      <c r="G19" s="432">
        <v>1</v>
      </c>
      <c r="H19" s="433">
        <v>0</v>
      </c>
      <c r="I19" s="433">
        <v>0</v>
      </c>
      <c r="J19" s="434">
        <v>69</v>
      </c>
    </row>
    <row r="20" spans="1:10" x14ac:dyDescent="0.25">
      <c r="A20" s="432" t="s">
        <v>190</v>
      </c>
      <c r="B20" s="433">
        <v>50</v>
      </c>
      <c r="C20" s="433">
        <v>75</v>
      </c>
      <c r="D20" s="434">
        <v>67</v>
      </c>
      <c r="G20" s="432">
        <v>-1</v>
      </c>
      <c r="H20" s="433">
        <v>0</v>
      </c>
      <c r="I20" s="433">
        <v>0</v>
      </c>
      <c r="J20" s="434">
        <v>67</v>
      </c>
    </row>
    <row r="21" spans="1:10" x14ac:dyDescent="0.25">
      <c r="A21" s="432" t="s">
        <v>191</v>
      </c>
      <c r="B21" s="433">
        <v>50</v>
      </c>
      <c r="C21" s="433">
        <v>75</v>
      </c>
      <c r="D21" s="434">
        <v>70</v>
      </c>
      <c r="G21" s="432">
        <v>1</v>
      </c>
      <c r="H21" s="433">
        <v>0</v>
      </c>
      <c r="I21" s="433">
        <v>0</v>
      </c>
      <c r="J21" s="434">
        <v>70</v>
      </c>
    </row>
    <row r="22" spans="1:10" x14ac:dyDescent="0.25">
      <c r="A22" s="432" t="s">
        <v>190</v>
      </c>
      <c r="B22" s="433">
        <v>50</v>
      </c>
      <c r="C22" s="433">
        <v>75</v>
      </c>
      <c r="D22" s="434">
        <v>71</v>
      </c>
      <c r="G22" s="432">
        <v>-1</v>
      </c>
      <c r="H22" s="433">
        <v>0</v>
      </c>
      <c r="I22" s="433">
        <v>0</v>
      </c>
      <c r="J22" s="434">
        <v>71</v>
      </c>
    </row>
    <row r="23" spans="1:10" x14ac:dyDescent="0.25">
      <c r="A23" s="432" t="s">
        <v>191</v>
      </c>
      <c r="B23" s="433">
        <v>50</v>
      </c>
      <c r="C23" s="433">
        <v>75</v>
      </c>
      <c r="D23" s="434">
        <v>68</v>
      </c>
      <c r="G23" s="432">
        <v>1</v>
      </c>
      <c r="H23" s="433">
        <v>0</v>
      </c>
      <c r="I23" s="433">
        <v>0</v>
      </c>
      <c r="J23" s="434">
        <v>68</v>
      </c>
    </row>
    <row r="24" spans="1:10" x14ac:dyDescent="0.25">
      <c r="A24" s="432" t="s">
        <v>190</v>
      </c>
      <c r="B24" s="433">
        <v>50</v>
      </c>
      <c r="C24" s="433">
        <v>75</v>
      </c>
      <c r="D24" s="434">
        <v>68</v>
      </c>
      <c r="G24" s="432">
        <v>-1</v>
      </c>
      <c r="H24" s="433">
        <v>0</v>
      </c>
      <c r="I24" s="433">
        <v>0</v>
      </c>
      <c r="J24" s="434">
        <v>68</v>
      </c>
    </row>
    <row r="25" spans="1:10" x14ac:dyDescent="0.25">
      <c r="A25" s="435" t="s">
        <v>191</v>
      </c>
      <c r="B25" s="436">
        <v>50</v>
      </c>
      <c r="C25" s="436">
        <v>75</v>
      </c>
      <c r="D25" s="437">
        <v>70</v>
      </c>
      <c r="G25" s="435">
        <v>1</v>
      </c>
      <c r="H25" s="436">
        <v>0</v>
      </c>
      <c r="I25" s="436">
        <v>0</v>
      </c>
      <c r="J25" s="437">
        <v>70</v>
      </c>
    </row>
    <row r="83" spans="10:17" x14ac:dyDescent="0.25">
      <c r="J83" t="s">
        <v>781</v>
      </c>
    </row>
    <row r="84" spans="10:17" x14ac:dyDescent="0.25">
      <c r="J84" t="s">
        <v>780</v>
      </c>
    </row>
    <row r="86" spans="10:17" x14ac:dyDescent="0.25">
      <c r="J86" t="s">
        <v>785</v>
      </c>
    </row>
    <row r="87" spans="10:17" ht="17.25" x14ac:dyDescent="0.25">
      <c r="J87" t="s">
        <v>786</v>
      </c>
    </row>
    <row r="88" spans="10:17" x14ac:dyDescent="0.25">
      <c r="J88" t="s">
        <v>796</v>
      </c>
    </row>
    <row r="89" spans="10:17" x14ac:dyDescent="0.25">
      <c r="J89" t="s">
        <v>782</v>
      </c>
    </row>
    <row r="90" spans="10:17" x14ac:dyDescent="0.25">
      <c r="J90" t="s">
        <v>793</v>
      </c>
    </row>
    <row r="91" spans="10:17" x14ac:dyDescent="0.25">
      <c r="J91" t="s">
        <v>783</v>
      </c>
    </row>
    <row r="92" spans="10:17" x14ac:dyDescent="0.25">
      <c r="J92" t="s">
        <v>784</v>
      </c>
    </row>
    <row r="93" spans="10:17" x14ac:dyDescent="0.25">
      <c r="J93" t="s">
        <v>792</v>
      </c>
    </row>
    <row r="96" spans="10:17" x14ac:dyDescent="0.25">
      <c r="Q96" s="438"/>
    </row>
    <row r="97" spans="13:23" x14ac:dyDescent="0.25">
      <c r="M97" s="438"/>
      <c r="Q97" s="438"/>
    </row>
    <row r="98" spans="13:23" x14ac:dyDescent="0.25">
      <c r="M98" s="440" t="s">
        <v>787</v>
      </c>
      <c r="P98" s="439" t="s">
        <v>788</v>
      </c>
      <c r="Q98" s="221"/>
      <c r="R98" s="221"/>
      <c r="S98" s="221"/>
      <c r="T98" s="221"/>
      <c r="U98" s="221"/>
      <c r="V98" s="441"/>
      <c r="W98" s="221"/>
    </row>
    <row r="99" spans="13:23" x14ac:dyDescent="0.25">
      <c r="M99" s="68" t="s">
        <v>789</v>
      </c>
      <c r="P99" t="s">
        <v>794</v>
      </c>
    </row>
    <row r="100" spans="13:23" x14ac:dyDescent="0.25">
      <c r="M100" s="68" t="s">
        <v>790</v>
      </c>
      <c r="P100" t="s">
        <v>795</v>
      </c>
    </row>
    <row r="101" spans="13:23" x14ac:dyDescent="0.25">
      <c r="M101" s="68" t="s">
        <v>791</v>
      </c>
      <c r="P101" t="s">
        <v>797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62"/>
  <sheetViews>
    <sheetView workbookViewId="0">
      <selection activeCell="F3" sqref="F3"/>
    </sheetView>
  </sheetViews>
  <sheetFormatPr defaultRowHeight="15" x14ac:dyDescent="0.25"/>
  <cols>
    <col min="5" max="5" width="16.5703125" customWidth="1"/>
    <col min="6" max="6" width="18" customWidth="1"/>
  </cols>
  <sheetData>
    <row r="1" spans="1:16" x14ac:dyDescent="0.25">
      <c r="A1" t="s">
        <v>319</v>
      </c>
    </row>
    <row r="2" spans="1:16" x14ac:dyDescent="0.25">
      <c r="A2" t="s">
        <v>320</v>
      </c>
    </row>
    <row r="3" spans="1:16" x14ac:dyDescent="0.25">
      <c r="A3" t="s">
        <v>321</v>
      </c>
    </row>
    <row r="4" spans="1:16" x14ac:dyDescent="0.25">
      <c r="E4" s="422" t="s">
        <v>251</v>
      </c>
      <c r="F4" s="421"/>
    </row>
    <row r="5" spans="1:16" x14ac:dyDescent="0.25">
      <c r="E5" s="254" t="s">
        <v>322</v>
      </c>
      <c r="F5" s="247" t="s">
        <v>323</v>
      </c>
      <c r="I5" t="s">
        <v>798</v>
      </c>
      <c r="P5" t="s">
        <v>799</v>
      </c>
    </row>
    <row r="6" spans="1:16" x14ac:dyDescent="0.25">
      <c r="C6" s="426" t="s">
        <v>250</v>
      </c>
      <c r="D6" s="81" t="s">
        <v>324</v>
      </c>
      <c r="E6" s="253">
        <v>9.6</v>
      </c>
      <c r="F6" s="246">
        <v>9</v>
      </c>
    </row>
    <row r="7" spans="1:16" x14ac:dyDescent="0.25">
      <c r="C7" s="427"/>
      <c r="D7" s="83" t="s">
        <v>635</v>
      </c>
      <c r="E7" s="255">
        <v>9.98</v>
      </c>
      <c r="F7" s="248">
        <v>9.8000000000000007</v>
      </c>
    </row>
    <row r="8" spans="1:16" x14ac:dyDescent="0.25">
      <c r="C8" s="371"/>
      <c r="D8" s="10"/>
      <c r="E8" s="13"/>
      <c r="F8" s="13"/>
    </row>
    <row r="9" spans="1:16" x14ac:dyDescent="0.25">
      <c r="F9" s="10">
        <v>-1</v>
      </c>
      <c r="G9" s="10">
        <v>1</v>
      </c>
    </row>
    <row r="10" spans="1:16" x14ac:dyDescent="0.25">
      <c r="A10" t="s">
        <v>325</v>
      </c>
      <c r="C10" s="30">
        <f>AVERAGE(E7:F7)-AVERAGE(E6:F6)</f>
        <v>0.58999999999999986</v>
      </c>
      <c r="D10">
        <f>G10-F10</f>
        <v>0.58999999999999986</v>
      </c>
      <c r="F10" s="38">
        <f>AVERAGE(E6:F6)</f>
        <v>9.3000000000000007</v>
      </c>
      <c r="G10" s="38">
        <f>AVERAGE(E7:F7)</f>
        <v>9.89</v>
      </c>
    </row>
    <row r="11" spans="1:16" x14ac:dyDescent="0.25">
      <c r="A11" t="s">
        <v>326</v>
      </c>
      <c r="C11" s="30">
        <f>AVERAGE(F6:F7)-AVERAGE(E6:E7)</f>
        <v>-0.38999999999999879</v>
      </c>
      <c r="D11">
        <f>G11-F11</f>
        <v>-0.38999999999999879</v>
      </c>
      <c r="F11" s="38">
        <f>AVERAGE(E6:E7)</f>
        <v>9.7899999999999991</v>
      </c>
      <c r="G11" s="38">
        <f>AVERAGE(F6:F7)</f>
        <v>9.4</v>
      </c>
    </row>
    <row r="12" spans="1:16" x14ac:dyDescent="0.25">
      <c r="A12" t="s">
        <v>327</v>
      </c>
      <c r="C12" s="30">
        <f>AVERAGE(E6,F7)-AVERAGE(E7,F6)</f>
        <v>0.20999999999999908</v>
      </c>
      <c r="D12">
        <f>G12-F12</f>
        <v>0.20999999999999908</v>
      </c>
      <c r="F12" s="38">
        <f>AVERAGE(E7,F6)</f>
        <v>9.49</v>
      </c>
      <c r="G12" s="38">
        <f>AVERAGE(E6,F7)</f>
        <v>9.6999999999999993</v>
      </c>
    </row>
    <row r="13" spans="1:16" x14ac:dyDescent="0.25">
      <c r="C13" s="52"/>
    </row>
    <row r="14" spans="1:16" x14ac:dyDescent="0.25">
      <c r="C14" s="52"/>
    </row>
    <row r="15" spans="1:16" x14ac:dyDescent="0.25">
      <c r="C15" s="52"/>
    </row>
    <row r="16" spans="1:16" x14ac:dyDescent="0.25">
      <c r="C16" s="52"/>
    </row>
    <row r="17" spans="1:6" x14ac:dyDescent="0.25">
      <c r="C17" s="52"/>
    </row>
    <row r="18" spans="1:6" x14ac:dyDescent="0.25">
      <c r="C18" s="52"/>
    </row>
    <row r="19" spans="1:6" x14ac:dyDescent="0.25">
      <c r="C19" s="52"/>
    </row>
    <row r="20" spans="1:6" x14ac:dyDescent="0.25">
      <c r="C20" s="52"/>
    </row>
    <row r="21" spans="1:6" x14ac:dyDescent="0.25">
      <c r="C21" s="52"/>
    </row>
    <row r="22" spans="1:6" x14ac:dyDescent="0.25">
      <c r="C22" s="52"/>
    </row>
    <row r="23" spans="1:6" x14ac:dyDescent="0.25">
      <c r="C23" s="52"/>
    </row>
    <row r="24" spans="1:6" x14ac:dyDescent="0.25">
      <c r="C24" s="52"/>
    </row>
    <row r="25" spans="1:6" x14ac:dyDescent="0.25">
      <c r="C25" s="52"/>
    </row>
    <row r="26" spans="1:6" x14ac:dyDescent="0.25">
      <c r="C26" s="52"/>
    </row>
    <row r="27" spans="1:6" x14ac:dyDescent="0.25">
      <c r="C27" s="52"/>
    </row>
    <row r="28" spans="1:6" x14ac:dyDescent="0.25">
      <c r="A28" t="s">
        <v>328</v>
      </c>
    </row>
    <row r="29" spans="1:6" x14ac:dyDescent="0.25">
      <c r="A29" t="s">
        <v>329</v>
      </c>
    </row>
    <row r="30" spans="1:6" x14ac:dyDescent="0.25">
      <c r="A30" t="s">
        <v>330</v>
      </c>
      <c r="E30" s="422" t="s">
        <v>251</v>
      </c>
      <c r="F30" s="421"/>
    </row>
    <row r="31" spans="1:6" x14ac:dyDescent="0.25">
      <c r="E31" s="254" t="s">
        <v>547</v>
      </c>
      <c r="F31" s="247" t="s">
        <v>548</v>
      </c>
    </row>
    <row r="32" spans="1:6" x14ac:dyDescent="0.25">
      <c r="C32" s="426" t="s">
        <v>250</v>
      </c>
      <c r="D32" s="81">
        <v>125</v>
      </c>
      <c r="E32" s="253" t="s">
        <v>331</v>
      </c>
      <c r="F32" s="246" t="s">
        <v>332</v>
      </c>
    </row>
    <row r="33" spans="1:6" x14ac:dyDescent="0.25">
      <c r="C33" s="427"/>
      <c r="D33" s="83">
        <v>200</v>
      </c>
      <c r="E33" s="255" t="s">
        <v>333</v>
      </c>
      <c r="F33" s="248" t="s">
        <v>334</v>
      </c>
    </row>
    <row r="34" spans="1:6" x14ac:dyDescent="0.25">
      <c r="E34">
        <v>-1</v>
      </c>
      <c r="F34">
        <v>1</v>
      </c>
    </row>
    <row r="35" spans="1:6" x14ac:dyDescent="0.25">
      <c r="A35" t="s">
        <v>325</v>
      </c>
      <c r="C35" s="123">
        <f>AVERAGE(2.83,2.86,2.94,2.88)-AVERAGE(2.7,2.78,2.75,2.86)</f>
        <v>0.10499999999999954</v>
      </c>
      <c r="E35" s="123">
        <f>AVERAGE(2.7,2.78,2.75,2.86)</f>
        <v>2.7725</v>
      </c>
      <c r="F35" s="123">
        <f>AVERAGE(2.83,2.86,2.94,2.88)</f>
        <v>2.8774999999999995</v>
      </c>
    </row>
    <row r="36" spans="1:6" x14ac:dyDescent="0.25">
      <c r="A36" t="s">
        <v>326</v>
      </c>
      <c r="C36" s="123">
        <f>AVERAGE(2.75,2.86,2.94,2.88)-AVERAGE(2.7,2.78,2.83,2.86)</f>
        <v>6.4999999999999947E-2</v>
      </c>
      <c r="E36" s="123">
        <f>AVERAGE(2.7,2.78,2.83,2.86)</f>
        <v>2.7925</v>
      </c>
      <c r="F36" s="123">
        <f>AVERAGE(2.75,2.86,2.94,2.88)</f>
        <v>2.8574999999999999</v>
      </c>
    </row>
    <row r="37" spans="1:6" x14ac:dyDescent="0.25">
      <c r="A37" t="s">
        <v>327</v>
      </c>
      <c r="C37" s="123">
        <f>AVERAGE(2.7,2.78,2.94,2.88)-AVERAGE(2.83,2.86,2.75,2.86)</f>
        <v>0</v>
      </c>
      <c r="E37" s="30">
        <f>AVERAGE(2.83,2.86,2.75,2.86)</f>
        <v>2.8249999999999997</v>
      </c>
      <c r="F37" s="30">
        <f>AVERAGE(2.7,2.78,2.94,2.88)</f>
        <v>2.8250000000000002</v>
      </c>
    </row>
    <row r="40" spans="1:6" x14ac:dyDescent="0.25">
      <c r="A40" t="s">
        <v>549</v>
      </c>
    </row>
    <row r="41" spans="1:6" x14ac:dyDescent="0.25">
      <c r="E41">
        <v>-1</v>
      </c>
      <c r="F41">
        <v>1</v>
      </c>
    </row>
    <row r="42" spans="1:6" x14ac:dyDescent="0.25">
      <c r="D42">
        <v>-1</v>
      </c>
      <c r="E42" s="70">
        <f>AVERAGE(2.7,2.78)</f>
        <v>2.74</v>
      </c>
      <c r="F42" s="70">
        <f>AVERAGE(2.75,2.86)</f>
        <v>2.8049999999999997</v>
      </c>
    </row>
    <row r="43" spans="1:6" x14ac:dyDescent="0.25">
      <c r="D43">
        <v>1</v>
      </c>
      <c r="E43" s="70">
        <f>AVERAGE(2.83,2.86)</f>
        <v>2.8449999999999998</v>
      </c>
      <c r="F43" s="70">
        <f>AVERAGE(2.94,2.88)</f>
        <v>2.91</v>
      </c>
    </row>
    <row r="53" spans="1:6" x14ac:dyDescent="0.25">
      <c r="A53" t="s">
        <v>550</v>
      </c>
    </row>
    <row r="54" spans="1:6" x14ac:dyDescent="0.25">
      <c r="A54" t="s">
        <v>329</v>
      </c>
    </row>
    <row r="55" spans="1:6" x14ac:dyDescent="0.25">
      <c r="A55" t="s">
        <v>330</v>
      </c>
      <c r="E55" s="422" t="s">
        <v>251</v>
      </c>
      <c r="F55" s="421"/>
    </row>
    <row r="56" spans="1:6" x14ac:dyDescent="0.25">
      <c r="E56" s="254">
        <v>0.03</v>
      </c>
      <c r="F56" s="247">
        <v>0.06</v>
      </c>
    </row>
    <row r="57" spans="1:6" x14ac:dyDescent="0.25">
      <c r="C57" s="426" t="s">
        <v>250</v>
      </c>
      <c r="D57" s="81">
        <v>125</v>
      </c>
      <c r="E57" s="253" t="s">
        <v>335</v>
      </c>
      <c r="F57" s="246" t="s">
        <v>332</v>
      </c>
    </row>
    <row r="58" spans="1:6" x14ac:dyDescent="0.25">
      <c r="C58" s="427"/>
      <c r="D58" s="83">
        <v>200</v>
      </c>
      <c r="E58" s="255" t="s">
        <v>336</v>
      </c>
      <c r="F58" s="248" t="s">
        <v>334</v>
      </c>
    </row>
    <row r="60" spans="1:6" x14ac:dyDescent="0.25">
      <c r="A60" t="s">
        <v>325</v>
      </c>
      <c r="C60" s="123"/>
    </row>
    <row r="61" spans="1:6" x14ac:dyDescent="0.25">
      <c r="A61" t="s">
        <v>326</v>
      </c>
      <c r="C61" s="123"/>
    </row>
    <row r="62" spans="1:6" x14ac:dyDescent="0.25">
      <c r="A62" t="s">
        <v>327</v>
      </c>
      <c r="C62" s="123"/>
    </row>
  </sheetData>
  <mergeCells count="6">
    <mergeCell ref="C57:C58"/>
    <mergeCell ref="E4:F4"/>
    <mergeCell ref="C6:C7"/>
    <mergeCell ref="E30:F30"/>
    <mergeCell ref="C32:C33"/>
    <mergeCell ref="E55:F55"/>
  </mergeCells>
  <pageMargins left="0.25" right="0.25" top="0.75" bottom="0.75" header="0.3" footer="0.3"/>
  <pageSetup paperSize="9" scale="54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zoomScale="85" zoomScaleNormal="85" workbookViewId="0">
      <selection activeCell="E17" sqref="E17"/>
    </sheetView>
  </sheetViews>
  <sheetFormatPr defaultRowHeight="15" x14ac:dyDescent="0.25"/>
  <sheetData>
    <row r="1" spans="1:7" x14ac:dyDescent="0.25">
      <c r="A1" t="s">
        <v>0</v>
      </c>
      <c r="B1" s="2"/>
      <c r="C1" s="2" t="s">
        <v>250</v>
      </c>
      <c r="D1" s="2" t="s">
        <v>251</v>
      </c>
      <c r="E1" s="2" t="s">
        <v>252</v>
      </c>
    </row>
    <row r="2" spans="1:7" x14ac:dyDescent="0.25">
      <c r="B2" s="2" t="s">
        <v>352</v>
      </c>
      <c r="C2" s="2" t="s">
        <v>353</v>
      </c>
      <c r="D2" s="2" t="s">
        <v>354</v>
      </c>
      <c r="E2" s="2" t="s">
        <v>355</v>
      </c>
      <c r="F2" t="s">
        <v>356</v>
      </c>
      <c r="G2" t="s">
        <v>357</v>
      </c>
    </row>
    <row r="3" spans="1:7" x14ac:dyDescent="0.25">
      <c r="B3" s="124">
        <v>6</v>
      </c>
      <c r="C3" s="124">
        <v>45</v>
      </c>
      <c r="D3" s="124">
        <v>6</v>
      </c>
      <c r="E3" s="124">
        <v>11</v>
      </c>
      <c r="F3" s="124">
        <v>16</v>
      </c>
      <c r="G3" s="124">
        <v>17.600000000000001</v>
      </c>
    </row>
    <row r="4" spans="1:7" x14ac:dyDescent="0.25">
      <c r="B4" s="124">
        <v>8</v>
      </c>
      <c r="C4" s="124">
        <v>45</v>
      </c>
      <c r="D4" s="124">
        <v>6</v>
      </c>
      <c r="E4" s="124">
        <v>16</v>
      </c>
      <c r="F4" s="124">
        <v>21</v>
      </c>
      <c r="G4" s="124">
        <v>20.2</v>
      </c>
    </row>
    <row r="5" spans="1:7" x14ac:dyDescent="0.25">
      <c r="B5" s="124">
        <v>1</v>
      </c>
      <c r="C5" s="124">
        <v>45</v>
      </c>
      <c r="D5" s="124">
        <v>10</v>
      </c>
      <c r="E5" s="124">
        <v>11</v>
      </c>
      <c r="F5" s="124">
        <v>15</v>
      </c>
      <c r="G5" s="124">
        <v>14.8</v>
      </c>
    </row>
    <row r="6" spans="1:7" x14ac:dyDescent="0.25">
      <c r="B6" s="124">
        <v>4</v>
      </c>
      <c r="C6" s="124">
        <v>45</v>
      </c>
      <c r="D6" s="124">
        <v>10</v>
      </c>
      <c r="E6" s="124">
        <v>16</v>
      </c>
      <c r="F6" s="124">
        <v>18</v>
      </c>
      <c r="G6" s="124">
        <v>17.3</v>
      </c>
    </row>
    <row r="7" spans="1:7" x14ac:dyDescent="0.25">
      <c r="B7" s="124">
        <v>2</v>
      </c>
      <c r="C7" s="124">
        <v>90</v>
      </c>
      <c r="D7" s="124">
        <v>6</v>
      </c>
      <c r="E7" s="124">
        <v>11</v>
      </c>
      <c r="F7" s="124">
        <v>17.5</v>
      </c>
      <c r="G7" s="124">
        <v>17.7</v>
      </c>
    </row>
    <row r="8" spans="1:7" x14ac:dyDescent="0.25">
      <c r="B8" s="124">
        <v>5</v>
      </c>
      <c r="C8" s="124">
        <v>90</v>
      </c>
      <c r="D8" s="124">
        <v>6</v>
      </c>
      <c r="E8" s="124">
        <v>16</v>
      </c>
      <c r="F8" s="124">
        <v>21.5</v>
      </c>
      <c r="G8" s="124">
        <v>20.9</v>
      </c>
    </row>
    <row r="9" spans="1:7" x14ac:dyDescent="0.25">
      <c r="B9" s="124">
        <v>3</v>
      </c>
      <c r="C9" s="124">
        <v>90</v>
      </c>
      <c r="D9" s="124">
        <v>10</v>
      </c>
      <c r="E9" s="124">
        <v>11</v>
      </c>
      <c r="F9" s="124">
        <v>24.2</v>
      </c>
      <c r="G9" s="124">
        <v>23.1</v>
      </c>
    </row>
    <row r="10" spans="1:7" x14ac:dyDescent="0.25">
      <c r="B10" s="124">
        <v>7</v>
      </c>
      <c r="C10" s="124">
        <v>90</v>
      </c>
      <c r="D10" s="124">
        <v>10</v>
      </c>
      <c r="E10" s="124">
        <v>16</v>
      </c>
      <c r="F10" s="124">
        <v>27.6</v>
      </c>
      <c r="G10" s="124">
        <v>28.2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58"/>
  <sheetViews>
    <sheetView tabSelected="1" topLeftCell="A22" workbookViewId="0">
      <selection activeCell="B53" sqref="B53"/>
    </sheetView>
  </sheetViews>
  <sheetFormatPr defaultRowHeight="15" x14ac:dyDescent="0.25"/>
  <cols>
    <col min="4" max="4" width="14.140625" bestFit="1" customWidth="1"/>
  </cols>
  <sheetData>
    <row r="1" spans="1:20" x14ac:dyDescent="0.25">
      <c r="A1" s="92" t="s">
        <v>775</v>
      </c>
    </row>
    <row r="2" spans="1:20" x14ac:dyDescent="0.25">
      <c r="A2" s="92"/>
    </row>
    <row r="4" spans="1:20" ht="18.75" x14ac:dyDescent="0.3">
      <c r="A4" s="95" t="s">
        <v>230</v>
      </c>
      <c r="E4" t="s">
        <v>678</v>
      </c>
    </row>
    <row r="5" spans="1:20" x14ac:dyDescent="0.25">
      <c r="A5" t="s">
        <v>236</v>
      </c>
    </row>
    <row r="6" spans="1:20" x14ac:dyDescent="0.25">
      <c r="A6" t="s">
        <v>237</v>
      </c>
    </row>
    <row r="7" spans="1:20" x14ac:dyDescent="0.25">
      <c r="F7" s="3" t="s">
        <v>674</v>
      </c>
      <c r="G7" s="111">
        <v>0.05</v>
      </c>
      <c r="I7" t="s">
        <v>681</v>
      </c>
      <c r="T7" t="s">
        <v>680</v>
      </c>
    </row>
    <row r="10" spans="1:20" x14ac:dyDescent="0.25">
      <c r="A10" s="68" t="s">
        <v>679</v>
      </c>
    </row>
    <row r="11" spans="1:20" x14ac:dyDescent="0.25">
      <c r="A11" t="s">
        <v>218</v>
      </c>
      <c r="E11" t="s">
        <v>551</v>
      </c>
    </row>
    <row r="12" spans="1:20" x14ac:dyDescent="0.25">
      <c r="A12" t="s">
        <v>219</v>
      </c>
      <c r="E12" t="s">
        <v>219</v>
      </c>
    </row>
    <row r="13" spans="1:20" x14ac:dyDescent="0.25">
      <c r="B13">
        <v>40.299999999999997</v>
      </c>
      <c r="C13" s="90">
        <f>(B13-$B$18)^2</f>
        <v>2.5599999999998908E-2</v>
      </c>
      <c r="E13">
        <v>41.5</v>
      </c>
    </row>
    <row r="14" spans="1:20" x14ac:dyDescent="0.25">
      <c r="B14">
        <v>40.5</v>
      </c>
      <c r="C14" s="90">
        <f t="shared" ref="C14:C17" si="0">(B14-$B$18)^2</f>
        <v>1.6000000000005003E-3</v>
      </c>
      <c r="E14">
        <v>40</v>
      </c>
    </row>
    <row r="15" spans="1:20" x14ac:dyDescent="0.25">
      <c r="B15">
        <v>40.700000000000003</v>
      </c>
      <c r="C15" s="90">
        <f t="shared" si="0"/>
        <v>5.7600000000004363E-2</v>
      </c>
      <c r="E15">
        <v>39.299999999999997</v>
      </c>
    </row>
    <row r="16" spans="1:20" x14ac:dyDescent="0.25">
      <c r="B16">
        <v>40.200000000000003</v>
      </c>
      <c r="C16" s="90">
        <f t="shared" si="0"/>
        <v>6.7599999999995275E-2</v>
      </c>
      <c r="E16">
        <v>40.9</v>
      </c>
    </row>
    <row r="17" spans="1:11" x14ac:dyDescent="0.25">
      <c r="B17">
        <v>40.6</v>
      </c>
      <c r="C17" s="90">
        <f t="shared" si="0"/>
        <v>1.9600000000002147E-2</v>
      </c>
      <c r="D17" s="3" t="s">
        <v>220</v>
      </c>
      <c r="E17" s="36">
        <f>AVERAGE(E13:E16)</f>
        <v>40.424999999999997</v>
      </c>
    </row>
    <row r="18" spans="1:11" x14ac:dyDescent="0.25">
      <c r="A18" s="3" t="s">
        <v>221</v>
      </c>
      <c r="B18" s="36">
        <f>AVERAGE(B13:B17)</f>
        <v>40.459999999999994</v>
      </c>
      <c r="C18" s="91">
        <f>SUM(C13:C17)</f>
        <v>0.17200000000000118</v>
      </c>
      <c r="D18" s="3" t="s">
        <v>222</v>
      </c>
      <c r="E18" s="30">
        <v>4</v>
      </c>
    </row>
    <row r="19" spans="1:11" x14ac:dyDescent="0.25">
      <c r="A19" s="3" t="s">
        <v>223</v>
      </c>
      <c r="B19" s="30">
        <v>5</v>
      </c>
      <c r="C19" s="319">
        <f>DEVSQ(B13:B17)</f>
        <v>0.17200000000000118</v>
      </c>
    </row>
    <row r="21" spans="1:11" x14ac:dyDescent="0.25">
      <c r="A21" t="s">
        <v>634</v>
      </c>
      <c r="I21" s="85" t="s">
        <v>676</v>
      </c>
    </row>
    <row r="22" spans="1:11" x14ac:dyDescent="0.25">
      <c r="I22" s="85" t="s">
        <v>677</v>
      </c>
    </row>
    <row r="23" spans="1:11" x14ac:dyDescent="0.25">
      <c r="A23" t="s">
        <v>226</v>
      </c>
      <c r="B23" s="30">
        <f>(B19*E18*(E17-B18)^2)/(B19+E18)</f>
        <v>2.7222222222216914E-3</v>
      </c>
    </row>
    <row r="25" spans="1:11" x14ac:dyDescent="0.25">
      <c r="K25" t="s">
        <v>459</v>
      </c>
    </row>
    <row r="27" spans="1:11" x14ac:dyDescent="0.25">
      <c r="A27" s="3" t="s">
        <v>465</v>
      </c>
      <c r="B27" s="30">
        <f>B23/(C19/4)</f>
        <v>6.3307493540038895E-2</v>
      </c>
      <c r="C27" s="2" t="s">
        <v>224</v>
      </c>
      <c r="D27" s="30">
        <f>_xlfn.F.INV(0.95,1,4)</f>
        <v>7.7086474221767833</v>
      </c>
      <c r="E27" t="s">
        <v>225</v>
      </c>
      <c r="K27" t="s">
        <v>458</v>
      </c>
    </row>
    <row r="29" spans="1:11" x14ac:dyDescent="0.25">
      <c r="B29" t="s">
        <v>552</v>
      </c>
    </row>
    <row r="30" spans="1:11" x14ac:dyDescent="0.25">
      <c r="B30" t="s">
        <v>633</v>
      </c>
      <c r="H30" t="s">
        <v>675</v>
      </c>
    </row>
    <row r="32" spans="1:11" x14ac:dyDescent="0.25">
      <c r="B32" s="3" t="s">
        <v>472</v>
      </c>
      <c r="C32">
        <f>1-_xlfn.F.DIST(B27,1,4,1)</f>
        <v>0.8137408487780976</v>
      </c>
      <c r="D32" t="s">
        <v>553</v>
      </c>
    </row>
    <row r="34" spans="1:9" x14ac:dyDescent="0.25">
      <c r="A34" s="68" t="s">
        <v>682</v>
      </c>
    </row>
    <row r="35" spans="1:9" x14ac:dyDescent="0.25">
      <c r="A35" t="s">
        <v>218</v>
      </c>
      <c r="E35" t="s">
        <v>551</v>
      </c>
    </row>
    <row r="36" spans="1:9" x14ac:dyDescent="0.25">
      <c r="A36" t="s">
        <v>219</v>
      </c>
      <c r="E36" t="s">
        <v>219</v>
      </c>
    </row>
    <row r="37" spans="1:9" x14ac:dyDescent="0.25">
      <c r="B37">
        <v>40.299999999999997</v>
      </c>
      <c r="C37" s="90">
        <f>(B37-$B$18)^2</f>
        <v>2.5599999999998908E-2</v>
      </c>
      <c r="E37" s="218">
        <v>41.5</v>
      </c>
      <c r="F37" s="391">
        <v>40.9</v>
      </c>
      <c r="G37" s="90">
        <f>DEVSQ(E37:F37)</f>
        <v>0.18000000000000085</v>
      </c>
    </row>
    <row r="38" spans="1:9" x14ac:dyDescent="0.25">
      <c r="B38">
        <v>40.5</v>
      </c>
      <c r="C38" s="90">
        <f t="shared" ref="C38:C41" si="1">(B38-$B$18)^2</f>
        <v>1.6000000000005003E-3</v>
      </c>
      <c r="E38" s="218">
        <v>40</v>
      </c>
      <c r="F38" s="391">
        <v>39.799999999999997</v>
      </c>
      <c r="G38" s="90">
        <f t="shared" ref="G38:G40" si="2">DEVSQ(E38:F38)</f>
        <v>2.0000000000000569E-2</v>
      </c>
    </row>
    <row r="39" spans="1:9" x14ac:dyDescent="0.25">
      <c r="B39">
        <v>40.700000000000003</v>
      </c>
      <c r="C39" s="90">
        <f t="shared" si="1"/>
        <v>5.7600000000004363E-2</v>
      </c>
      <c r="E39" s="218">
        <v>39.299999999999997</v>
      </c>
      <c r="F39" s="391">
        <v>39.200000000000003</v>
      </c>
      <c r="G39" s="90">
        <f>DEVSQ(E39:F39)</f>
        <v>4.999999999999432E-3</v>
      </c>
    </row>
    <row r="40" spans="1:9" x14ac:dyDescent="0.25">
      <c r="B40">
        <v>40.200000000000003</v>
      </c>
      <c r="C40" s="90">
        <f t="shared" si="1"/>
        <v>6.7599999999995275E-2</v>
      </c>
      <c r="E40" s="218">
        <v>40.9</v>
      </c>
      <c r="F40" s="391">
        <v>41.1</v>
      </c>
      <c r="G40" s="90">
        <f t="shared" si="2"/>
        <v>2.0000000000000569E-2</v>
      </c>
    </row>
    <row r="41" spans="1:9" x14ac:dyDescent="0.25">
      <c r="B41">
        <v>40.6</v>
      </c>
      <c r="C41" s="90">
        <f t="shared" si="1"/>
        <v>1.9600000000002147E-2</v>
      </c>
      <c r="D41" s="3" t="s">
        <v>220</v>
      </c>
      <c r="E41" s="38">
        <f>AVERAGE(E37:E40,F37:F40)</f>
        <v>40.337499999999999</v>
      </c>
      <c r="G41" s="91">
        <f>SUM(G37:G40)</f>
        <v>0.22500000000000142</v>
      </c>
    </row>
    <row r="42" spans="1:9" x14ac:dyDescent="0.25">
      <c r="A42" s="3" t="s">
        <v>221</v>
      </c>
      <c r="B42" s="36">
        <f>AVERAGE(B37:B41)</f>
        <v>40.459999999999994</v>
      </c>
      <c r="C42" s="91">
        <f>SUM(C37:C41)</f>
        <v>0.17200000000000118</v>
      </c>
      <c r="D42" s="3" t="s">
        <v>222</v>
      </c>
      <c r="E42" s="30">
        <v>8</v>
      </c>
    </row>
    <row r="43" spans="1:9" x14ac:dyDescent="0.25">
      <c r="A43" s="3" t="s">
        <v>223</v>
      </c>
      <c r="B43" s="30">
        <v>5</v>
      </c>
      <c r="C43" s="319">
        <f>DEVSQ(B37:B41)</f>
        <v>0.17200000000000118</v>
      </c>
    </row>
    <row r="45" spans="1:9" x14ac:dyDescent="0.25">
      <c r="A45" t="s">
        <v>634</v>
      </c>
      <c r="I45" s="85" t="s">
        <v>676</v>
      </c>
    </row>
    <row r="46" spans="1:9" x14ac:dyDescent="0.25">
      <c r="I46" s="85" t="s">
        <v>677</v>
      </c>
    </row>
    <row r="47" spans="1:9" x14ac:dyDescent="0.25">
      <c r="A47" t="s">
        <v>226</v>
      </c>
      <c r="B47" s="30">
        <f>(B43*E42*(E41-B42)^2)/(B43+E42)</f>
        <v>4.6173076923073278E-2</v>
      </c>
    </row>
    <row r="50" spans="1:11" x14ac:dyDescent="0.25">
      <c r="K50" t="s">
        <v>459</v>
      </c>
    </row>
    <row r="51" spans="1:11" x14ac:dyDescent="0.25">
      <c r="A51" s="3" t="s">
        <v>683</v>
      </c>
      <c r="B51" s="30">
        <f>C42+G41</f>
        <v>0.39700000000000257</v>
      </c>
    </row>
    <row r="52" spans="1:11" x14ac:dyDescent="0.25">
      <c r="A52" s="3" t="s">
        <v>684</v>
      </c>
      <c r="B52" s="30">
        <f>4+4</f>
        <v>8</v>
      </c>
      <c r="K52" t="s">
        <v>458</v>
      </c>
    </row>
    <row r="53" spans="1:11" x14ac:dyDescent="0.25">
      <c r="A53" s="3" t="s">
        <v>465</v>
      </c>
      <c r="B53" s="30">
        <f>B47/(B51/B52)</f>
        <v>0.93043983724076529</v>
      </c>
      <c r="C53" s="2" t="s">
        <v>224</v>
      </c>
      <c r="D53" s="30">
        <f>_xlfn.F.INV(0.95,1,8)</f>
        <v>5.3176550715787139</v>
      </c>
      <c r="E53" t="s">
        <v>685</v>
      </c>
    </row>
    <row r="55" spans="1:11" x14ac:dyDescent="0.25">
      <c r="B55" t="s">
        <v>552</v>
      </c>
    </row>
    <row r="56" spans="1:11" x14ac:dyDescent="0.25">
      <c r="B56" t="s">
        <v>633</v>
      </c>
      <c r="H56" t="s">
        <v>675</v>
      </c>
    </row>
    <row r="58" spans="1:11" x14ac:dyDescent="0.25">
      <c r="B58" s="3" t="s">
        <v>472</v>
      </c>
      <c r="C58" s="30">
        <f>1-_xlfn.F.DIST(B53,1,8,1)</f>
        <v>0.36299729828865024</v>
      </c>
      <c r="D58" t="s">
        <v>553</v>
      </c>
    </row>
  </sheetData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32"/>
  <sheetViews>
    <sheetView workbookViewId="0">
      <selection activeCell="N26" sqref="N26"/>
    </sheetView>
  </sheetViews>
  <sheetFormatPr defaultRowHeight="15" x14ac:dyDescent="0.25"/>
  <sheetData>
    <row r="1" spans="1:16" x14ac:dyDescent="0.25">
      <c r="A1" s="3" t="s">
        <v>0</v>
      </c>
      <c r="B1" t="s">
        <v>1</v>
      </c>
    </row>
    <row r="2" spans="1:16" ht="18" x14ac:dyDescent="0.35">
      <c r="B2" t="s">
        <v>72</v>
      </c>
    </row>
    <row r="3" spans="1:16" x14ac:dyDescent="0.25">
      <c r="B3" t="s">
        <v>34</v>
      </c>
    </row>
    <row r="4" spans="1:16" ht="17.25" x14ac:dyDescent="0.25">
      <c r="B4" t="s">
        <v>2</v>
      </c>
    </row>
    <row r="5" spans="1:16" x14ac:dyDescent="0.25">
      <c r="B5" t="s">
        <v>3</v>
      </c>
    </row>
    <row r="6" spans="1:16" x14ac:dyDescent="0.25">
      <c r="B6" t="s">
        <v>4</v>
      </c>
      <c r="E6" s="1">
        <v>0.05</v>
      </c>
      <c r="F6" t="s">
        <v>5</v>
      </c>
      <c r="G6" s="24"/>
    </row>
    <row r="7" spans="1:16" x14ac:dyDescent="0.25">
      <c r="B7" t="s">
        <v>33</v>
      </c>
    </row>
    <row r="8" spans="1:16" x14ac:dyDescent="0.25">
      <c r="B8" s="4" t="s">
        <v>6</v>
      </c>
      <c r="C8" s="4" t="s">
        <v>7</v>
      </c>
      <c r="D8" s="4" t="s">
        <v>8</v>
      </c>
      <c r="E8" s="4" t="s">
        <v>9</v>
      </c>
    </row>
    <row r="9" spans="1:16" x14ac:dyDescent="0.25">
      <c r="B9" s="4">
        <v>77</v>
      </c>
      <c r="C9" s="4">
        <v>98</v>
      </c>
      <c r="D9" s="4">
        <v>76</v>
      </c>
      <c r="E9" s="4">
        <v>90</v>
      </c>
    </row>
    <row r="10" spans="1:16" x14ac:dyDescent="0.25">
      <c r="B10" s="6">
        <v>63</v>
      </c>
      <c r="C10" s="6">
        <v>82</v>
      </c>
      <c r="D10" s="6">
        <v>72</v>
      </c>
      <c r="E10" s="6">
        <v>92</v>
      </c>
    </row>
    <row r="13" spans="1:16" ht="18" x14ac:dyDescent="0.35">
      <c r="H13" s="2" t="s">
        <v>37</v>
      </c>
      <c r="I13" s="2" t="s">
        <v>38</v>
      </c>
      <c r="J13" s="2" t="s">
        <v>48</v>
      </c>
      <c r="K13" s="2" t="s">
        <v>39</v>
      </c>
    </row>
    <row r="14" spans="1:16" ht="18" x14ac:dyDescent="0.35">
      <c r="H14" s="13">
        <v>1</v>
      </c>
      <c r="I14" s="13" t="s">
        <v>35</v>
      </c>
      <c r="J14" s="13" t="s">
        <v>36</v>
      </c>
      <c r="K14" s="13" t="s">
        <v>74</v>
      </c>
      <c r="L14" s="4" t="s">
        <v>12</v>
      </c>
      <c r="M14" s="13" t="s">
        <v>141</v>
      </c>
      <c r="N14" s="13" t="s">
        <v>140</v>
      </c>
      <c r="O14" s="13" t="s">
        <v>139</v>
      </c>
      <c r="P14" s="13" t="s">
        <v>138</v>
      </c>
    </row>
    <row r="15" spans="1:16" x14ac:dyDescent="0.25">
      <c r="H15" s="18">
        <v>1</v>
      </c>
      <c r="I15" s="32">
        <v>-1</v>
      </c>
      <c r="J15" s="32">
        <v>-1</v>
      </c>
      <c r="K15" s="19">
        <f>I15*J15</f>
        <v>1</v>
      </c>
      <c r="L15" s="238">
        <v>77</v>
      </c>
      <c r="M15" s="18">
        <f>H15*$L15</f>
        <v>77</v>
      </c>
      <c r="N15" s="32">
        <f t="shared" ref="N15:P15" si="0">I15*$L15</f>
        <v>-77</v>
      </c>
      <c r="O15" s="32">
        <f t="shared" si="0"/>
        <v>-77</v>
      </c>
      <c r="P15" s="19">
        <f t="shared" si="0"/>
        <v>77</v>
      </c>
    </row>
    <row r="16" spans="1:16" x14ac:dyDescent="0.25">
      <c r="H16" s="20">
        <v>1</v>
      </c>
      <c r="I16" s="23">
        <v>-1</v>
      </c>
      <c r="J16" s="23">
        <v>-1</v>
      </c>
      <c r="K16" s="21">
        <f t="shared" ref="K16:K22" si="1">I16*J16</f>
        <v>1</v>
      </c>
      <c r="L16" s="239">
        <v>63</v>
      </c>
      <c r="M16" s="20">
        <f t="shared" ref="M16:M22" si="2">H16*$L16</f>
        <v>63</v>
      </c>
      <c r="N16" s="23">
        <f t="shared" ref="N16:N22" si="3">I16*$L16</f>
        <v>-63</v>
      </c>
      <c r="O16" s="23">
        <f t="shared" ref="O16:O22" si="4">J16*$L16</f>
        <v>-63</v>
      </c>
      <c r="P16" s="21">
        <f t="shared" ref="P16:P22" si="5">K16*$L16</f>
        <v>63</v>
      </c>
    </row>
    <row r="17" spans="2:16" x14ac:dyDescent="0.25">
      <c r="H17" s="20">
        <v>1</v>
      </c>
      <c r="I17" s="23">
        <v>-1</v>
      </c>
      <c r="J17" s="23">
        <v>1</v>
      </c>
      <c r="K17" s="21">
        <f t="shared" si="1"/>
        <v>-1</v>
      </c>
      <c r="L17" s="238">
        <v>98</v>
      </c>
      <c r="M17" s="20">
        <f>H17*$L17</f>
        <v>98</v>
      </c>
      <c r="N17" s="23">
        <f>I17*$L17</f>
        <v>-98</v>
      </c>
      <c r="O17" s="23">
        <f t="shared" si="4"/>
        <v>98</v>
      </c>
      <c r="P17" s="21">
        <f t="shared" si="5"/>
        <v>-98</v>
      </c>
    </row>
    <row r="18" spans="2:16" x14ac:dyDescent="0.25">
      <c r="H18" s="20">
        <v>1</v>
      </c>
      <c r="I18" s="23">
        <v>-1</v>
      </c>
      <c r="J18" s="23">
        <v>1</v>
      </c>
      <c r="K18" s="21">
        <f t="shared" si="1"/>
        <v>-1</v>
      </c>
      <c r="L18" s="239">
        <v>82</v>
      </c>
      <c r="M18" s="20">
        <f t="shared" si="2"/>
        <v>82</v>
      </c>
      <c r="N18" s="23">
        <f t="shared" si="3"/>
        <v>-82</v>
      </c>
      <c r="O18" s="23">
        <f t="shared" si="4"/>
        <v>82</v>
      </c>
      <c r="P18" s="21">
        <f t="shared" si="5"/>
        <v>-82</v>
      </c>
    </row>
    <row r="19" spans="2:16" x14ac:dyDescent="0.25">
      <c r="H19" s="20">
        <v>1</v>
      </c>
      <c r="I19" s="23">
        <v>1</v>
      </c>
      <c r="J19" s="23">
        <v>-1</v>
      </c>
      <c r="K19" s="21">
        <f t="shared" si="1"/>
        <v>-1</v>
      </c>
      <c r="L19" s="238">
        <v>50</v>
      </c>
      <c r="M19" s="20">
        <f t="shared" si="2"/>
        <v>50</v>
      </c>
      <c r="N19" s="23">
        <f t="shared" si="3"/>
        <v>50</v>
      </c>
      <c r="O19" s="23">
        <f t="shared" si="4"/>
        <v>-50</v>
      </c>
      <c r="P19" s="21">
        <f>K19*$L19</f>
        <v>-50</v>
      </c>
    </row>
    <row r="20" spans="2:16" x14ac:dyDescent="0.25">
      <c r="H20" s="20">
        <v>1</v>
      </c>
      <c r="I20" s="23">
        <v>1</v>
      </c>
      <c r="J20" s="23">
        <v>-1</v>
      </c>
      <c r="K20" s="21">
        <f t="shared" si="1"/>
        <v>-1</v>
      </c>
      <c r="L20" s="239">
        <v>52</v>
      </c>
      <c r="M20" s="20">
        <f t="shared" si="2"/>
        <v>52</v>
      </c>
      <c r="N20" s="23">
        <f t="shared" si="3"/>
        <v>52</v>
      </c>
      <c r="O20" s="23">
        <f t="shared" si="4"/>
        <v>-52</v>
      </c>
      <c r="P20" s="21">
        <f t="shared" si="5"/>
        <v>-52</v>
      </c>
    </row>
    <row r="21" spans="2:16" x14ac:dyDescent="0.25">
      <c r="H21" s="20">
        <v>1</v>
      </c>
      <c r="I21" s="23">
        <v>1</v>
      </c>
      <c r="J21" s="23">
        <v>1</v>
      </c>
      <c r="K21" s="21">
        <f t="shared" si="1"/>
        <v>1</v>
      </c>
      <c r="L21" s="238">
        <v>69</v>
      </c>
      <c r="M21" s="20">
        <f t="shared" si="2"/>
        <v>69</v>
      </c>
      <c r="N21" s="23">
        <f t="shared" si="3"/>
        <v>69</v>
      </c>
      <c r="O21" s="23">
        <f t="shared" si="4"/>
        <v>69</v>
      </c>
      <c r="P21" s="21">
        <f t="shared" si="5"/>
        <v>69</v>
      </c>
    </row>
    <row r="22" spans="2:16" x14ac:dyDescent="0.25">
      <c r="H22" s="236">
        <v>1</v>
      </c>
      <c r="I22" s="35">
        <v>1</v>
      </c>
      <c r="J22" s="35">
        <v>1</v>
      </c>
      <c r="K22" s="237">
        <f t="shared" si="1"/>
        <v>1</v>
      </c>
      <c r="L22" s="239">
        <v>61</v>
      </c>
      <c r="M22" s="236">
        <f t="shared" si="2"/>
        <v>61</v>
      </c>
      <c r="N22" s="35">
        <f t="shared" si="3"/>
        <v>61</v>
      </c>
      <c r="O22" s="35">
        <f t="shared" si="4"/>
        <v>61</v>
      </c>
      <c r="P22" s="237">
        <f t="shared" si="5"/>
        <v>61</v>
      </c>
    </row>
    <row r="23" spans="2:16" x14ac:dyDescent="0.25">
      <c r="G23" s="8" t="s">
        <v>103</v>
      </c>
      <c r="H23" s="230">
        <f>SUM(H15:H22)</f>
        <v>8</v>
      </c>
      <c r="I23" s="230">
        <f t="shared" ref="I23:L23" si="6">SUM(I15:I22)</f>
        <v>0</v>
      </c>
      <c r="J23" s="230">
        <f t="shared" si="6"/>
        <v>0</v>
      </c>
      <c r="K23" s="230">
        <f t="shared" si="6"/>
        <v>0</v>
      </c>
      <c r="L23" s="60">
        <f t="shared" si="6"/>
        <v>552</v>
      </c>
      <c r="M23" s="60">
        <f>SUM(M15:M22)</f>
        <v>552</v>
      </c>
      <c r="N23" s="60">
        <f t="shared" ref="N23" si="7">SUM(N15:N22)</f>
        <v>-88</v>
      </c>
      <c r="O23" s="60">
        <f t="shared" ref="O23" si="8">SUM(O15:O22)</f>
        <v>68</v>
      </c>
      <c r="P23" s="60">
        <f t="shared" ref="P23" si="9">SUM(P15:P22)</f>
        <v>-12</v>
      </c>
    </row>
    <row r="24" spans="2:16" ht="18" x14ac:dyDescent="0.35">
      <c r="M24" s="58" t="s">
        <v>61</v>
      </c>
      <c r="N24" s="58" t="s">
        <v>62</v>
      </c>
      <c r="O24" s="58" t="s">
        <v>63</v>
      </c>
      <c r="P24" s="58" t="s">
        <v>64</v>
      </c>
    </row>
    <row r="25" spans="2:16" x14ac:dyDescent="0.25">
      <c r="M25" s="59">
        <f>M23/$H$23</f>
        <v>69</v>
      </c>
      <c r="N25" s="59">
        <f>N23/$H$23</f>
        <v>-11</v>
      </c>
      <c r="O25" s="59">
        <f t="shared" ref="O25:P25" si="10">O23/$H$23</f>
        <v>8.5</v>
      </c>
      <c r="P25" s="59">
        <f t="shared" si="10"/>
        <v>-1.5</v>
      </c>
    </row>
    <row r="26" spans="2:16" x14ac:dyDescent="0.25">
      <c r="B26" t="s">
        <v>102</v>
      </c>
    </row>
    <row r="29" spans="2:16" x14ac:dyDescent="0.25">
      <c r="P29" s="48"/>
    </row>
    <row r="30" spans="2:16" x14ac:dyDescent="0.25">
      <c r="P30" s="48"/>
    </row>
    <row r="31" spans="2:16" x14ac:dyDescent="0.25">
      <c r="P31" s="48"/>
    </row>
    <row r="32" spans="2:16" x14ac:dyDescent="0.25">
      <c r="P32" s="48"/>
    </row>
  </sheetData>
  <pageMargins left="0.7" right="0.7" top="0.75" bottom="0.75" header="0.3" footer="0.3"/>
  <pageSetup paperSize="9" orientation="portrait" horizontalDpi="300" verticalDpi="300" copies="0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70"/>
  <sheetViews>
    <sheetView topLeftCell="A40" workbookViewId="0">
      <selection activeCell="O55" sqref="O55"/>
    </sheetView>
  </sheetViews>
  <sheetFormatPr defaultRowHeight="15" x14ac:dyDescent="0.25"/>
  <sheetData>
    <row r="1" spans="1:7" x14ac:dyDescent="0.25">
      <c r="B1" s="2" t="s">
        <v>13</v>
      </c>
      <c r="C1" s="2" t="s">
        <v>14</v>
      </c>
      <c r="D1" s="2" t="s">
        <v>200</v>
      </c>
      <c r="E1" s="2" t="s">
        <v>201</v>
      </c>
      <c r="F1" s="2" t="s">
        <v>202</v>
      </c>
      <c r="G1" s="2" t="s">
        <v>203</v>
      </c>
    </row>
    <row r="2" spans="1:7" x14ac:dyDescent="0.25">
      <c r="B2" s="253">
        <v>-1</v>
      </c>
      <c r="C2" s="80">
        <v>-1</v>
      </c>
      <c r="D2" s="80">
        <f>B2^2</f>
        <v>1</v>
      </c>
      <c r="E2" s="80">
        <f>C2^2</f>
        <v>1</v>
      </c>
      <c r="F2" s="246">
        <f>B2*C2</f>
        <v>1</v>
      </c>
      <c r="G2" s="2">
        <v>43</v>
      </c>
    </row>
    <row r="3" spans="1:7" x14ac:dyDescent="0.25">
      <c r="B3" s="254">
        <v>1</v>
      </c>
      <c r="C3" s="13">
        <v>-1</v>
      </c>
      <c r="D3" s="13">
        <f t="shared" ref="D3:E13" si="0">B3^2</f>
        <v>1</v>
      </c>
      <c r="E3" s="13">
        <f t="shared" si="0"/>
        <v>1</v>
      </c>
      <c r="F3" s="247">
        <f t="shared" ref="F3:F13" si="1">B3*C3</f>
        <v>-1</v>
      </c>
      <c r="G3" s="2">
        <v>78</v>
      </c>
    </row>
    <row r="4" spans="1:7" x14ac:dyDescent="0.25">
      <c r="B4" s="254">
        <v>-1</v>
      </c>
      <c r="C4" s="13">
        <v>1</v>
      </c>
      <c r="D4" s="13">
        <f t="shared" si="0"/>
        <v>1</v>
      </c>
      <c r="E4" s="13">
        <f t="shared" si="0"/>
        <v>1</v>
      </c>
      <c r="F4" s="247">
        <f t="shared" si="1"/>
        <v>-1</v>
      </c>
      <c r="G4" s="2">
        <v>69</v>
      </c>
    </row>
    <row r="5" spans="1:7" x14ac:dyDescent="0.25">
      <c r="B5" s="254">
        <v>1</v>
      </c>
      <c r="C5" s="13">
        <v>1</v>
      </c>
      <c r="D5" s="13">
        <f t="shared" si="0"/>
        <v>1</v>
      </c>
      <c r="E5" s="13">
        <f t="shared" si="0"/>
        <v>1</v>
      </c>
      <c r="F5" s="247">
        <f t="shared" si="1"/>
        <v>1</v>
      </c>
      <c r="G5" s="2">
        <v>73</v>
      </c>
    </row>
    <row r="6" spans="1:7" x14ac:dyDescent="0.25">
      <c r="B6" s="320">
        <v>-1.4139999999999999</v>
      </c>
      <c r="C6" s="321">
        <v>0</v>
      </c>
      <c r="D6" s="13">
        <f>B6^2</f>
        <v>1.9993959999999997</v>
      </c>
      <c r="E6" s="13">
        <f t="shared" si="0"/>
        <v>0</v>
      </c>
      <c r="F6" s="247">
        <f t="shared" si="1"/>
        <v>0</v>
      </c>
      <c r="G6" s="2">
        <v>48</v>
      </c>
    </row>
    <row r="7" spans="1:7" x14ac:dyDescent="0.25">
      <c r="B7" s="320">
        <v>1.4139999999999999</v>
      </c>
      <c r="C7" s="321">
        <v>0</v>
      </c>
      <c r="D7" s="13">
        <f t="shared" si="0"/>
        <v>1.9993959999999997</v>
      </c>
      <c r="E7" s="13">
        <f t="shared" si="0"/>
        <v>0</v>
      </c>
      <c r="F7" s="247">
        <f t="shared" si="1"/>
        <v>0</v>
      </c>
      <c r="G7" s="2">
        <v>76</v>
      </c>
    </row>
    <row r="8" spans="1:7" x14ac:dyDescent="0.25">
      <c r="B8" s="320">
        <v>0</v>
      </c>
      <c r="C8" s="321">
        <v>-1.4139999999999999</v>
      </c>
      <c r="D8" s="13">
        <f t="shared" si="0"/>
        <v>0</v>
      </c>
      <c r="E8" s="13">
        <f t="shared" si="0"/>
        <v>1.9993959999999997</v>
      </c>
      <c r="F8" s="247">
        <f t="shared" si="1"/>
        <v>0</v>
      </c>
      <c r="G8" s="2">
        <v>65</v>
      </c>
    </row>
    <row r="9" spans="1:7" x14ac:dyDescent="0.25">
      <c r="B9" s="320">
        <v>0</v>
      </c>
      <c r="C9" s="321">
        <v>1.4139999999999999</v>
      </c>
      <c r="D9" s="13">
        <f t="shared" si="0"/>
        <v>0</v>
      </c>
      <c r="E9" s="13">
        <f t="shared" si="0"/>
        <v>1.9993959999999997</v>
      </c>
      <c r="F9" s="247">
        <f t="shared" si="1"/>
        <v>0</v>
      </c>
      <c r="G9" s="2">
        <v>74</v>
      </c>
    </row>
    <row r="10" spans="1:7" x14ac:dyDescent="0.25">
      <c r="B10" s="294">
        <v>0</v>
      </c>
      <c r="C10" s="275">
        <v>0</v>
      </c>
      <c r="D10" s="13">
        <f t="shared" si="0"/>
        <v>0</v>
      </c>
      <c r="E10" s="13">
        <f t="shared" si="0"/>
        <v>0</v>
      </c>
      <c r="F10" s="247">
        <f t="shared" si="1"/>
        <v>0</v>
      </c>
      <c r="G10" s="2">
        <v>76</v>
      </c>
    </row>
    <row r="11" spans="1:7" x14ac:dyDescent="0.25">
      <c r="B11" s="294">
        <v>0</v>
      </c>
      <c r="C11" s="275">
        <v>0</v>
      </c>
      <c r="D11" s="13">
        <f t="shared" si="0"/>
        <v>0</v>
      </c>
      <c r="E11" s="13">
        <f t="shared" si="0"/>
        <v>0</v>
      </c>
      <c r="F11" s="247">
        <f t="shared" si="1"/>
        <v>0</v>
      </c>
      <c r="G11" s="2">
        <v>79</v>
      </c>
    </row>
    <row r="12" spans="1:7" x14ac:dyDescent="0.25">
      <c r="B12" s="294">
        <v>0</v>
      </c>
      <c r="C12" s="275">
        <v>0</v>
      </c>
      <c r="D12" s="13">
        <f t="shared" si="0"/>
        <v>0</v>
      </c>
      <c r="E12" s="13">
        <f t="shared" si="0"/>
        <v>0</v>
      </c>
      <c r="F12" s="247">
        <f t="shared" si="1"/>
        <v>0</v>
      </c>
      <c r="G12" s="2">
        <v>83</v>
      </c>
    </row>
    <row r="13" spans="1:7" x14ac:dyDescent="0.25">
      <c r="B13" s="295">
        <v>0</v>
      </c>
      <c r="C13" s="322">
        <v>0</v>
      </c>
      <c r="D13" s="244">
        <f t="shared" si="0"/>
        <v>0</v>
      </c>
      <c r="E13" s="244">
        <f t="shared" si="0"/>
        <v>0</v>
      </c>
      <c r="F13" s="248">
        <f t="shared" si="1"/>
        <v>0</v>
      </c>
      <c r="G13" s="2">
        <v>81</v>
      </c>
    </row>
    <row r="16" spans="1:7" x14ac:dyDescent="0.25">
      <c r="A16" t="s">
        <v>204</v>
      </c>
    </row>
    <row r="17" spans="1:9" ht="15.75" thickBot="1" x14ac:dyDescent="0.3"/>
    <row r="18" spans="1:9" x14ac:dyDescent="0.25">
      <c r="A18" s="202" t="s">
        <v>368</v>
      </c>
      <c r="B18" s="202"/>
    </row>
    <row r="19" spans="1:9" x14ac:dyDescent="0.25">
      <c r="A19" s="48" t="s">
        <v>369</v>
      </c>
      <c r="B19" s="48">
        <v>0.98995936302656895</v>
      </c>
    </row>
    <row r="20" spans="1:9" x14ac:dyDescent="0.25">
      <c r="A20" s="48" t="s">
        <v>370</v>
      </c>
      <c r="B20" s="48">
        <v>0.98001954044397022</v>
      </c>
    </row>
    <row r="21" spans="1:9" x14ac:dyDescent="0.25">
      <c r="A21" s="48" t="s">
        <v>371</v>
      </c>
      <c r="B21" s="48">
        <v>0.96336915748061214</v>
      </c>
    </row>
    <row r="22" spans="1:9" x14ac:dyDescent="0.25">
      <c r="A22" s="48" t="s">
        <v>372</v>
      </c>
      <c r="B22" s="48">
        <v>2.4270615950266659</v>
      </c>
    </row>
    <row r="23" spans="1:9" ht="15.75" thickBot="1" x14ac:dyDescent="0.3">
      <c r="A23" s="203" t="s">
        <v>373</v>
      </c>
      <c r="B23" s="203">
        <v>12</v>
      </c>
    </row>
    <row r="25" spans="1:9" ht="15.75" thickBot="1" x14ac:dyDescent="0.3">
      <c r="A25" t="s">
        <v>374</v>
      </c>
    </row>
    <row r="26" spans="1:9" x14ac:dyDescent="0.25">
      <c r="A26" s="204"/>
      <c r="B26" s="204" t="s">
        <v>205</v>
      </c>
      <c r="C26" s="204" t="s">
        <v>206</v>
      </c>
      <c r="D26" s="204" t="s">
        <v>207</v>
      </c>
      <c r="E26" s="204" t="s">
        <v>208</v>
      </c>
      <c r="F26" s="204" t="s">
        <v>375</v>
      </c>
    </row>
    <row r="27" spans="1:9" x14ac:dyDescent="0.25">
      <c r="A27" s="48" t="s">
        <v>376</v>
      </c>
      <c r="B27" s="48">
        <v>5</v>
      </c>
      <c r="C27" s="48">
        <v>1733.5728987503467</v>
      </c>
      <c r="D27" s="48">
        <v>346.71457975006933</v>
      </c>
      <c r="E27" s="48">
        <v>58.858678662266371</v>
      </c>
      <c r="F27" s="48">
        <v>5.1174344064379047E-5</v>
      </c>
    </row>
    <row r="28" spans="1:9" x14ac:dyDescent="0.25">
      <c r="A28" s="48" t="s">
        <v>377</v>
      </c>
      <c r="B28" s="48">
        <v>6</v>
      </c>
      <c r="C28" s="48">
        <v>35.343767916320296</v>
      </c>
      <c r="D28" s="48">
        <v>5.8906279860533823</v>
      </c>
      <c r="E28" s="48"/>
      <c r="F28" s="48"/>
    </row>
    <row r="29" spans="1:9" ht="15.75" thickBot="1" x14ac:dyDescent="0.3">
      <c r="A29" s="203" t="s">
        <v>378</v>
      </c>
      <c r="B29" s="203">
        <v>11</v>
      </c>
      <c r="C29" s="203">
        <v>1768.916666666667</v>
      </c>
      <c r="D29" s="203"/>
      <c r="E29" s="203"/>
      <c r="F29" s="203"/>
    </row>
    <row r="30" spans="1:9" ht="15.75" thickBot="1" x14ac:dyDescent="0.3"/>
    <row r="31" spans="1:9" x14ac:dyDescent="0.25">
      <c r="A31" s="204"/>
      <c r="B31" s="204" t="s">
        <v>379</v>
      </c>
      <c r="C31" s="204" t="s">
        <v>372</v>
      </c>
      <c r="D31" s="204" t="s">
        <v>380</v>
      </c>
      <c r="E31" s="204" t="s">
        <v>381</v>
      </c>
      <c r="F31" s="204" t="s">
        <v>382</v>
      </c>
      <c r="G31" s="204" t="s">
        <v>383</v>
      </c>
      <c r="H31" s="204" t="s">
        <v>485</v>
      </c>
      <c r="I31" s="204" t="s">
        <v>486</v>
      </c>
    </row>
    <row r="32" spans="1:9" x14ac:dyDescent="0.25">
      <c r="A32" s="48" t="s">
        <v>384</v>
      </c>
      <c r="B32" s="323">
        <v>79.749999361379196</v>
      </c>
      <c r="C32" s="48">
        <v>1.2135307698352606</v>
      </c>
      <c r="D32" s="48">
        <v>65.717327770935242</v>
      </c>
      <c r="E32" s="48">
        <v>8.3491382696067814E-10</v>
      </c>
      <c r="F32" s="48">
        <v>76.780596538940216</v>
      </c>
      <c r="G32" s="48">
        <v>82.719402183818175</v>
      </c>
      <c r="H32" s="48">
        <v>76.780596538940216</v>
      </c>
      <c r="I32" s="48">
        <v>82.719402183818175</v>
      </c>
    </row>
    <row r="33" spans="1:13" x14ac:dyDescent="0.25">
      <c r="A33" s="48" t="s">
        <v>13</v>
      </c>
      <c r="B33" s="323">
        <v>9.8254836480308576</v>
      </c>
      <c r="C33" s="48">
        <v>0.85816064967549721</v>
      </c>
      <c r="D33" s="48">
        <v>11.449468874791966</v>
      </c>
      <c r="E33" s="48">
        <v>2.6640547760166302E-5</v>
      </c>
      <c r="F33" s="48">
        <v>7.7256401841536171</v>
      </c>
      <c r="G33" s="48">
        <v>11.925327111908098</v>
      </c>
      <c r="H33" s="48">
        <v>7.7256401841536171</v>
      </c>
      <c r="I33" s="48">
        <v>11.925327111908098</v>
      </c>
    </row>
    <row r="34" spans="1:13" x14ac:dyDescent="0.25">
      <c r="A34" s="48" t="s">
        <v>14</v>
      </c>
      <c r="B34" s="323">
        <v>4.2163866743878335</v>
      </c>
      <c r="C34" s="48">
        <v>0.85816064967549721</v>
      </c>
      <c r="D34" s="48">
        <v>4.9132836328281977</v>
      </c>
      <c r="E34" s="48">
        <v>2.6748268545483235E-3</v>
      </c>
      <c r="F34" s="48">
        <v>2.116543210510593</v>
      </c>
      <c r="G34" s="48">
        <v>6.3162301382650741</v>
      </c>
      <c r="H34" s="48">
        <v>2.116543210510593</v>
      </c>
      <c r="I34" s="48">
        <v>6.3162301382650741</v>
      </c>
    </row>
    <row r="35" spans="1:13" x14ac:dyDescent="0.25">
      <c r="A35" s="48" t="s">
        <v>200</v>
      </c>
      <c r="B35" s="323">
        <v>-8.8766231016523278</v>
      </c>
      <c r="C35" s="48">
        <v>0.95958317679693006</v>
      </c>
      <c r="D35" s="48">
        <v>-9.2504988794012863</v>
      </c>
      <c r="E35" s="48">
        <v>9.0155116315541298E-5</v>
      </c>
      <c r="F35" s="48">
        <v>-11.224638549116074</v>
      </c>
      <c r="G35" s="48">
        <v>-6.5286076541885816</v>
      </c>
      <c r="H35" s="48">
        <v>-11.224638549116074</v>
      </c>
      <c r="I35" s="48">
        <v>-6.5286076541885816</v>
      </c>
    </row>
    <row r="36" spans="1:13" x14ac:dyDescent="0.25">
      <c r="A36" s="48" t="s">
        <v>201</v>
      </c>
      <c r="B36" s="323">
        <v>-5.1254902595340086</v>
      </c>
      <c r="C36" s="48">
        <v>0.95958317679693028</v>
      </c>
      <c r="D36" s="48">
        <v>-5.3413715282533341</v>
      </c>
      <c r="E36" s="48">
        <v>1.7589874473203549E-3</v>
      </c>
      <c r="F36" s="48">
        <v>-7.4735057069977557</v>
      </c>
      <c r="G36" s="48">
        <v>-2.777474812070261</v>
      </c>
      <c r="H36" s="48">
        <v>-7.4735057069977557</v>
      </c>
      <c r="I36" s="48">
        <v>-2.777474812070261</v>
      </c>
    </row>
    <row r="37" spans="1:13" ht="15.75" thickBot="1" x14ac:dyDescent="0.3">
      <c r="A37" s="203" t="s">
        <v>202</v>
      </c>
      <c r="B37" s="324">
        <v>-7.7500000000000027</v>
      </c>
      <c r="C37" s="203">
        <v>1.2135307975133327</v>
      </c>
      <c r="D37" s="203">
        <v>-6.3863232938798618</v>
      </c>
      <c r="E37" s="203">
        <v>6.9352352085244313E-4</v>
      </c>
      <c r="F37" s="203">
        <v>-10.719402890164783</v>
      </c>
      <c r="G37" s="203">
        <v>-4.780597109835222</v>
      </c>
      <c r="H37" s="203">
        <v>-10.719402890164783</v>
      </c>
      <c r="I37" s="203">
        <v>-4.780597109835222</v>
      </c>
    </row>
    <row r="38" spans="1:13" x14ac:dyDescent="0.25">
      <c r="A38" s="67" t="s">
        <v>554</v>
      </c>
      <c r="B38" s="85">
        <f>B32</f>
        <v>79.749999361379196</v>
      </c>
      <c r="C38" s="85" t="s">
        <v>67</v>
      </c>
      <c r="D38" s="85">
        <f>B33</f>
        <v>9.8254836480308576</v>
      </c>
      <c r="E38" s="85" t="s">
        <v>555</v>
      </c>
      <c r="F38" s="85">
        <f>B34</f>
        <v>4.2163866743878335</v>
      </c>
      <c r="G38" s="85" t="s">
        <v>68</v>
      </c>
      <c r="H38" s="85">
        <f>B35</f>
        <v>-8.8766231016523278</v>
      </c>
      <c r="I38" s="85" t="s">
        <v>556</v>
      </c>
      <c r="J38" s="85">
        <f>B36</f>
        <v>-5.1254902595340086</v>
      </c>
      <c r="K38" s="85" t="s">
        <v>557</v>
      </c>
      <c r="L38" s="85">
        <f>B37</f>
        <v>-7.7500000000000027</v>
      </c>
      <c r="M38" s="85" t="s">
        <v>69</v>
      </c>
    </row>
    <row r="41" spans="1:13" x14ac:dyDescent="0.25">
      <c r="A41" t="s">
        <v>438</v>
      </c>
    </row>
    <row r="42" spans="1:13" ht="15.75" thickBot="1" x14ac:dyDescent="0.3"/>
    <row r="43" spans="1:13" x14ac:dyDescent="0.25">
      <c r="A43" s="204" t="s">
        <v>439</v>
      </c>
      <c r="B43" s="204" t="s">
        <v>203</v>
      </c>
    </row>
    <row r="44" spans="1:13" x14ac:dyDescent="0.25">
      <c r="A44" s="48">
        <v>4.166666666666667</v>
      </c>
      <c r="B44" s="48">
        <v>43</v>
      </c>
      <c r="H44" t="s">
        <v>558</v>
      </c>
    </row>
    <row r="45" spans="1:13" x14ac:dyDescent="0.25">
      <c r="A45" s="48">
        <v>12.5</v>
      </c>
      <c r="B45" s="48">
        <v>48</v>
      </c>
    </row>
    <row r="46" spans="1:13" x14ac:dyDescent="0.25">
      <c r="A46" s="48">
        <v>20.833333333333336</v>
      </c>
      <c r="B46" s="48">
        <v>65</v>
      </c>
    </row>
    <row r="47" spans="1:13" x14ac:dyDescent="0.25">
      <c r="A47" s="48">
        <v>29.166666666666668</v>
      </c>
      <c r="B47" s="48">
        <v>69</v>
      </c>
    </row>
    <row r="48" spans="1:13" x14ac:dyDescent="0.25">
      <c r="A48" s="48">
        <v>37.5</v>
      </c>
      <c r="B48" s="48">
        <v>73</v>
      </c>
    </row>
    <row r="49" spans="1:17" x14ac:dyDescent="0.25">
      <c r="A49" s="48">
        <v>45.833333333333336</v>
      </c>
      <c r="B49" s="48">
        <v>74</v>
      </c>
    </row>
    <row r="50" spans="1:17" x14ac:dyDescent="0.25">
      <c r="A50" s="48">
        <v>54.166666666666664</v>
      </c>
      <c r="B50" s="48">
        <v>76</v>
      </c>
      <c r="H50" s="3" t="s">
        <v>209</v>
      </c>
      <c r="I50" s="31">
        <f>B35</f>
        <v>-8.8766231016523278</v>
      </c>
      <c r="J50" s="37">
        <f>B37/2</f>
        <v>-3.8750000000000013</v>
      </c>
      <c r="L50" s="3" t="s">
        <v>60</v>
      </c>
      <c r="M50" s="93">
        <f>B33</f>
        <v>9.8254836480308576</v>
      </c>
      <c r="O50" t="s">
        <v>210</v>
      </c>
      <c r="P50" s="31">
        <f t="array" ref="P50:Q51">MINVERSE(I50:J51)</f>
        <v>-0.16815129407765692</v>
      </c>
      <c r="Q50" s="37">
        <v>0.12712662234386152</v>
      </c>
    </row>
    <row r="51" spans="1:17" x14ac:dyDescent="0.25">
      <c r="A51" s="48">
        <v>62.5</v>
      </c>
      <c r="B51" s="48">
        <v>76</v>
      </c>
      <c r="I51" s="34">
        <f>B37/2</f>
        <v>-3.8750000000000013</v>
      </c>
      <c r="J51" s="41">
        <f>B36</f>
        <v>-5.1254902595340086</v>
      </c>
      <c r="M51" s="94">
        <f>B34</f>
        <v>4.2163866743878335</v>
      </c>
      <c r="P51" s="34">
        <v>0.12712662234386155</v>
      </c>
      <c r="Q51" s="41">
        <v>-0.29121422264065855</v>
      </c>
    </row>
    <row r="52" spans="1:17" x14ac:dyDescent="0.25">
      <c r="A52" s="48">
        <v>70.833333333333343</v>
      </c>
      <c r="B52" s="48">
        <v>78</v>
      </c>
      <c r="L52" t="s">
        <v>211</v>
      </c>
    </row>
    <row r="53" spans="1:17" x14ac:dyDescent="0.25">
      <c r="A53" s="48">
        <v>79.166666666666671</v>
      </c>
      <c r="B53" s="48">
        <v>79</v>
      </c>
      <c r="I53" s="85" t="s">
        <v>212</v>
      </c>
      <c r="L53" s="3" t="s">
        <v>213</v>
      </c>
      <c r="M53" s="93">
        <f t="array" ref="M53:M54">MMULT(P50:Q51,M50:M51)*-0.5</f>
        <v>0.5580763969723268</v>
      </c>
      <c r="O53" t="s">
        <v>214</v>
      </c>
      <c r="P53" s="30">
        <f>I27+I28*M53+B33*M54+B34*M53^2+B35*M54^2+B36*M53*M54</f>
        <v>1.2383320187770859</v>
      </c>
    </row>
    <row r="54" spans="1:17" x14ac:dyDescent="0.25">
      <c r="A54" s="48">
        <v>87.500000000000014</v>
      </c>
      <c r="B54" s="48">
        <v>81</v>
      </c>
      <c r="M54" s="94">
        <v>-1.060439066736063E-2</v>
      </c>
    </row>
    <row r="55" spans="1:17" ht="15.75" thickBot="1" x14ac:dyDescent="0.3">
      <c r="A55" s="203">
        <v>95.833333333333343</v>
      </c>
      <c r="B55" s="203">
        <v>83</v>
      </c>
    </row>
    <row r="57" spans="1:17" x14ac:dyDescent="0.25">
      <c r="B57" s="85" t="s">
        <v>215</v>
      </c>
    </row>
    <row r="58" spans="1:17" x14ac:dyDescent="0.25">
      <c r="C58" t="s">
        <v>216</v>
      </c>
    </row>
    <row r="59" spans="1:17" x14ac:dyDescent="0.25">
      <c r="B59" t="s">
        <v>217</v>
      </c>
      <c r="C59">
        <v>-1</v>
      </c>
      <c r="D59">
        <v>-0.8</v>
      </c>
      <c r="E59">
        <v>-0.6</v>
      </c>
      <c r="F59">
        <v>-0.4</v>
      </c>
      <c r="G59">
        <v>-0.2</v>
      </c>
      <c r="H59">
        <v>0</v>
      </c>
      <c r="I59">
        <v>0.2</v>
      </c>
      <c r="J59">
        <v>0.4</v>
      </c>
      <c r="K59">
        <v>0.6</v>
      </c>
      <c r="L59">
        <v>0.8</v>
      </c>
      <c r="M59">
        <v>1</v>
      </c>
    </row>
    <row r="60" spans="1:17" x14ac:dyDescent="0.25">
      <c r="A60" t="s">
        <v>14</v>
      </c>
      <c r="B60">
        <v>-1</v>
      </c>
      <c r="C60" s="81">
        <f>79.75+9.83*C$59+4.22*$B60-8.8*C$59^2-5.13*$B60^2-7.75*C$59*$B60</f>
        <v>44.02</v>
      </c>
      <c r="D60" s="86">
        <f t="shared" ref="D60:M70" si="2">79.75+9.83*D$59+4.22*$B60-8.8*D$59^2-5.13*$B60^2-7.75*D$59*$B60</f>
        <v>50.703999999999986</v>
      </c>
      <c r="E60" s="86">
        <f t="shared" si="2"/>
        <v>56.683999999999997</v>
      </c>
      <c r="F60" s="86">
        <f t="shared" si="2"/>
        <v>61.96</v>
      </c>
      <c r="G60" s="86">
        <f t="shared" si="2"/>
        <v>66.532000000000011</v>
      </c>
      <c r="H60" s="86">
        <f t="shared" si="2"/>
        <v>70.400000000000006</v>
      </c>
      <c r="I60" s="86">
        <f t="shared" si="2"/>
        <v>73.563999999999993</v>
      </c>
      <c r="J60" s="86">
        <f t="shared" si="2"/>
        <v>76.024000000000001</v>
      </c>
      <c r="K60" s="86">
        <f t="shared" si="2"/>
        <v>77.78</v>
      </c>
      <c r="L60" s="86">
        <f t="shared" si="2"/>
        <v>78.832000000000008</v>
      </c>
      <c r="M60" s="82">
        <f>79.75+9.83*M$59+4.22*$B60-8.8*M$59^2-5.13*$B60^2-7.75*M$59*$B60</f>
        <v>79.180000000000007</v>
      </c>
    </row>
    <row r="61" spans="1:17" x14ac:dyDescent="0.25">
      <c r="B61">
        <v>-0.8</v>
      </c>
      <c r="C61" s="87">
        <f t="shared" ref="C61:C70" si="3">79.75+9.83*C$59+4.22*$B61-8.8*C$59^2-5.13*$B61^2-7.75*C$59*$B61</f>
        <v>48.260799999999996</v>
      </c>
      <c r="D61" s="10">
        <f t="shared" si="2"/>
        <v>54.634799999999984</v>
      </c>
      <c r="E61" s="10">
        <f t="shared" si="2"/>
        <v>60.3048</v>
      </c>
      <c r="F61" s="10">
        <f t="shared" si="2"/>
        <v>65.270799999999994</v>
      </c>
      <c r="G61" s="10">
        <f t="shared" si="2"/>
        <v>69.532799999999995</v>
      </c>
      <c r="H61" s="10">
        <f t="shared" si="2"/>
        <v>73.090800000000002</v>
      </c>
      <c r="I61" s="10">
        <f t="shared" si="2"/>
        <v>75.944799999999972</v>
      </c>
      <c r="J61" s="10">
        <f t="shared" si="2"/>
        <v>78.094800000000006</v>
      </c>
      <c r="K61" s="10">
        <f t="shared" si="2"/>
        <v>79.54079999999999</v>
      </c>
      <c r="L61" s="10">
        <f t="shared" si="2"/>
        <v>80.282800000000009</v>
      </c>
      <c r="M61" s="88">
        <f t="shared" si="2"/>
        <v>80.320800000000006</v>
      </c>
    </row>
    <row r="62" spans="1:17" x14ac:dyDescent="0.25">
      <c r="B62">
        <v>-0.6</v>
      </c>
      <c r="C62" s="87">
        <f t="shared" si="3"/>
        <v>52.091200000000008</v>
      </c>
      <c r="D62" s="10">
        <f t="shared" si="2"/>
        <v>58.155199999999994</v>
      </c>
      <c r="E62" s="10">
        <f t="shared" si="2"/>
        <v>63.5152</v>
      </c>
      <c r="F62" s="10">
        <f t="shared" si="2"/>
        <v>68.171199999999999</v>
      </c>
      <c r="G62" s="10">
        <f t="shared" si="2"/>
        <v>72.123199999999997</v>
      </c>
      <c r="H62" s="10">
        <f t="shared" si="2"/>
        <v>75.371200000000002</v>
      </c>
      <c r="I62" s="10">
        <f t="shared" si="2"/>
        <v>77.915199999999999</v>
      </c>
      <c r="J62" s="10">
        <f t="shared" si="2"/>
        <v>79.755200000000002</v>
      </c>
      <c r="K62" s="10">
        <f t="shared" si="2"/>
        <v>80.891199999999998</v>
      </c>
      <c r="L62" s="10">
        <f t="shared" si="2"/>
        <v>81.3232</v>
      </c>
      <c r="M62" s="88">
        <f t="shared" si="2"/>
        <v>81.051200000000009</v>
      </c>
    </row>
    <row r="63" spans="1:17" x14ac:dyDescent="0.25">
      <c r="B63">
        <v>-0.4</v>
      </c>
      <c r="C63" s="87">
        <f t="shared" si="3"/>
        <v>55.511200000000002</v>
      </c>
      <c r="D63" s="10">
        <f t="shared" si="2"/>
        <v>61.265199999999993</v>
      </c>
      <c r="E63" s="10">
        <f t="shared" si="2"/>
        <v>66.31519999999999</v>
      </c>
      <c r="F63" s="10">
        <f t="shared" si="2"/>
        <v>70.661199999999994</v>
      </c>
      <c r="G63" s="10">
        <f t="shared" si="2"/>
        <v>74.30319999999999</v>
      </c>
      <c r="H63" s="10">
        <f t="shared" si="2"/>
        <v>77.241199999999992</v>
      </c>
      <c r="I63" s="10">
        <f t="shared" si="2"/>
        <v>79.475199999999987</v>
      </c>
      <c r="J63" s="10">
        <f t="shared" si="2"/>
        <v>81.005199999999988</v>
      </c>
      <c r="K63" s="10">
        <f t="shared" si="2"/>
        <v>81.831199999999981</v>
      </c>
      <c r="L63" s="10">
        <f t="shared" si="2"/>
        <v>81.953199999999995</v>
      </c>
      <c r="M63" s="88">
        <f t="shared" si="2"/>
        <v>81.371199999999988</v>
      </c>
    </row>
    <row r="64" spans="1:17" x14ac:dyDescent="0.25">
      <c r="B64">
        <v>-0.2</v>
      </c>
      <c r="C64" s="87">
        <f t="shared" si="3"/>
        <v>58.520800000000015</v>
      </c>
      <c r="D64" s="10">
        <f t="shared" si="2"/>
        <v>63.96479999999999</v>
      </c>
      <c r="E64" s="10">
        <f t="shared" si="2"/>
        <v>68.704799999999992</v>
      </c>
      <c r="F64" s="10">
        <f t="shared" si="2"/>
        <v>72.740799999999993</v>
      </c>
      <c r="G64" s="10">
        <f t="shared" si="2"/>
        <v>76.072800000000001</v>
      </c>
      <c r="H64" s="10">
        <f t="shared" si="2"/>
        <v>78.700800000000001</v>
      </c>
      <c r="I64" s="10">
        <f t="shared" si="2"/>
        <v>80.624799999999993</v>
      </c>
      <c r="J64" s="10">
        <f t="shared" si="2"/>
        <v>81.844800000000006</v>
      </c>
      <c r="K64" s="10">
        <f t="shared" si="2"/>
        <v>82.360799999999998</v>
      </c>
      <c r="L64" s="10">
        <f t="shared" si="2"/>
        <v>82.172799999999995</v>
      </c>
      <c r="M64" s="88">
        <f t="shared" si="2"/>
        <v>81.280799999999999</v>
      </c>
    </row>
    <row r="65" spans="2:13" x14ac:dyDescent="0.25">
      <c r="B65">
        <v>0</v>
      </c>
      <c r="C65" s="87">
        <f t="shared" si="3"/>
        <v>61.120000000000005</v>
      </c>
      <c r="D65" s="10">
        <f t="shared" si="2"/>
        <v>66.253999999999991</v>
      </c>
      <c r="E65" s="10">
        <f t="shared" si="2"/>
        <v>70.683999999999997</v>
      </c>
      <c r="F65" s="10">
        <f t="shared" si="2"/>
        <v>74.41</v>
      </c>
      <c r="G65" s="10">
        <f t="shared" si="2"/>
        <v>77.432000000000002</v>
      </c>
      <c r="H65" s="10">
        <f t="shared" si="2"/>
        <v>79.75</v>
      </c>
      <c r="I65" s="10">
        <f t="shared" si="2"/>
        <v>81.36399999999999</v>
      </c>
      <c r="J65" s="10">
        <f t="shared" si="2"/>
        <v>82.274000000000001</v>
      </c>
      <c r="K65" s="10">
        <f t="shared" si="2"/>
        <v>82.47999999999999</v>
      </c>
      <c r="L65" s="10">
        <f t="shared" si="2"/>
        <v>81.981999999999999</v>
      </c>
      <c r="M65" s="88">
        <f t="shared" si="2"/>
        <v>80.78</v>
      </c>
    </row>
    <row r="66" spans="2:13" x14ac:dyDescent="0.25">
      <c r="B66">
        <v>0.2</v>
      </c>
      <c r="C66" s="87">
        <f t="shared" si="3"/>
        <v>63.308799999999998</v>
      </c>
      <c r="D66" s="10">
        <f t="shared" si="2"/>
        <v>68.132799999999975</v>
      </c>
      <c r="E66" s="10">
        <f t="shared" si="2"/>
        <v>72.252799999999993</v>
      </c>
      <c r="F66" s="10">
        <f t="shared" si="2"/>
        <v>75.66879999999999</v>
      </c>
      <c r="G66" s="10">
        <f t="shared" si="2"/>
        <v>78.380799999999994</v>
      </c>
      <c r="H66" s="10">
        <f t="shared" si="2"/>
        <v>80.388799999999989</v>
      </c>
      <c r="I66" s="10">
        <f t="shared" si="2"/>
        <v>81.692799999999977</v>
      </c>
      <c r="J66" s="10">
        <f t="shared" si="2"/>
        <v>82.292799999999986</v>
      </c>
      <c r="K66" s="10">
        <f t="shared" si="2"/>
        <v>82.188799999999972</v>
      </c>
      <c r="L66" s="10">
        <f t="shared" si="2"/>
        <v>81.380799999999994</v>
      </c>
      <c r="M66" s="88">
        <f t="shared" si="2"/>
        <v>79.868799999999993</v>
      </c>
    </row>
    <row r="67" spans="2:13" x14ac:dyDescent="0.25">
      <c r="B67">
        <v>0.4</v>
      </c>
      <c r="C67" s="87">
        <f t="shared" si="3"/>
        <v>65.08720000000001</v>
      </c>
      <c r="D67" s="10">
        <f t="shared" si="2"/>
        <v>69.601199999999992</v>
      </c>
      <c r="E67" s="10">
        <f t="shared" si="2"/>
        <v>73.411199999999994</v>
      </c>
      <c r="F67" s="10">
        <f t="shared" si="2"/>
        <v>76.517199999999988</v>
      </c>
      <c r="G67" s="10">
        <f t="shared" si="2"/>
        <v>78.919200000000004</v>
      </c>
      <c r="H67" s="10">
        <f t="shared" si="2"/>
        <v>80.617199999999997</v>
      </c>
      <c r="I67" s="10">
        <f t="shared" si="2"/>
        <v>81.611199999999982</v>
      </c>
      <c r="J67" s="10">
        <f t="shared" si="2"/>
        <v>81.901200000000003</v>
      </c>
      <c r="K67" s="10">
        <f t="shared" si="2"/>
        <v>81.487199999999987</v>
      </c>
      <c r="L67" s="10">
        <f t="shared" si="2"/>
        <v>80.369199999999992</v>
      </c>
      <c r="M67" s="88">
        <f t="shared" si="2"/>
        <v>78.547200000000004</v>
      </c>
    </row>
    <row r="68" spans="2:13" x14ac:dyDescent="0.25">
      <c r="B68">
        <v>0.6</v>
      </c>
      <c r="C68" s="87">
        <f t="shared" si="3"/>
        <v>66.455200000000005</v>
      </c>
      <c r="D68" s="10">
        <f t="shared" si="2"/>
        <v>70.659199999999984</v>
      </c>
      <c r="E68" s="10">
        <f t="shared" si="2"/>
        <v>74.159199999999998</v>
      </c>
      <c r="F68" s="10">
        <f t="shared" si="2"/>
        <v>76.955199999999991</v>
      </c>
      <c r="G68" s="10">
        <f t="shared" si="2"/>
        <v>79.047200000000004</v>
      </c>
      <c r="H68" s="10">
        <f t="shared" si="2"/>
        <v>80.435199999999995</v>
      </c>
      <c r="I68" s="10">
        <f t="shared" si="2"/>
        <v>81.119199999999978</v>
      </c>
      <c r="J68" s="10">
        <f t="shared" si="2"/>
        <v>81.099199999999996</v>
      </c>
      <c r="K68" s="10">
        <f t="shared" si="2"/>
        <v>80.375199999999978</v>
      </c>
      <c r="L68" s="10">
        <f t="shared" si="2"/>
        <v>78.947199999999995</v>
      </c>
      <c r="M68" s="88">
        <f t="shared" si="2"/>
        <v>76.81519999999999</v>
      </c>
    </row>
    <row r="69" spans="2:13" x14ac:dyDescent="0.25">
      <c r="B69">
        <v>0.8</v>
      </c>
      <c r="C69" s="87">
        <f t="shared" si="3"/>
        <v>67.412800000000004</v>
      </c>
      <c r="D69" s="10">
        <f t="shared" si="2"/>
        <v>71.30680000000001</v>
      </c>
      <c r="E69" s="10">
        <f t="shared" si="2"/>
        <v>74.496800000000007</v>
      </c>
      <c r="F69" s="10">
        <f t="shared" si="2"/>
        <v>76.982800000000012</v>
      </c>
      <c r="G69" s="10">
        <f t="shared" si="2"/>
        <v>78.764799999999994</v>
      </c>
      <c r="H69" s="10">
        <f t="shared" si="2"/>
        <v>79.842800000000011</v>
      </c>
      <c r="I69" s="10">
        <f t="shared" si="2"/>
        <v>80.216799999999992</v>
      </c>
      <c r="J69" s="10">
        <f t="shared" si="2"/>
        <v>79.886800000000008</v>
      </c>
      <c r="K69" s="10">
        <f t="shared" si="2"/>
        <v>78.852800000000002</v>
      </c>
      <c r="L69" s="10">
        <f>79.75+9.83*L$59+4.22*$B69-8.8*L$59^2-5.13*$B69^2-7.75*L$59*$B69</f>
        <v>77.114800000000002</v>
      </c>
      <c r="M69" s="88">
        <f t="shared" si="2"/>
        <v>74.672800000000009</v>
      </c>
    </row>
    <row r="70" spans="2:13" x14ac:dyDescent="0.25">
      <c r="B70">
        <v>1</v>
      </c>
      <c r="C70" s="83">
        <f t="shared" si="3"/>
        <v>67.960000000000008</v>
      </c>
      <c r="D70" s="89">
        <f t="shared" si="2"/>
        <v>71.543999999999997</v>
      </c>
      <c r="E70" s="89">
        <f t="shared" si="2"/>
        <v>74.424000000000007</v>
      </c>
      <c r="F70" s="89">
        <f t="shared" si="2"/>
        <v>76.599999999999994</v>
      </c>
      <c r="G70" s="89">
        <f t="shared" si="2"/>
        <v>78.072000000000003</v>
      </c>
      <c r="H70" s="89">
        <f t="shared" si="2"/>
        <v>78.84</v>
      </c>
      <c r="I70" s="89">
        <f t="shared" si="2"/>
        <v>78.903999999999996</v>
      </c>
      <c r="J70" s="89">
        <f t="shared" si="2"/>
        <v>78.26400000000001</v>
      </c>
      <c r="K70" s="89">
        <f t="shared" si="2"/>
        <v>76.919999999999987</v>
      </c>
      <c r="L70" s="89">
        <f t="shared" si="2"/>
        <v>74.872</v>
      </c>
      <c r="M70" s="84">
        <f t="shared" si="2"/>
        <v>72.12</v>
      </c>
    </row>
  </sheetData>
  <pageMargins left="0.7" right="0.7" top="0.75" bottom="0.75" header="0.3" footer="0.3"/>
  <drawing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79"/>
  <sheetViews>
    <sheetView topLeftCell="A7" zoomScaleNormal="100" workbookViewId="0">
      <selection activeCell="M31" sqref="M31"/>
    </sheetView>
  </sheetViews>
  <sheetFormatPr defaultRowHeight="15" x14ac:dyDescent="0.25"/>
  <cols>
    <col min="1" max="1" width="12.42578125" customWidth="1"/>
    <col min="5" max="5" width="10.42578125" customWidth="1"/>
    <col min="8" max="8" width="14" customWidth="1"/>
  </cols>
  <sheetData>
    <row r="1" spans="1:5" x14ac:dyDescent="0.25">
      <c r="A1" t="s">
        <v>658</v>
      </c>
    </row>
    <row r="2" spans="1:5" x14ac:dyDescent="0.25">
      <c r="B2" s="2" t="s">
        <v>13</v>
      </c>
      <c r="C2" s="2" t="s">
        <v>14</v>
      </c>
      <c r="D2" s="2" t="s">
        <v>481</v>
      </c>
      <c r="E2" s="2" t="s">
        <v>267</v>
      </c>
    </row>
    <row r="3" spans="1:5" x14ac:dyDescent="0.25">
      <c r="B3" s="2">
        <f>-C22-1</f>
        <v>-1</v>
      </c>
      <c r="C3" s="2">
        <v>-1</v>
      </c>
      <c r="D3" s="2">
        <v>-1</v>
      </c>
      <c r="E3" s="2">
        <v>140</v>
      </c>
    </row>
    <row r="4" spans="1:5" x14ac:dyDescent="0.25">
      <c r="B4" s="2">
        <v>1</v>
      </c>
      <c r="C4" s="2">
        <v>-1</v>
      </c>
      <c r="D4" s="2">
        <v>-1</v>
      </c>
      <c r="E4" s="2">
        <v>150</v>
      </c>
    </row>
    <row r="5" spans="1:5" x14ac:dyDescent="0.25">
      <c r="B5" s="2">
        <v>-1</v>
      </c>
      <c r="C5" s="2">
        <v>1</v>
      </c>
      <c r="D5" s="2">
        <v>-1</v>
      </c>
      <c r="E5" s="2">
        <v>170</v>
      </c>
    </row>
    <row r="6" spans="1:5" x14ac:dyDescent="0.25">
      <c r="B6" s="2">
        <v>1</v>
      </c>
      <c r="C6" s="2">
        <v>1</v>
      </c>
      <c r="D6" s="2">
        <v>-1</v>
      </c>
      <c r="E6" s="2">
        <v>160</v>
      </c>
    </row>
    <row r="7" spans="1:5" x14ac:dyDescent="0.25">
      <c r="B7" s="2">
        <v>-1</v>
      </c>
      <c r="C7" s="2">
        <v>-1</v>
      </c>
      <c r="D7" s="2">
        <v>1</v>
      </c>
      <c r="E7" s="2">
        <v>120</v>
      </c>
    </row>
    <row r="8" spans="1:5" x14ac:dyDescent="0.25">
      <c r="B8" s="2">
        <v>1</v>
      </c>
      <c r="C8" s="2">
        <v>-1</v>
      </c>
      <c r="D8" s="2">
        <v>1</v>
      </c>
      <c r="E8" s="2">
        <v>120</v>
      </c>
    </row>
    <row r="9" spans="1:5" x14ac:dyDescent="0.25">
      <c r="B9" s="2">
        <v>-1</v>
      </c>
      <c r="C9" s="2">
        <v>1</v>
      </c>
      <c r="D9" s="2">
        <v>1</v>
      </c>
      <c r="E9" s="2">
        <v>140</v>
      </c>
    </row>
    <row r="10" spans="1:5" x14ac:dyDescent="0.25">
      <c r="B10" s="2">
        <v>1</v>
      </c>
      <c r="C10" s="2">
        <v>1</v>
      </c>
      <c r="D10" s="2">
        <v>1</v>
      </c>
      <c r="E10" s="2">
        <v>180</v>
      </c>
    </row>
    <row r="11" spans="1:5" x14ac:dyDescent="0.25">
      <c r="B11" s="325">
        <v>0</v>
      </c>
      <c r="C11" s="325">
        <v>0</v>
      </c>
      <c r="D11" s="325">
        <v>0</v>
      </c>
      <c r="E11" s="2">
        <v>150</v>
      </c>
    </row>
    <row r="12" spans="1:5" x14ac:dyDescent="0.25">
      <c r="B12" s="325">
        <v>0</v>
      </c>
      <c r="C12" s="325">
        <v>0</v>
      </c>
      <c r="D12" s="325">
        <v>0</v>
      </c>
      <c r="E12" s="2">
        <v>140</v>
      </c>
    </row>
    <row r="13" spans="1:5" x14ac:dyDescent="0.25">
      <c r="B13" s="325">
        <v>0</v>
      </c>
      <c r="C13" s="325">
        <v>0</v>
      </c>
      <c r="D13" s="325">
        <v>0</v>
      </c>
      <c r="E13" s="2">
        <v>160</v>
      </c>
    </row>
    <row r="14" spans="1:5" x14ac:dyDescent="0.25">
      <c r="B14" s="325">
        <v>0</v>
      </c>
      <c r="C14" s="325">
        <v>0</v>
      </c>
      <c r="D14" s="325">
        <v>0</v>
      </c>
      <c r="E14" s="2">
        <v>150</v>
      </c>
    </row>
    <row r="16" spans="1:5" x14ac:dyDescent="0.25">
      <c r="A16" t="s">
        <v>204</v>
      </c>
    </row>
    <row r="17" spans="1:17" ht="15.75" thickBot="1" x14ac:dyDescent="0.3">
      <c r="J17" s="10"/>
    </row>
    <row r="18" spans="1:17" x14ac:dyDescent="0.25">
      <c r="A18" s="202" t="s">
        <v>368</v>
      </c>
      <c r="B18" s="202"/>
      <c r="J18" s="10"/>
    </row>
    <row r="19" spans="1:17" x14ac:dyDescent="0.25">
      <c r="A19" s="48" t="s">
        <v>369</v>
      </c>
      <c r="B19" s="48">
        <v>0.82880388986205122</v>
      </c>
      <c r="J19" s="10"/>
    </row>
    <row r="20" spans="1:17" x14ac:dyDescent="0.25">
      <c r="A20" s="48" t="s">
        <v>370</v>
      </c>
      <c r="B20" s="48">
        <v>0.6869158878504672</v>
      </c>
      <c r="J20" s="10"/>
    </row>
    <row r="21" spans="1:17" x14ac:dyDescent="0.25">
      <c r="A21" s="48" t="s">
        <v>371</v>
      </c>
      <c r="B21" s="48">
        <v>0.56950934579439239</v>
      </c>
      <c r="J21" s="10"/>
    </row>
    <row r="22" spans="1:17" x14ac:dyDescent="0.25">
      <c r="A22" s="48" t="s">
        <v>372</v>
      </c>
      <c r="B22" s="48">
        <v>11.814539065631523</v>
      </c>
      <c r="J22" s="10"/>
    </row>
    <row r="23" spans="1:17" ht="15.75" thickBot="1" x14ac:dyDescent="0.3">
      <c r="A23" s="203" t="s">
        <v>373</v>
      </c>
      <c r="B23" s="203">
        <v>12</v>
      </c>
      <c r="J23" s="10"/>
    </row>
    <row r="24" spans="1:17" x14ac:dyDescent="0.25">
      <c r="J24" s="10"/>
      <c r="K24" s="10"/>
      <c r="L24" s="10"/>
      <c r="M24" s="10"/>
    </row>
    <row r="25" spans="1:17" ht="15.75" thickBot="1" x14ac:dyDescent="0.3">
      <c r="A25" t="s">
        <v>374</v>
      </c>
      <c r="J25" s="10"/>
      <c r="K25" s="10" t="s">
        <v>374</v>
      </c>
      <c r="L25" s="326" t="s">
        <v>559</v>
      </c>
      <c r="M25" s="10"/>
    </row>
    <row r="26" spans="1:17" x14ac:dyDescent="0.25">
      <c r="A26" s="204"/>
      <c r="B26" s="204" t="s">
        <v>205</v>
      </c>
      <c r="C26" s="204" t="s">
        <v>206</v>
      </c>
      <c r="D26" s="204" t="s">
        <v>207</v>
      </c>
      <c r="E26" s="204" t="s">
        <v>208</v>
      </c>
      <c r="F26" s="204" t="s">
        <v>375</v>
      </c>
      <c r="J26" s="10"/>
      <c r="L26" t="s">
        <v>205</v>
      </c>
      <c r="M26" t="s">
        <v>206</v>
      </c>
      <c r="N26" t="s">
        <v>207</v>
      </c>
      <c r="O26" t="s">
        <v>208</v>
      </c>
      <c r="P26" t="s">
        <v>227</v>
      </c>
      <c r="Q26" t="s">
        <v>560</v>
      </c>
    </row>
    <row r="27" spans="1:17" x14ac:dyDescent="0.25">
      <c r="A27" s="48" t="s">
        <v>376</v>
      </c>
      <c r="B27" s="48">
        <v>3</v>
      </c>
      <c r="C27" s="48">
        <v>2450</v>
      </c>
      <c r="D27" s="48">
        <v>816.66666666666663</v>
      </c>
      <c r="E27" s="48">
        <v>5.8507462686567147</v>
      </c>
      <c r="F27" s="48">
        <v>2.0459507000305185E-2</v>
      </c>
      <c r="J27" s="10"/>
      <c r="K27" t="s">
        <v>561</v>
      </c>
      <c r="L27" s="30"/>
      <c r="M27" s="30"/>
      <c r="N27" s="30"/>
    </row>
    <row r="28" spans="1:17" x14ac:dyDescent="0.25">
      <c r="A28" s="327" t="s">
        <v>377</v>
      </c>
      <c r="B28" s="327">
        <v>8</v>
      </c>
      <c r="C28" s="327">
        <v>1116.666666666667</v>
      </c>
      <c r="D28" s="327">
        <v>139.58333333333337</v>
      </c>
      <c r="E28" s="48"/>
      <c r="F28" s="48"/>
      <c r="J28" s="10"/>
      <c r="K28" s="288" t="s">
        <v>562</v>
      </c>
      <c r="L28" s="328">
        <v>8</v>
      </c>
      <c r="M28" s="328">
        <v>1116.666666666667</v>
      </c>
      <c r="N28" s="328">
        <v>139.58333333333337</v>
      </c>
      <c r="O28" s="326"/>
      <c r="P28" s="326"/>
    </row>
    <row r="29" spans="1:17" ht="15.75" thickBot="1" x14ac:dyDescent="0.3">
      <c r="A29" s="203" t="s">
        <v>378</v>
      </c>
      <c r="B29" s="203">
        <v>11</v>
      </c>
      <c r="C29" s="203">
        <v>3566.666666666667</v>
      </c>
      <c r="D29" s="203"/>
      <c r="E29" s="203"/>
      <c r="F29" s="203"/>
      <c r="J29" s="10"/>
      <c r="K29" s="3" t="s">
        <v>563</v>
      </c>
      <c r="L29" s="329">
        <f>L28-L30</f>
        <v>5</v>
      </c>
      <c r="M29" s="329">
        <f>M28-M30</f>
        <v>916.66666666666697</v>
      </c>
      <c r="N29" s="329">
        <f>M29/L29</f>
        <v>183.3333333333334</v>
      </c>
      <c r="O29" s="329">
        <f>N29/N30</f>
        <v>2.7500000000000009</v>
      </c>
      <c r="P29" s="329">
        <f>_xlfn.F.INV(0.95,L29,L30)</f>
        <v>9.0134551675225847</v>
      </c>
      <c r="Q29">
        <f>1-_xlfn.F.DIST(O29,L29,L30,1)</f>
        <v>0.21723328588488688</v>
      </c>
    </row>
    <row r="30" spans="1:17" ht="15.75" thickBot="1" x14ac:dyDescent="0.3">
      <c r="J30" s="10"/>
      <c r="K30" s="3" t="s">
        <v>564</v>
      </c>
      <c r="L30" s="329">
        <v>3</v>
      </c>
      <c r="M30" s="329">
        <f>DEVSQ(E11:E14)</f>
        <v>200</v>
      </c>
      <c r="N30" s="329">
        <f>M30/L30</f>
        <v>66.666666666666671</v>
      </c>
      <c r="O30" s="326"/>
      <c r="P30" s="326"/>
    </row>
    <row r="31" spans="1:17" x14ac:dyDescent="0.25">
      <c r="A31" s="204"/>
      <c r="B31" s="204" t="s">
        <v>379</v>
      </c>
      <c r="C31" s="204" t="s">
        <v>372</v>
      </c>
      <c r="D31" s="204" t="s">
        <v>380</v>
      </c>
      <c r="E31" s="204" t="s">
        <v>381</v>
      </c>
      <c r="F31" s="204" t="s">
        <v>382</v>
      </c>
      <c r="G31" s="204" t="s">
        <v>383</v>
      </c>
      <c r="H31" s="204" t="s">
        <v>485</v>
      </c>
      <c r="I31" s="204" t="s">
        <v>486</v>
      </c>
      <c r="J31" s="10"/>
      <c r="K31" t="s">
        <v>378</v>
      </c>
      <c r="L31" s="30"/>
    </row>
    <row r="32" spans="1:17" x14ac:dyDescent="0.25">
      <c r="A32" s="48" t="s">
        <v>384</v>
      </c>
      <c r="B32" s="48">
        <v>148.33333333333334</v>
      </c>
      <c r="C32" s="48">
        <v>3.4105636549468548</v>
      </c>
      <c r="D32" s="48">
        <v>43.492322190844654</v>
      </c>
      <c r="E32" s="48">
        <v>8.6162576111220938E-11</v>
      </c>
      <c r="F32" s="48">
        <v>140.46855944164886</v>
      </c>
      <c r="G32" s="48">
        <v>156.19810722501782</v>
      </c>
      <c r="H32" s="48">
        <v>140.46855944164886</v>
      </c>
      <c r="I32" s="48">
        <v>156.19810722501782</v>
      </c>
      <c r="J32" s="10"/>
    </row>
    <row r="33" spans="1:20" x14ac:dyDescent="0.25">
      <c r="A33" s="48" t="s">
        <v>13</v>
      </c>
      <c r="B33" s="48">
        <v>4.9999999999999991</v>
      </c>
      <c r="C33" s="48">
        <v>4.1770703449507129</v>
      </c>
      <c r="D33" s="48">
        <v>1.1970112033291593</v>
      </c>
      <c r="E33" s="48">
        <v>0.26556654815215436</v>
      </c>
      <c r="F33" s="48">
        <v>-4.6323414884950411</v>
      </c>
      <c r="G33" s="48">
        <v>14.63234148849504</v>
      </c>
      <c r="H33" s="48">
        <v>-4.6323414884950411</v>
      </c>
      <c r="I33" s="48">
        <v>14.63234148849504</v>
      </c>
      <c r="J33" s="10"/>
      <c r="K33" t="s">
        <v>565</v>
      </c>
      <c r="N33" s="54"/>
    </row>
    <row r="34" spans="1:20" x14ac:dyDescent="0.25">
      <c r="A34" s="48" t="s">
        <v>14</v>
      </c>
      <c r="B34" s="48">
        <v>14.999999999999996</v>
      </c>
      <c r="C34" s="48">
        <v>4.1770703449507129</v>
      </c>
      <c r="D34" s="48">
        <v>3.5910336099874773</v>
      </c>
      <c r="E34" s="48">
        <v>7.0738525215899824E-3</v>
      </c>
      <c r="F34" s="48">
        <v>5.3676585115049562</v>
      </c>
      <c r="G34" s="48">
        <v>24.632341488495037</v>
      </c>
      <c r="H34" s="48">
        <v>5.3676585115049562</v>
      </c>
      <c r="I34" s="48">
        <v>24.632341488495037</v>
      </c>
      <c r="J34" s="10"/>
      <c r="K34" t="s">
        <v>566</v>
      </c>
    </row>
    <row r="35" spans="1:20" ht="15.75" thickBot="1" x14ac:dyDescent="0.3">
      <c r="A35" s="203" t="s">
        <v>481</v>
      </c>
      <c r="B35" s="203">
        <v>-7.4999999999999982</v>
      </c>
      <c r="C35" s="203">
        <v>4.1770703449507121</v>
      </c>
      <c r="D35" s="203">
        <v>-1.7955168049937391</v>
      </c>
      <c r="E35" s="203">
        <v>0.11030610510408494</v>
      </c>
      <c r="F35" s="203">
        <v>-17.132341488495037</v>
      </c>
      <c r="G35" s="203">
        <v>2.1323414884950402</v>
      </c>
      <c r="H35" s="203">
        <v>-17.132341488495037</v>
      </c>
      <c r="I35" s="203">
        <v>2.1323414884950402</v>
      </c>
      <c r="J35" s="57"/>
      <c r="K35" s="10" t="s">
        <v>567</v>
      </c>
      <c r="L35" s="10"/>
      <c r="M35" s="10"/>
    </row>
    <row r="36" spans="1:20" s="85" customFormat="1" x14ac:dyDescent="0.25">
      <c r="A36" s="67" t="s">
        <v>568</v>
      </c>
      <c r="B36" s="85">
        <f>B32</f>
        <v>148.33333333333334</v>
      </c>
      <c r="C36" s="85" t="s">
        <v>402</v>
      </c>
      <c r="D36" s="85">
        <f>B33</f>
        <v>4.9999999999999991</v>
      </c>
      <c r="E36" s="85" t="s">
        <v>555</v>
      </c>
      <c r="F36" s="85">
        <f>B34</f>
        <v>14.999999999999996</v>
      </c>
      <c r="G36" s="85" t="s">
        <v>68</v>
      </c>
      <c r="H36" s="85">
        <f>B35</f>
        <v>-7.4999999999999982</v>
      </c>
      <c r="I36" s="85" t="s">
        <v>569</v>
      </c>
      <c r="J36" s="67"/>
      <c r="K36" s="121"/>
      <c r="L36" s="121"/>
      <c r="M36" s="121"/>
    </row>
    <row r="37" spans="1:20" x14ac:dyDescent="0.25">
      <c r="J37" s="48"/>
      <c r="K37" s="10"/>
      <c r="L37" s="10"/>
      <c r="M37" s="10"/>
    </row>
    <row r="38" spans="1:20" x14ac:dyDescent="0.25">
      <c r="J38" s="48"/>
      <c r="K38" s="10"/>
      <c r="L38" s="10"/>
      <c r="M38" s="10"/>
    </row>
    <row r="39" spans="1:20" x14ac:dyDescent="0.25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</row>
    <row r="40" spans="1:20" x14ac:dyDescent="0.25">
      <c r="A40" s="10"/>
      <c r="B40" s="10"/>
      <c r="C40" s="10"/>
      <c r="D40" s="10"/>
      <c r="E40" s="10"/>
      <c r="F40" s="10"/>
      <c r="G40" s="10"/>
      <c r="H40" s="10"/>
      <c r="I40" s="10"/>
      <c r="J40" s="57"/>
      <c r="K40" s="57"/>
      <c r="L40" s="57"/>
      <c r="M40" s="57"/>
    </row>
    <row r="41" spans="1:20" x14ac:dyDescent="0.25">
      <c r="A41" s="56"/>
      <c r="B41" s="56"/>
      <c r="C41" s="10"/>
      <c r="D41" s="10"/>
      <c r="E41" s="10"/>
      <c r="F41" s="10"/>
      <c r="G41" s="10"/>
      <c r="H41" s="10"/>
      <c r="I41" s="10"/>
      <c r="J41" s="48"/>
      <c r="K41" s="48"/>
      <c r="L41" s="48"/>
      <c r="M41" s="48"/>
    </row>
    <row r="42" spans="1:20" x14ac:dyDescent="0.25">
      <c r="A42" s="48"/>
      <c r="B42" s="48"/>
      <c r="C42" s="10"/>
      <c r="D42" s="10"/>
      <c r="E42" s="10"/>
      <c r="F42" s="10"/>
      <c r="G42" s="10"/>
      <c r="H42" s="10"/>
      <c r="I42" s="10"/>
      <c r="J42" s="48"/>
      <c r="K42" s="48"/>
      <c r="L42" s="48"/>
      <c r="M42" s="48"/>
    </row>
    <row r="43" spans="1:20" x14ac:dyDescent="0.25">
      <c r="A43" s="48"/>
      <c r="B43" s="48"/>
      <c r="C43" s="10"/>
      <c r="D43" s="10"/>
      <c r="E43" s="10"/>
      <c r="F43" s="10"/>
      <c r="G43" s="10"/>
      <c r="H43" s="10"/>
      <c r="I43" s="10"/>
      <c r="J43" s="48"/>
      <c r="K43" s="48"/>
      <c r="L43" s="48"/>
      <c r="M43" s="48"/>
    </row>
    <row r="44" spans="1:20" x14ac:dyDescent="0.25">
      <c r="A44" s="48"/>
      <c r="B44" s="48"/>
      <c r="C44" s="10"/>
      <c r="D44" s="10"/>
      <c r="E44" s="10"/>
      <c r="F44" s="10"/>
      <c r="G44" s="10"/>
      <c r="H44" s="10"/>
      <c r="I44" s="10"/>
      <c r="J44" s="10"/>
    </row>
    <row r="45" spans="1:20" x14ac:dyDescent="0.25">
      <c r="A45" s="48"/>
      <c r="B45" s="48"/>
      <c r="C45" s="10"/>
      <c r="D45" s="10"/>
      <c r="E45" s="10"/>
      <c r="F45" s="10"/>
      <c r="G45" s="10"/>
      <c r="H45" s="10"/>
      <c r="I45" s="10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</row>
    <row r="46" spans="1:20" x14ac:dyDescent="0.25">
      <c r="A46" s="48"/>
      <c r="B46" s="48"/>
      <c r="C46" s="10"/>
      <c r="D46" s="10"/>
      <c r="E46" s="10"/>
      <c r="F46" s="10"/>
      <c r="G46" s="10"/>
      <c r="H46" s="10"/>
      <c r="I46" s="10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</row>
    <row r="47" spans="1:20" x14ac:dyDescent="0.25">
      <c r="A47" s="10"/>
      <c r="B47" s="10"/>
      <c r="C47" s="10"/>
      <c r="D47" s="10"/>
      <c r="E47" s="10"/>
      <c r="F47" s="10"/>
      <c r="G47" s="10"/>
      <c r="H47" s="10"/>
      <c r="I47" s="10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</row>
    <row r="48" spans="1:20" x14ac:dyDescent="0.25">
      <c r="A48" s="10"/>
      <c r="B48" s="10"/>
      <c r="C48" s="10"/>
      <c r="D48" s="10"/>
      <c r="E48" s="10"/>
      <c r="F48" s="10"/>
      <c r="G48" s="10"/>
      <c r="H48" s="10"/>
      <c r="I48" s="10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</row>
    <row r="49" spans="1:20" x14ac:dyDescent="0.25">
      <c r="A49" s="57"/>
      <c r="B49" s="57"/>
      <c r="C49" s="57"/>
      <c r="D49" s="57"/>
      <c r="E49" s="57"/>
      <c r="F49" s="57"/>
      <c r="G49" s="10"/>
      <c r="H49" s="10"/>
      <c r="I49" s="10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</row>
    <row r="50" spans="1:20" x14ac:dyDescent="0.25">
      <c r="A50" s="48"/>
      <c r="B50" s="48"/>
      <c r="C50" s="48"/>
      <c r="D50" s="48"/>
      <c r="E50" s="48"/>
      <c r="F50" s="48"/>
      <c r="G50" s="10"/>
      <c r="H50" s="10"/>
      <c r="I50" s="10"/>
      <c r="J50" s="54"/>
      <c r="K50" s="98"/>
      <c r="L50" s="54"/>
      <c r="M50" s="54"/>
      <c r="N50" s="54"/>
      <c r="O50" s="99"/>
      <c r="P50" s="54"/>
      <c r="Q50" s="54"/>
      <c r="R50" s="54"/>
      <c r="S50" s="54"/>
      <c r="T50" s="54"/>
    </row>
    <row r="51" spans="1:20" x14ac:dyDescent="0.25">
      <c r="A51" s="48"/>
      <c r="B51" s="48"/>
      <c r="C51" s="48"/>
      <c r="D51" s="48"/>
      <c r="E51" s="48"/>
      <c r="F51" s="48"/>
      <c r="G51" s="10"/>
      <c r="H51" s="10"/>
      <c r="I51" s="10"/>
      <c r="J51" s="54"/>
      <c r="K51" s="98"/>
      <c r="L51" s="54"/>
      <c r="M51" s="54"/>
      <c r="N51" s="54"/>
      <c r="O51" s="54"/>
      <c r="P51" s="54"/>
      <c r="Q51" s="54"/>
      <c r="R51" s="54"/>
      <c r="S51" s="54"/>
      <c r="T51" s="54"/>
    </row>
    <row r="52" spans="1:20" x14ac:dyDescent="0.25">
      <c r="A52" s="48"/>
      <c r="B52" s="48"/>
      <c r="C52" s="48"/>
      <c r="D52" s="48"/>
      <c r="E52" s="48"/>
      <c r="F52" s="48"/>
      <c r="G52" s="10"/>
      <c r="H52" s="10"/>
      <c r="I52" s="10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</row>
    <row r="53" spans="1:20" x14ac:dyDescent="0.25">
      <c r="A53" s="10"/>
      <c r="B53" s="10"/>
      <c r="C53" s="10"/>
      <c r="D53" s="10"/>
      <c r="E53" s="10"/>
      <c r="F53" s="10"/>
      <c r="G53" s="10"/>
      <c r="H53" s="10"/>
      <c r="I53" s="10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</row>
    <row r="54" spans="1:20" x14ac:dyDescent="0.25">
      <c r="A54" s="57"/>
      <c r="B54" s="57"/>
      <c r="C54" s="57"/>
      <c r="D54" s="57"/>
      <c r="E54" s="57"/>
      <c r="F54" s="57"/>
      <c r="G54" s="57"/>
      <c r="H54" s="57"/>
      <c r="I54" s="57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</row>
    <row r="55" spans="1:20" x14ac:dyDescent="0.25">
      <c r="A55" s="48"/>
      <c r="B55" s="48"/>
      <c r="C55" s="48"/>
      <c r="D55" s="48"/>
      <c r="E55" s="48"/>
      <c r="F55" s="48"/>
      <c r="G55" s="48"/>
      <c r="H55" s="48"/>
      <c r="I55" s="48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</row>
    <row r="56" spans="1:20" x14ac:dyDescent="0.25">
      <c r="A56" s="48"/>
      <c r="B56" s="48"/>
      <c r="C56" s="48"/>
      <c r="D56" s="48"/>
      <c r="E56" s="48"/>
      <c r="F56" s="48"/>
      <c r="G56" s="48"/>
      <c r="H56" s="48"/>
      <c r="I56" s="48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</row>
    <row r="57" spans="1:20" x14ac:dyDescent="0.25"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</row>
    <row r="58" spans="1:20" x14ac:dyDescent="0.25"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</row>
    <row r="59" spans="1:20" x14ac:dyDescent="0.25">
      <c r="J59" s="54"/>
      <c r="L59" s="54"/>
      <c r="M59" s="54"/>
      <c r="N59" s="54"/>
      <c r="O59" s="54"/>
      <c r="P59" s="54"/>
      <c r="Q59" s="54"/>
      <c r="R59" s="54"/>
      <c r="S59" s="54"/>
      <c r="T59" s="54"/>
    </row>
    <row r="60" spans="1:20" x14ac:dyDescent="0.25">
      <c r="A60" s="54"/>
      <c r="B60" s="54"/>
      <c r="C60" s="54"/>
      <c r="D60" s="54"/>
      <c r="E60" s="5"/>
      <c r="F60" s="5"/>
      <c r="G60" s="5"/>
      <c r="H60" s="5"/>
      <c r="I60" s="5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</row>
    <row r="61" spans="1:20" x14ac:dyDescent="0.25">
      <c r="A61" s="54"/>
      <c r="B61" s="54"/>
      <c r="C61" s="54"/>
      <c r="D61" s="54"/>
      <c r="E61" s="5"/>
      <c r="F61" s="5"/>
      <c r="G61" s="5"/>
      <c r="H61" s="5"/>
      <c r="I61" s="5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</row>
    <row r="62" spans="1:20" x14ac:dyDescent="0.25">
      <c r="A62" s="54"/>
      <c r="B62" s="54"/>
      <c r="C62" s="54"/>
      <c r="D62" s="54"/>
      <c r="E62" s="5"/>
      <c r="F62" s="5"/>
      <c r="G62" s="5"/>
      <c r="H62" s="5"/>
      <c r="I62" s="5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</row>
    <row r="63" spans="1:20" x14ac:dyDescent="0.25">
      <c r="A63" s="54"/>
      <c r="B63" s="54"/>
      <c r="C63" s="54"/>
      <c r="D63" s="54"/>
      <c r="E63" s="5"/>
      <c r="F63" s="5"/>
      <c r="G63" s="5"/>
      <c r="H63" s="5"/>
      <c r="I63" s="5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</row>
    <row r="64" spans="1:20" x14ac:dyDescent="0.25">
      <c r="A64" s="54"/>
      <c r="B64" s="54"/>
      <c r="C64" s="54"/>
      <c r="D64" s="54"/>
      <c r="E64" s="5"/>
      <c r="F64" s="5"/>
      <c r="G64" s="5"/>
      <c r="H64" s="5"/>
      <c r="I64" s="5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</row>
    <row r="65" spans="1:20" x14ac:dyDescent="0.25">
      <c r="A65" s="54"/>
      <c r="B65" s="54"/>
      <c r="C65" s="54"/>
      <c r="D65" s="54"/>
      <c r="E65" s="5"/>
      <c r="F65" s="5"/>
      <c r="G65" s="5"/>
      <c r="H65" s="5"/>
      <c r="I65" s="5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</row>
    <row r="66" spans="1:20" x14ac:dyDescent="0.25">
      <c r="A66" s="54"/>
      <c r="B66" s="54"/>
      <c r="C66" s="54"/>
      <c r="D66" s="54"/>
      <c r="E66" s="5"/>
      <c r="F66" s="5"/>
      <c r="G66" s="5"/>
      <c r="H66" s="5"/>
      <c r="I66" s="5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</row>
    <row r="67" spans="1:20" x14ac:dyDescent="0.25">
      <c r="A67" s="54"/>
      <c r="B67" s="54"/>
      <c r="C67" s="54"/>
      <c r="D67" s="54"/>
      <c r="E67" s="5"/>
      <c r="F67" s="5"/>
      <c r="G67" s="5"/>
      <c r="H67" s="5"/>
      <c r="I67" s="5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</row>
    <row r="68" spans="1:20" x14ac:dyDescent="0.25">
      <c r="A68" s="54"/>
      <c r="B68" s="54"/>
      <c r="C68" s="54"/>
      <c r="D68" s="54"/>
      <c r="E68" s="5"/>
      <c r="F68" s="5"/>
      <c r="G68" s="5"/>
      <c r="H68" s="5"/>
      <c r="I68" s="5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</row>
    <row r="69" spans="1:20" x14ac:dyDescent="0.25">
      <c r="A69" s="54"/>
      <c r="B69" s="54"/>
      <c r="C69" s="54"/>
      <c r="D69" s="54"/>
      <c r="E69" s="5"/>
      <c r="F69" s="5"/>
      <c r="G69" s="5"/>
      <c r="H69" s="100"/>
      <c r="I69" s="5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</row>
    <row r="70" spans="1:20" ht="13.5" customHeight="1" x14ac:dyDescent="0.25">
      <c r="A70" s="54"/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</row>
    <row r="71" spans="1:20" hidden="1" x14ac:dyDescent="0.25">
      <c r="E71" s="48"/>
      <c r="F71" s="48"/>
    </row>
    <row r="72" spans="1:20" hidden="1" x14ac:dyDescent="0.25">
      <c r="E72" s="48"/>
      <c r="F72" s="48"/>
    </row>
    <row r="73" spans="1:20" hidden="1" x14ac:dyDescent="0.25">
      <c r="E73" s="10"/>
      <c r="F73" s="10"/>
    </row>
    <row r="74" spans="1:20" hidden="1" x14ac:dyDescent="0.25"/>
    <row r="75" spans="1:20" hidden="1" x14ac:dyDescent="0.25"/>
    <row r="76" spans="1:20" hidden="1" x14ac:dyDescent="0.25"/>
    <row r="77" spans="1:20" hidden="1" x14ac:dyDescent="0.25"/>
    <row r="78" spans="1:20" hidden="1" x14ac:dyDescent="0.25"/>
    <row r="79" spans="1:20" hidden="1" x14ac:dyDescent="0.25"/>
  </sheetData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6"/>
  <sheetViews>
    <sheetView workbookViewId="0">
      <selection activeCell="G22" sqref="G22"/>
    </sheetView>
  </sheetViews>
  <sheetFormatPr defaultRowHeight="15" x14ac:dyDescent="0.25"/>
  <sheetData>
    <row r="1" spans="1:13" x14ac:dyDescent="0.25">
      <c r="A1" t="s">
        <v>570</v>
      </c>
      <c r="H1" t="s">
        <v>571</v>
      </c>
    </row>
    <row r="2" spans="1:13" x14ac:dyDescent="0.25">
      <c r="B2" s="2" t="s">
        <v>41</v>
      </c>
      <c r="C2" s="2" t="s">
        <v>44</v>
      </c>
      <c r="D2" s="2" t="s">
        <v>203</v>
      </c>
      <c r="E2" s="2" t="s">
        <v>564</v>
      </c>
      <c r="F2" s="2" t="s">
        <v>205</v>
      </c>
      <c r="H2" s="2" t="s">
        <v>13</v>
      </c>
      <c r="I2" s="2" t="s">
        <v>14</v>
      </c>
      <c r="J2" s="2" t="s">
        <v>228</v>
      </c>
      <c r="K2" s="2" t="s">
        <v>229</v>
      </c>
      <c r="L2" s="2" t="s">
        <v>202</v>
      </c>
      <c r="M2" s="2" t="s">
        <v>203</v>
      </c>
    </row>
    <row r="3" spans="1:13" x14ac:dyDescent="0.25">
      <c r="B3" s="2">
        <v>-1</v>
      </c>
      <c r="C3" s="2">
        <v>-1</v>
      </c>
      <c r="D3" s="2">
        <v>43</v>
      </c>
      <c r="E3" s="2">
        <v>0</v>
      </c>
      <c r="F3" s="2">
        <v>0</v>
      </c>
      <c r="H3" s="30">
        <f t="shared" ref="H3:I14" si="0">B3</f>
        <v>-1</v>
      </c>
      <c r="I3" s="30">
        <f t="shared" si="0"/>
        <v>-1</v>
      </c>
      <c r="J3" s="30">
        <f>H3^2</f>
        <v>1</v>
      </c>
      <c r="K3" s="30">
        <f>I3^2</f>
        <v>1</v>
      </c>
      <c r="L3" s="30">
        <f>H3*I3</f>
        <v>1</v>
      </c>
      <c r="M3" s="30"/>
    </row>
    <row r="4" spans="1:13" x14ac:dyDescent="0.25">
      <c r="B4" s="2">
        <v>1</v>
      </c>
      <c r="C4" s="2">
        <v>-1</v>
      </c>
      <c r="D4" s="2">
        <v>78</v>
      </c>
      <c r="E4" s="2">
        <v>0</v>
      </c>
      <c r="F4" s="2">
        <v>0</v>
      </c>
      <c r="H4" s="30">
        <f t="shared" si="0"/>
        <v>1</v>
      </c>
      <c r="I4" s="30">
        <f t="shared" si="0"/>
        <v>-1</v>
      </c>
      <c r="J4" s="30">
        <f t="shared" ref="J4:K14" si="1">H4^2</f>
        <v>1</v>
      </c>
      <c r="K4" s="30">
        <f t="shared" si="1"/>
        <v>1</v>
      </c>
      <c r="L4" s="30">
        <f t="shared" ref="L4:L14" si="2">H4*I4</f>
        <v>-1</v>
      </c>
      <c r="M4" s="30"/>
    </row>
    <row r="5" spans="1:13" x14ac:dyDescent="0.25">
      <c r="B5" s="2">
        <v>-1</v>
      </c>
      <c r="C5" s="2">
        <v>1</v>
      </c>
      <c r="D5" s="2">
        <v>69</v>
      </c>
      <c r="E5" s="2">
        <v>0</v>
      </c>
      <c r="F5" s="2">
        <v>0</v>
      </c>
      <c r="H5" s="30">
        <f t="shared" si="0"/>
        <v>-1</v>
      </c>
      <c r="I5" s="30">
        <f t="shared" si="0"/>
        <v>1</v>
      </c>
      <c r="J5" s="30">
        <f t="shared" si="1"/>
        <v>1</v>
      </c>
      <c r="K5" s="30">
        <f t="shared" si="1"/>
        <v>1</v>
      </c>
      <c r="L5" s="30">
        <f t="shared" si="2"/>
        <v>-1</v>
      </c>
      <c r="M5" s="30"/>
    </row>
    <row r="6" spans="1:13" x14ac:dyDescent="0.25">
      <c r="B6" s="2">
        <v>1</v>
      </c>
      <c r="C6" s="2">
        <v>1</v>
      </c>
      <c r="D6" s="2">
        <v>73</v>
      </c>
      <c r="E6" s="2">
        <v>0</v>
      </c>
      <c r="F6" s="2">
        <v>0</v>
      </c>
      <c r="H6" s="30">
        <f t="shared" si="0"/>
        <v>1</v>
      </c>
      <c r="I6" s="30">
        <f t="shared" si="0"/>
        <v>1</v>
      </c>
      <c r="J6" s="30">
        <f t="shared" si="1"/>
        <v>1</v>
      </c>
      <c r="K6" s="30">
        <f t="shared" si="1"/>
        <v>1</v>
      </c>
      <c r="L6" s="30">
        <f t="shared" si="2"/>
        <v>1</v>
      </c>
      <c r="M6" s="30"/>
    </row>
    <row r="7" spans="1:13" x14ac:dyDescent="0.25">
      <c r="B7" s="330">
        <f>-SQRT(2)</f>
        <v>-1.4142135623730951</v>
      </c>
      <c r="C7" s="330">
        <v>0</v>
      </c>
      <c r="D7" s="2">
        <v>48</v>
      </c>
      <c r="E7" s="2">
        <v>0</v>
      </c>
      <c r="F7" s="2">
        <v>0</v>
      </c>
      <c r="H7" s="30">
        <f t="shared" si="0"/>
        <v>-1.4142135623730951</v>
      </c>
      <c r="I7" s="30">
        <f t="shared" si="0"/>
        <v>0</v>
      </c>
      <c r="J7" s="30">
        <f t="shared" si="1"/>
        <v>2.0000000000000004</v>
      </c>
      <c r="K7" s="30">
        <f t="shared" si="1"/>
        <v>0</v>
      </c>
      <c r="L7" s="30">
        <f t="shared" si="2"/>
        <v>0</v>
      </c>
      <c r="M7" s="30"/>
    </row>
    <row r="8" spans="1:13" x14ac:dyDescent="0.25">
      <c r="B8" s="330">
        <f>SQRT(2)</f>
        <v>1.4142135623730951</v>
      </c>
      <c r="C8" s="330">
        <v>0</v>
      </c>
      <c r="D8" s="2">
        <v>76</v>
      </c>
      <c r="E8" s="2">
        <v>0</v>
      </c>
      <c r="F8" s="2">
        <v>0</v>
      </c>
      <c r="H8" s="30">
        <f t="shared" si="0"/>
        <v>1.4142135623730951</v>
      </c>
      <c r="I8" s="30">
        <f t="shared" si="0"/>
        <v>0</v>
      </c>
      <c r="J8" s="30">
        <f t="shared" si="1"/>
        <v>2.0000000000000004</v>
      </c>
      <c r="K8" s="30">
        <f t="shared" si="1"/>
        <v>0</v>
      </c>
      <c r="L8" s="30">
        <f t="shared" si="2"/>
        <v>0</v>
      </c>
      <c r="M8" s="30"/>
    </row>
    <row r="9" spans="1:13" x14ac:dyDescent="0.25">
      <c r="B9" s="330">
        <v>0</v>
      </c>
      <c r="C9" s="330">
        <f>-SQRT(2)</f>
        <v>-1.4142135623730951</v>
      </c>
      <c r="D9" s="2">
        <v>65</v>
      </c>
      <c r="E9" s="2">
        <v>0</v>
      </c>
      <c r="F9" s="2">
        <v>0</v>
      </c>
      <c r="H9" s="30">
        <f t="shared" si="0"/>
        <v>0</v>
      </c>
      <c r="I9" s="30">
        <f t="shared" si="0"/>
        <v>-1.4142135623730951</v>
      </c>
      <c r="J9" s="30">
        <f t="shared" si="1"/>
        <v>0</v>
      </c>
      <c r="K9" s="30">
        <f t="shared" si="1"/>
        <v>2.0000000000000004</v>
      </c>
      <c r="L9" s="30">
        <f t="shared" si="2"/>
        <v>0</v>
      </c>
      <c r="M9" s="30"/>
    </row>
    <row r="10" spans="1:13" x14ac:dyDescent="0.25">
      <c r="B10" s="330">
        <v>0</v>
      </c>
      <c r="C10" s="330">
        <f>SQRT(2)</f>
        <v>1.4142135623730951</v>
      </c>
      <c r="D10" s="2">
        <v>74</v>
      </c>
      <c r="E10" s="2">
        <v>0</v>
      </c>
      <c r="F10" s="2">
        <v>0</v>
      </c>
      <c r="H10" s="30">
        <f t="shared" si="0"/>
        <v>0</v>
      </c>
      <c r="I10" s="30">
        <f t="shared" si="0"/>
        <v>1.4142135623730951</v>
      </c>
      <c r="J10" s="30">
        <f t="shared" si="1"/>
        <v>0</v>
      </c>
      <c r="K10" s="30">
        <f t="shared" si="1"/>
        <v>2.0000000000000004</v>
      </c>
      <c r="L10" s="30">
        <f t="shared" si="2"/>
        <v>0</v>
      </c>
      <c r="M10" s="30"/>
    </row>
    <row r="11" spans="1:13" x14ac:dyDescent="0.25">
      <c r="B11" s="325">
        <v>0</v>
      </c>
      <c r="C11" s="325">
        <v>0</v>
      </c>
      <c r="D11" s="2">
        <v>76</v>
      </c>
      <c r="E11" s="113">
        <f>(D11-$D$15)^2</f>
        <v>14.0625</v>
      </c>
      <c r="F11" s="2">
        <f>4-1</f>
        <v>3</v>
      </c>
      <c r="H11" s="30">
        <f t="shared" si="0"/>
        <v>0</v>
      </c>
      <c r="I11" s="30">
        <f t="shared" si="0"/>
        <v>0</v>
      </c>
      <c r="J11" s="30">
        <f t="shared" si="1"/>
        <v>0</v>
      </c>
      <c r="K11" s="30">
        <f t="shared" si="1"/>
        <v>0</v>
      </c>
      <c r="L11" s="30">
        <f t="shared" si="2"/>
        <v>0</v>
      </c>
      <c r="M11" s="30"/>
    </row>
    <row r="12" spans="1:13" x14ac:dyDescent="0.25">
      <c r="B12" s="325">
        <v>0</v>
      </c>
      <c r="C12" s="325">
        <v>0</v>
      </c>
      <c r="D12" s="2">
        <v>79</v>
      </c>
      <c r="E12" s="113">
        <f t="shared" ref="E12:E14" si="3">(D12-$D$15)^2</f>
        <v>0.5625</v>
      </c>
      <c r="F12" s="2"/>
      <c r="H12" s="30">
        <f t="shared" si="0"/>
        <v>0</v>
      </c>
      <c r="I12" s="30">
        <f t="shared" si="0"/>
        <v>0</v>
      </c>
      <c r="J12" s="30">
        <f t="shared" si="1"/>
        <v>0</v>
      </c>
      <c r="K12" s="30">
        <f t="shared" si="1"/>
        <v>0</v>
      </c>
      <c r="L12" s="30">
        <f t="shared" si="2"/>
        <v>0</v>
      </c>
      <c r="M12" s="30"/>
    </row>
    <row r="13" spans="1:13" x14ac:dyDescent="0.25">
      <c r="B13" s="325">
        <v>0</v>
      </c>
      <c r="C13" s="325">
        <v>0</v>
      </c>
      <c r="D13" s="2">
        <v>83</v>
      </c>
      <c r="E13" s="113">
        <f t="shared" si="3"/>
        <v>10.5625</v>
      </c>
      <c r="F13" s="2"/>
      <c r="H13" s="30">
        <f t="shared" si="0"/>
        <v>0</v>
      </c>
      <c r="I13" s="30">
        <f t="shared" si="0"/>
        <v>0</v>
      </c>
      <c r="J13" s="30">
        <f t="shared" si="1"/>
        <v>0</v>
      </c>
      <c r="K13" s="30">
        <f t="shared" si="1"/>
        <v>0</v>
      </c>
      <c r="L13" s="30">
        <f t="shared" si="2"/>
        <v>0</v>
      </c>
      <c r="M13" s="30"/>
    </row>
    <row r="14" spans="1:13" x14ac:dyDescent="0.25">
      <c r="B14" s="325">
        <v>0</v>
      </c>
      <c r="C14" s="325">
        <v>0</v>
      </c>
      <c r="D14" s="2">
        <v>81</v>
      </c>
      <c r="E14" s="113">
        <f t="shared" si="3"/>
        <v>1.5625</v>
      </c>
      <c r="F14" s="2"/>
      <c r="H14" s="30">
        <f t="shared" si="0"/>
        <v>0</v>
      </c>
      <c r="I14" s="30">
        <f t="shared" si="0"/>
        <v>0</v>
      </c>
      <c r="J14" s="30">
        <f t="shared" si="1"/>
        <v>0</v>
      </c>
      <c r="K14" s="30">
        <f t="shared" si="1"/>
        <v>0</v>
      </c>
      <c r="L14" s="30">
        <f t="shared" si="2"/>
        <v>0</v>
      </c>
      <c r="M14" s="30"/>
    </row>
    <row r="15" spans="1:13" x14ac:dyDescent="0.25">
      <c r="B15" s="2"/>
      <c r="C15" s="2"/>
      <c r="D15" s="113">
        <f>AVERAGE(D11:D14)</f>
        <v>79.75</v>
      </c>
      <c r="E15" s="331">
        <f>SUM(E3:E14)</f>
        <v>26.75</v>
      </c>
      <c r="F15" s="331">
        <f>SUM(F3:F14)</f>
        <v>3</v>
      </c>
    </row>
    <row r="16" spans="1:13" x14ac:dyDescent="0.25">
      <c r="A16" s="10"/>
      <c r="B16" s="13"/>
      <c r="C16" s="13"/>
      <c r="D16" s="13"/>
      <c r="E16" s="332">
        <f>DEVSQ(D11:D14)</f>
        <v>26.75</v>
      </c>
      <c r="F16" s="13"/>
      <c r="G16" s="10"/>
      <c r="H16" s="10"/>
      <c r="I16" s="10"/>
    </row>
    <row r="17" spans="1:17" x14ac:dyDescent="0.25">
      <c r="A17" t="s">
        <v>204</v>
      </c>
    </row>
    <row r="18" spans="1:17" ht="15.75" thickBot="1" x14ac:dyDescent="0.3"/>
    <row r="19" spans="1:17" x14ac:dyDescent="0.25">
      <c r="A19" s="202" t="s">
        <v>368</v>
      </c>
      <c r="B19" s="202"/>
    </row>
    <row r="20" spans="1:17" x14ac:dyDescent="0.25">
      <c r="A20" s="48" t="s">
        <v>369</v>
      </c>
      <c r="B20" s="48">
        <v>0.98995812420565277</v>
      </c>
    </row>
    <row r="21" spans="1:17" x14ac:dyDescent="0.25">
      <c r="A21" s="48" t="s">
        <v>370</v>
      </c>
      <c r="B21" s="48">
        <v>0.98001708768077456</v>
      </c>
    </row>
    <row r="22" spans="1:17" x14ac:dyDescent="0.25">
      <c r="A22" s="48" t="s">
        <v>371</v>
      </c>
      <c r="B22" s="48">
        <v>0.9633646607480868</v>
      </c>
    </row>
    <row r="23" spans="1:17" x14ac:dyDescent="0.25">
      <c r="A23" s="48" t="s">
        <v>372</v>
      </c>
      <c r="B23" s="48">
        <v>2.4272105611866661</v>
      </c>
    </row>
    <row r="24" spans="1:17" ht="15.75" thickBot="1" x14ac:dyDescent="0.3">
      <c r="A24" s="203" t="s">
        <v>373</v>
      </c>
      <c r="B24" s="203">
        <v>12</v>
      </c>
    </row>
    <row r="26" spans="1:17" ht="15.75" thickBot="1" x14ac:dyDescent="0.3">
      <c r="A26" t="s">
        <v>374</v>
      </c>
      <c r="K26" t="s">
        <v>374</v>
      </c>
      <c r="L26" s="326" t="s">
        <v>559</v>
      </c>
    </row>
    <row r="27" spans="1:17" x14ac:dyDescent="0.25">
      <c r="A27" s="204"/>
      <c r="B27" s="204" t="s">
        <v>205</v>
      </c>
      <c r="C27" s="204" t="s">
        <v>206</v>
      </c>
      <c r="D27" s="204" t="s">
        <v>207</v>
      </c>
      <c r="E27" s="204" t="s">
        <v>208</v>
      </c>
      <c r="F27" s="204" t="s">
        <v>375</v>
      </c>
      <c r="L27" t="s">
        <v>205</v>
      </c>
      <c r="M27" t="s">
        <v>206</v>
      </c>
      <c r="N27" t="s">
        <v>207</v>
      </c>
      <c r="O27" t="s">
        <v>572</v>
      </c>
      <c r="P27" t="s">
        <v>227</v>
      </c>
      <c r="Q27" t="s">
        <v>573</v>
      </c>
    </row>
    <row r="28" spans="1:17" x14ac:dyDescent="0.25">
      <c r="A28" s="48" t="s">
        <v>376</v>
      </c>
      <c r="B28" s="48">
        <v>5</v>
      </c>
      <c r="C28" s="48">
        <v>1733.5685600166505</v>
      </c>
      <c r="D28" s="48">
        <v>346.7137120033301</v>
      </c>
      <c r="E28" s="48">
        <v>58.851306878101397</v>
      </c>
      <c r="F28" s="48">
        <v>5.1193049237725126E-5</v>
      </c>
      <c r="K28" t="s">
        <v>561</v>
      </c>
      <c r="L28" s="30"/>
      <c r="M28" s="30"/>
      <c r="N28" s="30"/>
    </row>
    <row r="29" spans="1:17" x14ac:dyDescent="0.25">
      <c r="A29" s="333" t="s">
        <v>377</v>
      </c>
      <c r="B29" s="333">
        <v>6</v>
      </c>
      <c r="C29" s="333">
        <v>35.348106650016547</v>
      </c>
      <c r="D29" s="333">
        <v>5.8913511083360914</v>
      </c>
      <c r="E29" s="48"/>
      <c r="F29" s="48"/>
      <c r="K29" s="333" t="s">
        <v>562</v>
      </c>
      <c r="L29" s="333">
        <f>B29</f>
        <v>6</v>
      </c>
      <c r="M29" s="333">
        <f t="shared" ref="M29:N29" si="4">C29</f>
        <v>35.348106650016547</v>
      </c>
      <c r="N29" s="333">
        <f t="shared" si="4"/>
        <v>5.8913511083360914</v>
      </c>
    </row>
    <row r="30" spans="1:17" ht="15.75" thickBot="1" x14ac:dyDescent="0.3">
      <c r="A30" s="203" t="s">
        <v>378</v>
      </c>
      <c r="B30" s="203">
        <v>11</v>
      </c>
      <c r="C30" s="203">
        <v>1768.916666666667</v>
      </c>
      <c r="D30" s="203"/>
      <c r="E30" s="203"/>
      <c r="F30" s="203"/>
      <c r="K30" s="3" t="s">
        <v>563</v>
      </c>
      <c r="L30" s="334">
        <f>L29-L31</f>
        <v>3</v>
      </c>
      <c r="M30" s="334">
        <f>M29-M31</f>
        <v>8.5981066500165468</v>
      </c>
      <c r="N30" s="334">
        <f>M30/L30</f>
        <v>2.8660355500055155</v>
      </c>
      <c r="O30" s="90">
        <f>N30/N31</f>
        <v>0.32142454766417</v>
      </c>
      <c r="P30" s="30">
        <f>_xlfn.F.INV(0.95,L30,L31)</f>
        <v>9.2766281531448058</v>
      </c>
      <c r="Q30" s="30">
        <f>1-_xlfn.F.DIST(O30,L30,L31,1)</f>
        <v>0.8119178323794336</v>
      </c>
    </row>
    <row r="31" spans="1:17" ht="15.75" thickBot="1" x14ac:dyDescent="0.3">
      <c r="K31" s="3" t="s">
        <v>564</v>
      </c>
      <c r="L31" s="334">
        <f>F15</f>
        <v>3</v>
      </c>
      <c r="M31" s="334">
        <f>E16</f>
        <v>26.75</v>
      </c>
      <c r="N31" s="334">
        <f>M31/L31</f>
        <v>8.9166666666666661</v>
      </c>
    </row>
    <row r="32" spans="1:17" x14ac:dyDescent="0.25">
      <c r="A32" s="204"/>
      <c r="B32" s="204" t="s">
        <v>379</v>
      </c>
      <c r="C32" s="204" t="s">
        <v>372</v>
      </c>
      <c r="D32" s="204" t="s">
        <v>380</v>
      </c>
      <c r="E32" s="204" t="s">
        <v>381</v>
      </c>
      <c r="F32" s="204" t="s">
        <v>382</v>
      </c>
      <c r="G32" s="204" t="s">
        <v>383</v>
      </c>
      <c r="H32" s="204" t="s">
        <v>485</v>
      </c>
      <c r="I32" s="204" t="s">
        <v>486</v>
      </c>
      <c r="K32" t="s">
        <v>378</v>
      </c>
      <c r="L32" s="30"/>
    </row>
    <row r="33" spans="1:13" x14ac:dyDescent="0.25">
      <c r="A33" s="48" t="s">
        <v>384</v>
      </c>
      <c r="B33" s="48">
        <v>79.75</v>
      </c>
      <c r="C33" s="48">
        <v>1.2136052805933331</v>
      </c>
      <c r="D33" s="48">
        <v>65.713293502653627</v>
      </c>
      <c r="E33" s="48">
        <v>8.3522104267497628E-10</v>
      </c>
      <c r="F33" s="48">
        <v>76.780414856304063</v>
      </c>
      <c r="G33" s="48">
        <v>82.719585143695937</v>
      </c>
      <c r="H33" s="48">
        <v>76.726033715374328</v>
      </c>
      <c r="I33" s="48">
        <v>82.75570371893987</v>
      </c>
    </row>
    <row r="34" spans="1:13" x14ac:dyDescent="0.25">
      <c r="A34" s="48" t="s">
        <v>13</v>
      </c>
      <c r="B34" s="48">
        <v>9.8247474683058051</v>
      </c>
      <c r="C34" s="48">
        <v>0.85814852359134786</v>
      </c>
      <c r="D34" s="48">
        <v>11.448772791904693</v>
      </c>
      <c r="E34" s="120">
        <v>2.6649894935569067E-5</v>
      </c>
      <c r="F34" s="48">
        <v>7.7249336758875771</v>
      </c>
      <c r="G34" s="48">
        <v>11.924561260724033</v>
      </c>
      <c r="H34" s="48">
        <v>7.6227067349165125</v>
      </c>
      <c r="I34" s="48">
        <v>11.849013610723716</v>
      </c>
      <c r="K34" t="s">
        <v>565</v>
      </c>
    </row>
    <row r="35" spans="1:13" x14ac:dyDescent="0.25">
      <c r="A35" s="48" t="s">
        <v>14</v>
      </c>
      <c r="B35" s="48">
        <v>4.2159902576697146</v>
      </c>
      <c r="C35" s="48">
        <v>0.85814852359134774</v>
      </c>
      <c r="D35" s="48">
        <v>4.9128911158942676</v>
      </c>
      <c r="E35" s="120">
        <v>2.6758846248308371E-3</v>
      </c>
      <c r="F35" s="48">
        <v>2.1161764652514874</v>
      </c>
      <c r="G35" s="48">
        <v>6.3158040500879418</v>
      </c>
      <c r="H35" s="48">
        <v>2.0551497828348109</v>
      </c>
      <c r="I35" s="48">
        <v>6.2814566586420142</v>
      </c>
      <c r="K35" t="s">
        <v>574</v>
      </c>
    </row>
    <row r="36" spans="1:13" x14ac:dyDescent="0.25">
      <c r="A36" s="48" t="s">
        <v>228</v>
      </c>
      <c r="B36" s="48">
        <v>-8.8749999999999698</v>
      </c>
      <c r="C36" s="48">
        <v>0.95943921677066601</v>
      </c>
      <c r="D36" s="48">
        <v>-9.2501951607439388</v>
      </c>
      <c r="E36" s="120">
        <v>9.0171858347773041E-5</v>
      </c>
      <c r="F36" s="48">
        <v>-11.22266318996936</v>
      </c>
      <c r="G36" s="48">
        <v>-6.5273368100305795</v>
      </c>
      <c r="H36" s="48">
        <v>-10.999166333697396</v>
      </c>
      <c r="I36" s="48">
        <v>-6.3513365628164706</v>
      </c>
      <c r="K36" t="s">
        <v>575</v>
      </c>
    </row>
    <row r="37" spans="1:13" x14ac:dyDescent="0.25">
      <c r="A37" s="48" t="s">
        <v>229</v>
      </c>
      <c r="B37" s="48">
        <v>-5.1249999999999902</v>
      </c>
      <c r="C37" s="48">
        <v>0.95943921677066624</v>
      </c>
      <c r="D37" s="48">
        <v>-5.3416619942324219</v>
      </c>
      <c r="E37" s="120">
        <v>1.7585012831137553E-3</v>
      </c>
      <c r="F37" s="48">
        <v>-7.4726631899693814</v>
      </c>
      <c r="G37" s="48">
        <v>-2.7773368100305995</v>
      </c>
      <c r="H37" s="48">
        <v>-7.3822681855492469</v>
      </c>
      <c r="I37" s="48">
        <v>-2.7344384146683232</v>
      </c>
    </row>
    <row r="38" spans="1:13" ht="15.75" thickBot="1" x14ac:dyDescent="0.3">
      <c r="A38" s="203" t="s">
        <v>202</v>
      </c>
      <c r="B38" s="203">
        <v>-7.7500000000000044</v>
      </c>
      <c r="C38" s="203">
        <v>1.2136052805933331</v>
      </c>
      <c r="D38" s="203">
        <v>-6.3859313435180676</v>
      </c>
      <c r="E38" s="335">
        <v>6.9375018881223313E-4</v>
      </c>
      <c r="F38" s="203">
        <v>-10.719585143695948</v>
      </c>
      <c r="G38" s="203">
        <v>-4.7804148563040609</v>
      </c>
      <c r="H38" s="203">
        <v>-10.765818672680069</v>
      </c>
      <c r="I38" s="203">
        <v>-4.7341813273199307</v>
      </c>
    </row>
    <row r="39" spans="1:13" s="85" customFormat="1" x14ac:dyDescent="0.25">
      <c r="A39" s="67" t="s">
        <v>576</v>
      </c>
      <c r="B39" s="67">
        <f>B33</f>
        <v>79.75</v>
      </c>
      <c r="C39" s="67" t="s">
        <v>67</v>
      </c>
      <c r="D39" s="67">
        <f>B34</f>
        <v>9.8247474683058051</v>
      </c>
      <c r="E39" s="67" t="s">
        <v>555</v>
      </c>
      <c r="F39" s="67">
        <f>B35</f>
        <v>4.2159902576697146</v>
      </c>
      <c r="G39" s="67" t="s">
        <v>68</v>
      </c>
      <c r="H39" s="67">
        <f>B36</f>
        <v>-8.8749999999999698</v>
      </c>
      <c r="I39" s="67" t="s">
        <v>577</v>
      </c>
      <c r="J39" s="85">
        <f>B37</f>
        <v>-5.1249999999999902</v>
      </c>
      <c r="K39" s="67" t="s">
        <v>557</v>
      </c>
      <c r="L39" s="85">
        <f>B38</f>
        <v>-7.7500000000000044</v>
      </c>
      <c r="M39" s="85" t="s">
        <v>69</v>
      </c>
    </row>
    <row r="41" spans="1:13" x14ac:dyDescent="0.25">
      <c r="B41" t="s">
        <v>578</v>
      </c>
    </row>
    <row r="43" spans="1:13" x14ac:dyDescent="0.25">
      <c r="A43" s="57"/>
      <c r="B43" s="57"/>
      <c r="C43" s="57"/>
      <c r="D43" s="10"/>
      <c r="E43" s="57"/>
      <c r="F43" s="57"/>
    </row>
    <row r="44" spans="1:13" x14ac:dyDescent="0.25">
      <c r="A44" s="48"/>
      <c r="B44" s="48"/>
      <c r="C44" s="48"/>
      <c r="D44" s="10"/>
      <c r="E44" s="48"/>
      <c r="F44" s="48"/>
    </row>
    <row r="45" spans="1:13" x14ac:dyDescent="0.25">
      <c r="A45" s="48"/>
      <c r="B45" s="48"/>
      <c r="C45" s="48"/>
      <c r="D45" s="10"/>
      <c r="E45" s="48"/>
      <c r="F45" s="48"/>
    </row>
    <row r="46" spans="1:13" x14ac:dyDescent="0.25">
      <c r="A46" s="48"/>
      <c r="B46" s="48"/>
      <c r="C46" s="48"/>
      <c r="D46" s="10"/>
      <c r="E46" s="48"/>
      <c r="F46" s="48"/>
    </row>
    <row r="47" spans="1:13" x14ac:dyDescent="0.25">
      <c r="A47" s="48"/>
      <c r="B47" s="48"/>
      <c r="C47" s="48"/>
      <c r="D47" s="10"/>
      <c r="E47" s="48"/>
      <c r="F47" s="48"/>
    </row>
    <row r="48" spans="1:13" x14ac:dyDescent="0.25">
      <c r="A48" s="48"/>
      <c r="B48" s="48"/>
      <c r="C48" s="48"/>
      <c r="D48" s="10"/>
      <c r="E48" s="48"/>
      <c r="F48" s="48"/>
    </row>
    <row r="49" spans="1:6" x14ac:dyDescent="0.25">
      <c r="A49" s="48"/>
      <c r="B49" s="48"/>
      <c r="C49" s="48"/>
      <c r="D49" s="10"/>
      <c r="E49" s="48"/>
      <c r="F49" s="48"/>
    </row>
    <row r="50" spans="1:6" x14ac:dyDescent="0.25">
      <c r="A50" s="48"/>
      <c r="B50" s="48"/>
      <c r="C50" s="48"/>
      <c r="D50" s="10"/>
      <c r="E50" s="48"/>
      <c r="F50" s="48"/>
    </row>
    <row r="51" spans="1:6" x14ac:dyDescent="0.25">
      <c r="A51" s="48"/>
      <c r="B51" s="48"/>
      <c r="C51" s="48"/>
      <c r="D51" s="10"/>
      <c r="E51" s="48"/>
      <c r="F51" s="48"/>
    </row>
    <row r="52" spans="1:6" x14ac:dyDescent="0.25">
      <c r="A52" s="48"/>
      <c r="B52" s="48"/>
      <c r="C52" s="48"/>
      <c r="D52" s="10"/>
      <c r="E52" s="48"/>
      <c r="F52" s="48"/>
    </row>
    <row r="53" spans="1:6" x14ac:dyDescent="0.25">
      <c r="A53" s="48"/>
      <c r="B53" s="48"/>
      <c r="C53" s="48"/>
      <c r="D53" s="10"/>
      <c r="E53" s="48"/>
      <c r="F53" s="48"/>
    </row>
    <row r="54" spans="1:6" x14ac:dyDescent="0.25">
      <c r="A54" s="48"/>
      <c r="B54" s="48"/>
      <c r="C54" s="48"/>
      <c r="D54" s="10"/>
      <c r="E54" s="48"/>
      <c r="F54" s="48"/>
    </row>
    <row r="55" spans="1:6" x14ac:dyDescent="0.25">
      <c r="A55" s="48"/>
      <c r="B55" s="48"/>
      <c r="C55" s="48"/>
      <c r="D55" s="10"/>
      <c r="E55" s="48"/>
      <c r="F55" s="48"/>
    </row>
    <row r="56" spans="1:6" x14ac:dyDescent="0.25">
      <c r="A56" s="10"/>
      <c r="B56" s="10"/>
      <c r="C56" s="10"/>
      <c r="D56" s="10"/>
      <c r="E56" s="10"/>
      <c r="F56" s="10"/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32"/>
  <sheetViews>
    <sheetView topLeftCell="A70" workbookViewId="0">
      <selection activeCell="I3" sqref="I3"/>
    </sheetView>
  </sheetViews>
  <sheetFormatPr defaultRowHeight="15" x14ac:dyDescent="0.25"/>
  <cols>
    <col min="2" max="2" width="12.28515625" customWidth="1"/>
    <col min="6" max="6" width="12.85546875" bestFit="1" customWidth="1"/>
  </cols>
  <sheetData>
    <row r="1" spans="1:16" x14ac:dyDescent="0.25">
      <c r="A1" t="s">
        <v>416</v>
      </c>
    </row>
    <row r="2" spans="1:16" x14ac:dyDescent="0.25">
      <c r="B2" t="s">
        <v>409</v>
      </c>
      <c r="E2" t="s">
        <v>410</v>
      </c>
      <c r="I2" t="s">
        <v>411</v>
      </c>
    </row>
    <row r="4" spans="1:16" x14ac:dyDescent="0.25">
      <c r="A4" t="s">
        <v>412</v>
      </c>
    </row>
    <row r="5" spans="1:16" x14ac:dyDescent="0.25">
      <c r="A5" s="219" t="s">
        <v>413</v>
      </c>
    </row>
    <row r="6" spans="1:16" x14ac:dyDescent="0.25">
      <c r="A6" s="219" t="s">
        <v>413</v>
      </c>
    </row>
    <row r="7" spans="1:16" ht="15.75" x14ac:dyDescent="0.25">
      <c r="A7" s="220"/>
    </row>
    <row r="8" spans="1:16" x14ac:dyDescent="0.25">
      <c r="A8" s="219" t="s">
        <v>413</v>
      </c>
    </row>
    <row r="9" spans="1:16" ht="15.75" x14ac:dyDescent="0.25">
      <c r="A9" s="101" t="s">
        <v>579</v>
      </c>
      <c r="D9" t="s">
        <v>414</v>
      </c>
    </row>
    <row r="10" spans="1:16" s="336" customFormat="1" x14ac:dyDescent="0.25">
      <c r="A10" s="336" t="s">
        <v>580</v>
      </c>
    </row>
    <row r="11" spans="1:16" s="221" customFormat="1" x14ac:dyDescent="0.25">
      <c r="A11" s="221" t="s">
        <v>581</v>
      </c>
      <c r="K11" s="221" t="s">
        <v>582</v>
      </c>
      <c r="P11" s="221" t="s">
        <v>415</v>
      </c>
    </row>
    <row r="12" spans="1:16" s="336" customFormat="1" x14ac:dyDescent="0.25">
      <c r="A12" s="336" t="s">
        <v>583</v>
      </c>
    </row>
    <row r="13" spans="1:16" s="221" customFormat="1" x14ac:dyDescent="0.25">
      <c r="A13" s="336" t="s">
        <v>584</v>
      </c>
      <c r="D13" s="221" t="s">
        <v>585</v>
      </c>
    </row>
    <row r="14" spans="1:16" x14ac:dyDescent="0.25">
      <c r="A14" s="221" t="s">
        <v>586</v>
      </c>
    </row>
    <row r="15" spans="1:16" x14ac:dyDescent="0.25">
      <c r="A15" s="221" t="s">
        <v>587</v>
      </c>
    </row>
    <row r="16" spans="1:16" x14ac:dyDescent="0.25">
      <c r="A16" s="221" t="s">
        <v>588</v>
      </c>
    </row>
    <row r="17" spans="2:16" x14ac:dyDescent="0.25">
      <c r="K17" s="70" t="s">
        <v>589</v>
      </c>
      <c r="L17" s="70" t="s">
        <v>590</v>
      </c>
    </row>
    <row r="18" spans="2:16" x14ac:dyDescent="0.25">
      <c r="B18" s="244" t="s">
        <v>41</v>
      </c>
      <c r="C18" s="244" t="s">
        <v>44</v>
      </c>
      <c r="D18" s="244" t="s">
        <v>185</v>
      </c>
      <c r="E18" s="244" t="s">
        <v>267</v>
      </c>
      <c r="G18" s="5" t="s">
        <v>41</v>
      </c>
      <c r="H18" s="79">
        <v>2</v>
      </c>
      <c r="I18" s="79">
        <v>8</v>
      </c>
      <c r="K18" s="70">
        <f>($I18+$H18)/2</f>
        <v>5</v>
      </c>
      <c r="L18" s="70">
        <f>($I18-$H18)/2</f>
        <v>3</v>
      </c>
      <c r="N18" s="2" t="s">
        <v>13</v>
      </c>
      <c r="O18" s="79">
        <f>(H18-$K18)/$L18</f>
        <v>-1</v>
      </c>
      <c r="P18" s="79">
        <f>(I18-$K18)/$L18</f>
        <v>1</v>
      </c>
    </row>
    <row r="19" spans="2:16" x14ac:dyDescent="0.25">
      <c r="B19" s="2">
        <v>2</v>
      </c>
      <c r="C19" s="2">
        <v>30</v>
      </c>
      <c r="D19" s="2">
        <v>0</v>
      </c>
      <c r="E19" s="2">
        <v>6.29</v>
      </c>
      <c r="G19" s="5" t="s">
        <v>44</v>
      </c>
      <c r="H19" s="258">
        <v>30</v>
      </c>
      <c r="I19" s="258">
        <v>70</v>
      </c>
      <c r="K19" s="70">
        <f t="shared" ref="K19:K20" si="0">($I19+$H19)/2</f>
        <v>50</v>
      </c>
      <c r="L19" s="70">
        <f t="shared" ref="L19:L20" si="1">($I19-$H19)/2</f>
        <v>20</v>
      </c>
      <c r="N19" s="2" t="s">
        <v>14</v>
      </c>
      <c r="O19" s="79">
        <f t="shared" ref="O19:P20" si="2">(H19-$K19)/$L19</f>
        <v>-1</v>
      </c>
      <c r="P19" s="79">
        <f t="shared" si="2"/>
        <v>1</v>
      </c>
    </row>
    <row r="20" spans="2:16" x14ac:dyDescent="0.25">
      <c r="B20" s="2">
        <v>8</v>
      </c>
      <c r="C20" s="2">
        <v>70</v>
      </c>
      <c r="D20" s="2">
        <v>4</v>
      </c>
      <c r="E20" s="2">
        <v>6.9</v>
      </c>
      <c r="G20" s="5" t="s">
        <v>185</v>
      </c>
      <c r="H20" s="258">
        <v>0</v>
      </c>
      <c r="I20" s="258">
        <v>4</v>
      </c>
      <c r="K20" s="70">
        <f t="shared" si="0"/>
        <v>2</v>
      </c>
      <c r="L20" s="70">
        <f t="shared" si="1"/>
        <v>2</v>
      </c>
      <c r="N20" s="2" t="s">
        <v>481</v>
      </c>
      <c r="O20" s="79">
        <f t="shared" si="2"/>
        <v>-1</v>
      </c>
      <c r="P20" s="79">
        <f t="shared" si="2"/>
        <v>1</v>
      </c>
    </row>
    <row r="21" spans="2:16" x14ac:dyDescent="0.25">
      <c r="B21" s="2">
        <v>8</v>
      </c>
      <c r="C21" s="2">
        <v>30</v>
      </c>
      <c r="D21" s="2">
        <v>4</v>
      </c>
      <c r="E21" s="2">
        <v>103.3</v>
      </c>
    </row>
    <row r="22" spans="2:16" x14ac:dyDescent="0.25">
      <c r="B22" s="2">
        <v>8</v>
      </c>
      <c r="C22" s="2">
        <v>70</v>
      </c>
      <c r="D22" s="2">
        <v>0</v>
      </c>
      <c r="E22" s="2">
        <v>9.5</v>
      </c>
      <c r="H22" s="2" t="s">
        <v>13</v>
      </c>
      <c r="I22" s="2" t="s">
        <v>14</v>
      </c>
      <c r="J22" s="2" t="s">
        <v>481</v>
      </c>
      <c r="K22" s="2" t="s">
        <v>202</v>
      </c>
      <c r="L22" s="2" t="s">
        <v>482</v>
      </c>
      <c r="M22" s="2" t="s">
        <v>483</v>
      </c>
      <c r="N22" s="5" t="s">
        <v>484</v>
      </c>
    </row>
    <row r="23" spans="2:16" x14ac:dyDescent="0.25">
      <c r="B23" s="2">
        <v>2</v>
      </c>
      <c r="C23" s="2">
        <v>30</v>
      </c>
      <c r="D23" s="2">
        <v>4</v>
      </c>
      <c r="E23" s="2">
        <v>4.5999999999999996</v>
      </c>
      <c r="H23" s="80">
        <f>(B19-$K$18)/$L$18</f>
        <v>-1</v>
      </c>
      <c r="I23" s="80">
        <f>(C19-$K$19)/$L$19</f>
        <v>-1</v>
      </c>
      <c r="J23" s="80">
        <f>(D19-$K$20)/$L$20</f>
        <v>-1</v>
      </c>
      <c r="K23" s="80">
        <f>H23*I23</f>
        <v>1</v>
      </c>
      <c r="L23" s="80">
        <f>H23*J23</f>
        <v>1</v>
      </c>
      <c r="M23" s="80">
        <f>I23*J23</f>
        <v>1</v>
      </c>
      <c r="N23" s="80">
        <f>H23*I23*J23</f>
        <v>-1</v>
      </c>
    </row>
    <row r="24" spans="2:16" x14ac:dyDescent="0.25">
      <c r="B24" s="2">
        <v>2</v>
      </c>
      <c r="C24" s="2">
        <v>70</v>
      </c>
      <c r="D24" s="2">
        <v>0</v>
      </c>
      <c r="E24" s="2">
        <v>10.73</v>
      </c>
      <c r="H24" s="2">
        <f t="shared" ref="H24:H38" si="3">(B20-$K$18)/$L$18</f>
        <v>1</v>
      </c>
      <c r="I24" s="2">
        <f t="shared" ref="I24:I38" si="4">(C20-$K$19)/$L$19</f>
        <v>1</v>
      </c>
      <c r="J24" s="2">
        <f t="shared" ref="J24:J38" si="5">(D20-$K$20)/$L$20</f>
        <v>1</v>
      </c>
      <c r="K24" s="2">
        <f t="shared" ref="K24:K38" si="6">H24*I24</f>
        <v>1</v>
      </c>
      <c r="L24" s="2">
        <f t="shared" ref="L24:L38" si="7">H24*J24</f>
        <v>1</v>
      </c>
      <c r="M24" s="2">
        <f t="shared" ref="M24:M38" si="8">I24*J24</f>
        <v>1</v>
      </c>
      <c r="N24" s="2">
        <f t="shared" ref="N24:N38" si="9">H24*I24*J24</f>
        <v>1</v>
      </c>
    </row>
    <row r="25" spans="2:16" x14ac:dyDescent="0.25">
      <c r="B25" s="2">
        <v>8</v>
      </c>
      <c r="C25" s="2">
        <v>30</v>
      </c>
      <c r="D25" s="2">
        <v>0</v>
      </c>
      <c r="E25" s="2">
        <v>100.7</v>
      </c>
      <c r="H25" s="2">
        <f t="shared" si="3"/>
        <v>1</v>
      </c>
      <c r="I25" s="2">
        <f t="shared" si="4"/>
        <v>-1</v>
      </c>
      <c r="J25" s="2">
        <f t="shared" si="5"/>
        <v>1</v>
      </c>
      <c r="K25" s="2">
        <f t="shared" si="6"/>
        <v>-1</v>
      </c>
      <c r="L25" s="2">
        <f t="shared" si="7"/>
        <v>1</v>
      </c>
      <c r="M25" s="2">
        <f t="shared" si="8"/>
        <v>-1</v>
      </c>
      <c r="N25" s="2">
        <f t="shared" si="9"/>
        <v>-1</v>
      </c>
    </row>
    <row r="26" spans="2:16" x14ac:dyDescent="0.25">
      <c r="B26" s="2">
        <v>2</v>
      </c>
      <c r="C26" s="2">
        <v>70</v>
      </c>
      <c r="D26" s="2">
        <v>4</v>
      </c>
      <c r="E26" s="2">
        <v>11.8</v>
      </c>
      <c r="H26" s="2">
        <f t="shared" si="3"/>
        <v>1</v>
      </c>
      <c r="I26" s="2">
        <f t="shared" si="4"/>
        <v>1</v>
      </c>
      <c r="J26" s="2">
        <f t="shared" si="5"/>
        <v>-1</v>
      </c>
      <c r="K26" s="2">
        <f t="shared" si="6"/>
        <v>1</v>
      </c>
      <c r="L26" s="2">
        <f t="shared" si="7"/>
        <v>-1</v>
      </c>
      <c r="M26" s="2">
        <f t="shared" si="8"/>
        <v>-1</v>
      </c>
      <c r="N26" s="2">
        <f t="shared" si="9"/>
        <v>-1</v>
      </c>
    </row>
    <row r="27" spans="2:16" x14ac:dyDescent="0.25">
      <c r="B27" s="2">
        <v>2</v>
      </c>
      <c r="C27" s="2">
        <v>70</v>
      </c>
      <c r="D27" s="2">
        <v>4</v>
      </c>
      <c r="E27" s="2">
        <v>9.5</v>
      </c>
      <c r="H27" s="2">
        <f t="shared" si="3"/>
        <v>-1</v>
      </c>
      <c r="I27" s="2">
        <f t="shared" si="4"/>
        <v>-1</v>
      </c>
      <c r="J27" s="2">
        <f t="shared" si="5"/>
        <v>1</v>
      </c>
      <c r="K27" s="2">
        <f t="shared" si="6"/>
        <v>1</v>
      </c>
      <c r="L27" s="2">
        <f t="shared" si="7"/>
        <v>-1</v>
      </c>
      <c r="M27" s="2">
        <f t="shared" si="8"/>
        <v>-1</v>
      </c>
      <c r="N27" s="2">
        <f t="shared" si="9"/>
        <v>1</v>
      </c>
    </row>
    <row r="28" spans="2:16" x14ac:dyDescent="0.25">
      <c r="B28" s="2">
        <v>8</v>
      </c>
      <c r="C28" s="2">
        <v>30</v>
      </c>
      <c r="D28" s="2">
        <v>4</v>
      </c>
      <c r="E28" s="2">
        <v>95.44</v>
      </c>
      <c r="H28" s="2">
        <f t="shared" si="3"/>
        <v>-1</v>
      </c>
      <c r="I28" s="2">
        <f t="shared" si="4"/>
        <v>1</v>
      </c>
      <c r="J28" s="2">
        <f t="shared" si="5"/>
        <v>-1</v>
      </c>
      <c r="K28" s="2">
        <f t="shared" si="6"/>
        <v>-1</v>
      </c>
      <c r="L28" s="2">
        <f t="shared" si="7"/>
        <v>1</v>
      </c>
      <c r="M28" s="2">
        <f t="shared" si="8"/>
        <v>-1</v>
      </c>
      <c r="N28" s="2">
        <f t="shared" si="9"/>
        <v>1</v>
      </c>
    </row>
    <row r="29" spans="2:16" x14ac:dyDescent="0.25">
      <c r="B29" s="2">
        <v>8</v>
      </c>
      <c r="C29" s="2">
        <v>70</v>
      </c>
      <c r="D29" s="2">
        <v>0</v>
      </c>
      <c r="E29" s="2">
        <v>8.1</v>
      </c>
      <c r="H29" s="2">
        <f t="shared" si="3"/>
        <v>1</v>
      </c>
      <c r="I29" s="2">
        <f t="shared" si="4"/>
        <v>-1</v>
      </c>
      <c r="J29" s="2">
        <f t="shared" si="5"/>
        <v>-1</v>
      </c>
      <c r="K29" s="2">
        <f t="shared" si="6"/>
        <v>-1</v>
      </c>
      <c r="L29" s="2">
        <f t="shared" si="7"/>
        <v>-1</v>
      </c>
      <c r="M29" s="2">
        <f t="shared" si="8"/>
        <v>1</v>
      </c>
      <c r="N29" s="2">
        <f t="shared" si="9"/>
        <v>1</v>
      </c>
    </row>
    <row r="30" spans="2:16" x14ac:dyDescent="0.25">
      <c r="B30" s="2">
        <v>8</v>
      </c>
      <c r="C30" s="2">
        <v>30</v>
      </c>
      <c r="D30" s="2">
        <v>0</v>
      </c>
      <c r="E30" s="2">
        <v>119.03</v>
      </c>
      <c r="H30" s="2">
        <f t="shared" si="3"/>
        <v>-1</v>
      </c>
      <c r="I30" s="2">
        <f t="shared" si="4"/>
        <v>1</v>
      </c>
      <c r="J30" s="2">
        <f t="shared" si="5"/>
        <v>1</v>
      </c>
      <c r="K30" s="2">
        <f t="shared" si="6"/>
        <v>-1</v>
      </c>
      <c r="L30" s="2">
        <f t="shared" si="7"/>
        <v>-1</v>
      </c>
      <c r="M30" s="2">
        <f t="shared" si="8"/>
        <v>1</v>
      </c>
      <c r="N30" s="2">
        <f t="shared" si="9"/>
        <v>-1</v>
      </c>
    </row>
    <row r="31" spans="2:16" x14ac:dyDescent="0.25">
      <c r="B31" s="2">
        <v>8</v>
      </c>
      <c r="C31" s="2">
        <v>70</v>
      </c>
      <c r="D31" s="2">
        <v>4</v>
      </c>
      <c r="E31" s="2">
        <v>8.1999999999999993</v>
      </c>
      <c r="H31" s="2">
        <f t="shared" si="3"/>
        <v>-1</v>
      </c>
      <c r="I31" s="2">
        <f t="shared" si="4"/>
        <v>1</v>
      </c>
      <c r="J31" s="2">
        <f t="shared" si="5"/>
        <v>1</v>
      </c>
      <c r="K31" s="2">
        <f t="shared" si="6"/>
        <v>-1</v>
      </c>
      <c r="L31" s="2">
        <f t="shared" si="7"/>
        <v>-1</v>
      </c>
      <c r="M31" s="2">
        <f t="shared" si="8"/>
        <v>1</v>
      </c>
      <c r="N31" s="2">
        <f t="shared" si="9"/>
        <v>-1</v>
      </c>
    </row>
    <row r="32" spans="2:16" x14ac:dyDescent="0.25">
      <c r="B32" s="2">
        <v>2</v>
      </c>
      <c r="C32" s="2">
        <v>30</v>
      </c>
      <c r="D32" s="2">
        <v>0</v>
      </c>
      <c r="E32" s="2">
        <v>8.3000000000000007</v>
      </c>
      <c r="H32" s="2">
        <f t="shared" si="3"/>
        <v>1</v>
      </c>
      <c r="I32" s="2">
        <f t="shared" si="4"/>
        <v>-1</v>
      </c>
      <c r="J32" s="2">
        <f t="shared" si="5"/>
        <v>1</v>
      </c>
      <c r="K32" s="2">
        <f t="shared" si="6"/>
        <v>-1</v>
      </c>
      <c r="L32" s="2">
        <f t="shared" si="7"/>
        <v>1</v>
      </c>
      <c r="M32" s="2">
        <f t="shared" si="8"/>
        <v>-1</v>
      </c>
      <c r="N32" s="2">
        <f t="shared" si="9"/>
        <v>-1</v>
      </c>
    </row>
    <row r="33" spans="2:14" x14ac:dyDescent="0.25">
      <c r="B33" s="2">
        <v>2</v>
      </c>
      <c r="C33" s="2">
        <v>30</v>
      </c>
      <c r="D33" s="2">
        <v>4</v>
      </c>
      <c r="E33" s="2">
        <v>6.2</v>
      </c>
      <c r="H33" s="2">
        <f t="shared" si="3"/>
        <v>1</v>
      </c>
      <c r="I33" s="2">
        <f t="shared" si="4"/>
        <v>1</v>
      </c>
      <c r="J33" s="2">
        <f t="shared" si="5"/>
        <v>-1</v>
      </c>
      <c r="K33" s="2">
        <f t="shared" si="6"/>
        <v>1</v>
      </c>
      <c r="L33" s="2">
        <f t="shared" si="7"/>
        <v>-1</v>
      </c>
      <c r="M33" s="2">
        <f t="shared" si="8"/>
        <v>-1</v>
      </c>
      <c r="N33" s="2">
        <f t="shared" si="9"/>
        <v>-1</v>
      </c>
    </row>
    <row r="34" spans="2:14" x14ac:dyDescent="0.25">
      <c r="B34" s="2">
        <v>2</v>
      </c>
      <c r="C34" s="2">
        <v>70</v>
      </c>
      <c r="D34" s="2">
        <v>0</v>
      </c>
      <c r="E34" s="2">
        <v>9.51</v>
      </c>
      <c r="H34" s="2">
        <f t="shared" si="3"/>
        <v>1</v>
      </c>
      <c r="I34" s="2">
        <f t="shared" si="4"/>
        <v>-1</v>
      </c>
      <c r="J34" s="2">
        <f t="shared" si="5"/>
        <v>-1</v>
      </c>
      <c r="K34" s="2">
        <f t="shared" si="6"/>
        <v>-1</v>
      </c>
      <c r="L34" s="2">
        <f t="shared" si="7"/>
        <v>-1</v>
      </c>
      <c r="M34" s="2">
        <f t="shared" si="8"/>
        <v>1</v>
      </c>
      <c r="N34" s="2">
        <f t="shared" si="9"/>
        <v>1</v>
      </c>
    </row>
    <row r="35" spans="2:14" x14ac:dyDescent="0.25">
      <c r="H35" s="2">
        <f t="shared" si="3"/>
        <v>1</v>
      </c>
      <c r="I35" s="2">
        <f t="shared" si="4"/>
        <v>1</v>
      </c>
      <c r="J35" s="2">
        <f t="shared" si="5"/>
        <v>1</v>
      </c>
      <c r="K35" s="2">
        <f t="shared" si="6"/>
        <v>1</v>
      </c>
      <c r="L35" s="2">
        <f t="shared" si="7"/>
        <v>1</v>
      </c>
      <c r="M35" s="2">
        <f t="shared" si="8"/>
        <v>1</v>
      </c>
      <c r="N35" s="2">
        <f t="shared" si="9"/>
        <v>1</v>
      </c>
    </row>
    <row r="36" spans="2:14" x14ac:dyDescent="0.25">
      <c r="H36" s="2">
        <f t="shared" si="3"/>
        <v>-1</v>
      </c>
      <c r="I36" s="2">
        <f t="shared" si="4"/>
        <v>-1</v>
      </c>
      <c r="J36" s="2">
        <f t="shared" si="5"/>
        <v>-1</v>
      </c>
      <c r="K36" s="2">
        <f t="shared" si="6"/>
        <v>1</v>
      </c>
      <c r="L36" s="2">
        <f t="shared" si="7"/>
        <v>1</v>
      </c>
      <c r="M36" s="2">
        <f t="shared" si="8"/>
        <v>1</v>
      </c>
      <c r="N36" s="2">
        <f t="shared" si="9"/>
        <v>-1</v>
      </c>
    </row>
    <row r="37" spans="2:14" x14ac:dyDescent="0.25">
      <c r="H37" s="2">
        <f t="shared" si="3"/>
        <v>-1</v>
      </c>
      <c r="I37" s="2">
        <f t="shared" si="4"/>
        <v>-1</v>
      </c>
      <c r="J37" s="2">
        <f t="shared" si="5"/>
        <v>1</v>
      </c>
      <c r="K37" s="2">
        <f t="shared" si="6"/>
        <v>1</v>
      </c>
      <c r="L37" s="2">
        <f t="shared" si="7"/>
        <v>-1</v>
      </c>
      <c r="M37" s="2">
        <f t="shared" si="8"/>
        <v>-1</v>
      </c>
      <c r="N37" s="2">
        <f t="shared" si="9"/>
        <v>1</v>
      </c>
    </row>
    <row r="38" spans="2:14" x14ac:dyDescent="0.25">
      <c r="H38" s="2">
        <f t="shared" si="3"/>
        <v>-1</v>
      </c>
      <c r="I38" s="2">
        <f t="shared" si="4"/>
        <v>1</v>
      </c>
      <c r="J38" s="2">
        <f t="shared" si="5"/>
        <v>-1</v>
      </c>
      <c r="K38" s="2">
        <f t="shared" si="6"/>
        <v>-1</v>
      </c>
      <c r="L38" s="2">
        <f t="shared" si="7"/>
        <v>1</v>
      </c>
      <c r="M38" s="2">
        <f t="shared" si="8"/>
        <v>-1</v>
      </c>
      <c r="N38" s="2">
        <f t="shared" si="9"/>
        <v>1</v>
      </c>
    </row>
    <row r="39" spans="2:14" x14ac:dyDescent="0.25">
      <c r="B39" t="s">
        <v>591</v>
      </c>
    </row>
    <row r="40" spans="2:14" x14ac:dyDescent="0.25">
      <c r="B40" t="s">
        <v>204</v>
      </c>
    </row>
    <row r="41" spans="2:14" ht="15.75" thickBot="1" x14ac:dyDescent="0.3"/>
    <row r="42" spans="2:14" x14ac:dyDescent="0.25">
      <c r="B42" s="202" t="s">
        <v>368</v>
      </c>
      <c r="C42" s="202"/>
    </row>
    <row r="43" spans="2:14" x14ac:dyDescent="0.25">
      <c r="B43" s="48" t="s">
        <v>369</v>
      </c>
      <c r="C43" s="48">
        <v>0.99631402568784566</v>
      </c>
    </row>
    <row r="44" spans="2:14" x14ac:dyDescent="0.25">
      <c r="B44" s="48" t="s">
        <v>370</v>
      </c>
      <c r="C44" s="48">
        <v>0.99264163778232128</v>
      </c>
    </row>
    <row r="45" spans="2:14" x14ac:dyDescent="0.25">
      <c r="B45" s="48" t="s">
        <v>371</v>
      </c>
      <c r="C45" s="48">
        <v>0.98620307084185233</v>
      </c>
    </row>
    <row r="46" spans="2:14" x14ac:dyDescent="0.25">
      <c r="B46" s="48" t="s">
        <v>372</v>
      </c>
      <c r="C46" s="48">
        <v>5.0916414347438117</v>
      </c>
    </row>
    <row r="47" spans="2:14" ht="15.75" thickBot="1" x14ac:dyDescent="0.3">
      <c r="B47" s="203" t="s">
        <v>373</v>
      </c>
      <c r="C47" s="203">
        <v>16</v>
      </c>
    </row>
    <row r="49" spans="2:10" ht="15.75" thickBot="1" x14ac:dyDescent="0.3">
      <c r="B49" t="s">
        <v>374</v>
      </c>
    </row>
    <row r="50" spans="2:10" x14ac:dyDescent="0.25">
      <c r="B50" s="204"/>
      <c r="C50" s="204" t="s">
        <v>205</v>
      </c>
      <c r="D50" s="204" t="s">
        <v>206</v>
      </c>
      <c r="E50" s="204" t="s">
        <v>207</v>
      </c>
      <c r="F50" s="204" t="s">
        <v>208</v>
      </c>
      <c r="G50" s="204" t="s">
        <v>375</v>
      </c>
    </row>
    <row r="51" spans="2:10" x14ac:dyDescent="0.25">
      <c r="B51" s="48" t="s">
        <v>376</v>
      </c>
      <c r="C51" s="48">
        <v>7</v>
      </c>
      <c r="D51" s="48">
        <v>27978.017475000001</v>
      </c>
      <c r="E51" s="48">
        <v>3996.8596392857144</v>
      </c>
      <c r="F51" s="48">
        <v>154.17120718947189</v>
      </c>
      <c r="G51" s="48">
        <v>6.7773657455074177E-8</v>
      </c>
    </row>
    <row r="52" spans="2:10" x14ac:dyDescent="0.25">
      <c r="B52" s="48" t="s">
        <v>377</v>
      </c>
      <c r="C52" s="48">
        <v>8</v>
      </c>
      <c r="D52" s="48">
        <v>207.39850000000018</v>
      </c>
      <c r="E52" s="48">
        <v>25.924812500000023</v>
      </c>
      <c r="F52" s="48"/>
      <c r="G52" s="48"/>
    </row>
    <row r="53" spans="2:10" ht="15.75" thickBot="1" x14ac:dyDescent="0.3">
      <c r="B53" s="203" t="s">
        <v>378</v>
      </c>
      <c r="C53" s="203">
        <v>15</v>
      </c>
      <c r="D53" s="203">
        <v>28185.415975</v>
      </c>
      <c r="E53" s="203"/>
      <c r="F53" s="203"/>
      <c r="G53" s="203"/>
    </row>
    <row r="54" spans="2:10" ht="15.75" thickBot="1" x14ac:dyDescent="0.3"/>
    <row r="55" spans="2:10" x14ac:dyDescent="0.25">
      <c r="B55" s="204"/>
      <c r="C55" s="204" t="s">
        <v>379</v>
      </c>
      <c r="D55" s="204" t="s">
        <v>372</v>
      </c>
      <c r="E55" s="204" t="s">
        <v>380</v>
      </c>
      <c r="F55" s="204" t="s">
        <v>381</v>
      </c>
      <c r="G55" s="204" t="s">
        <v>382</v>
      </c>
      <c r="H55" s="204" t="s">
        <v>383</v>
      </c>
      <c r="I55" s="204" t="s">
        <v>485</v>
      </c>
      <c r="J55" s="204" t="s">
        <v>486</v>
      </c>
    </row>
    <row r="56" spans="2:10" x14ac:dyDescent="0.25">
      <c r="B56" s="48" t="s">
        <v>384</v>
      </c>
      <c r="C56" s="48">
        <v>32.381250000000001</v>
      </c>
      <c r="D56" s="48">
        <v>1.2729103586859529</v>
      </c>
      <c r="E56" s="48">
        <v>25.43875126715735</v>
      </c>
      <c r="F56" s="48">
        <v>6.1099873365491382E-9</v>
      </c>
      <c r="G56" s="48">
        <v>29.445913449125975</v>
      </c>
      <c r="H56" s="48">
        <v>35.316586550874028</v>
      </c>
      <c r="I56" s="48">
        <v>29.445913449125975</v>
      </c>
      <c r="J56" s="48">
        <v>35.316586550874028</v>
      </c>
    </row>
    <row r="57" spans="2:10" x14ac:dyDescent="0.25">
      <c r="B57" s="48" t="s">
        <v>13</v>
      </c>
      <c r="C57" s="48">
        <v>24.015000000000004</v>
      </c>
      <c r="D57" s="48">
        <v>1.2729103586859529</v>
      </c>
      <c r="E57" s="48">
        <v>18.866214605081144</v>
      </c>
      <c r="F57" s="67">
        <v>6.4414264521101407E-8</v>
      </c>
      <c r="G57" s="48">
        <v>21.079663449125977</v>
      </c>
      <c r="H57" s="48">
        <v>26.950336550874031</v>
      </c>
      <c r="I57" s="48">
        <v>21.079663449125977</v>
      </c>
      <c r="J57" s="48">
        <v>26.950336550874031</v>
      </c>
    </row>
    <row r="58" spans="2:10" x14ac:dyDescent="0.25">
      <c r="B58" s="48" t="s">
        <v>14</v>
      </c>
      <c r="C58" s="48">
        <v>-23.101250000000011</v>
      </c>
      <c r="D58" s="48">
        <v>1.2729103586859529</v>
      </c>
      <c r="E58" s="48">
        <v>-18.148371440584256</v>
      </c>
      <c r="F58" s="67">
        <v>8.7294676948808791E-8</v>
      </c>
      <c r="G58" s="48">
        <v>-26.036586550874038</v>
      </c>
      <c r="H58" s="48">
        <v>-20.165913449125984</v>
      </c>
      <c r="I58" s="48">
        <v>-26.036586550874038</v>
      </c>
      <c r="J58" s="48">
        <v>-20.165913449125984</v>
      </c>
    </row>
    <row r="59" spans="2:10" x14ac:dyDescent="0.25">
      <c r="B59" s="48" t="s">
        <v>481</v>
      </c>
      <c r="C59" s="48">
        <v>-1.6387499999999979</v>
      </c>
      <c r="D59" s="48">
        <v>1.2729103586859529</v>
      </c>
      <c r="E59" s="48">
        <v>-1.2874040884479152</v>
      </c>
      <c r="F59" s="279">
        <v>0.23394724884465107</v>
      </c>
      <c r="G59" s="48">
        <v>-4.5740865508740249</v>
      </c>
      <c r="H59" s="48">
        <v>1.2965865508740293</v>
      </c>
      <c r="I59" s="48">
        <v>-4.5740865508740249</v>
      </c>
      <c r="J59" s="48">
        <v>1.2965865508740293</v>
      </c>
    </row>
    <row r="60" spans="2:10" x14ac:dyDescent="0.25">
      <c r="B60" s="48" t="s">
        <v>202</v>
      </c>
      <c r="C60" s="48">
        <v>-25.12</v>
      </c>
      <c r="D60" s="48">
        <v>1.2729103586859529</v>
      </c>
      <c r="E60" s="48">
        <v>-19.734304013309945</v>
      </c>
      <c r="F60" s="67">
        <v>4.5252926208888944E-8</v>
      </c>
      <c r="G60" s="48">
        <v>-28.055336550874028</v>
      </c>
      <c r="H60" s="48">
        <v>-22.184663449125974</v>
      </c>
      <c r="I60" s="48">
        <v>-28.055336550874028</v>
      </c>
      <c r="J60" s="48">
        <v>-22.184663449125974</v>
      </c>
    </row>
    <row r="61" spans="2:10" x14ac:dyDescent="0.25">
      <c r="B61" s="48" t="s">
        <v>482</v>
      </c>
      <c r="C61" s="48">
        <v>-1.2974999999999988</v>
      </c>
      <c r="D61" s="48">
        <v>1.2729103586859529</v>
      </c>
      <c r="E61" s="48">
        <v>-1.0193176535537272</v>
      </c>
      <c r="F61" s="279">
        <v>0.33788462852471551</v>
      </c>
      <c r="G61" s="48">
        <v>-4.2328365508740262</v>
      </c>
      <c r="H61" s="48">
        <v>1.6378365508740285</v>
      </c>
      <c r="I61" s="48">
        <v>-4.2328365508740262</v>
      </c>
      <c r="J61" s="48">
        <v>1.6378365508740285</v>
      </c>
    </row>
    <row r="62" spans="2:10" x14ac:dyDescent="0.25">
      <c r="B62" s="48" t="s">
        <v>483</v>
      </c>
      <c r="C62" s="48">
        <v>1.458749999999998</v>
      </c>
      <c r="D62" s="48">
        <v>1.2729103586859529</v>
      </c>
      <c r="E62" s="48">
        <v>1.1459958590531782</v>
      </c>
      <c r="F62" s="279">
        <v>0.28491755180644307</v>
      </c>
      <c r="G62" s="48">
        <v>-1.4765865508740292</v>
      </c>
      <c r="H62" s="48">
        <v>4.3940865508740252</v>
      </c>
      <c r="I62" s="48">
        <v>-1.4765865508740292</v>
      </c>
      <c r="J62" s="48">
        <v>4.3940865508740252</v>
      </c>
    </row>
    <row r="63" spans="2:10" ht="15.75" thickBot="1" x14ac:dyDescent="0.3">
      <c r="B63" s="203" t="s">
        <v>484</v>
      </c>
      <c r="C63" s="203">
        <v>0.85249999999999471</v>
      </c>
      <c r="D63" s="203">
        <v>1.2729103586859529</v>
      </c>
      <c r="E63" s="203">
        <v>0.6697250864389579</v>
      </c>
      <c r="F63" s="280">
        <v>0.52188991603934309</v>
      </c>
      <c r="G63" s="203">
        <v>-2.0828365508740325</v>
      </c>
      <c r="H63" s="203">
        <v>3.7878365508740219</v>
      </c>
      <c r="I63" s="203">
        <v>-2.0828365508740325</v>
      </c>
      <c r="J63" s="203">
        <v>3.7878365508740219</v>
      </c>
    </row>
    <row r="65" spans="2:5" x14ac:dyDescent="0.25">
      <c r="B65" t="s">
        <v>592</v>
      </c>
    </row>
    <row r="67" spans="2:5" x14ac:dyDescent="0.25">
      <c r="B67" t="s">
        <v>660</v>
      </c>
    </row>
    <row r="68" spans="2:5" x14ac:dyDescent="0.25">
      <c r="B68" s="2" t="s">
        <v>13</v>
      </c>
      <c r="C68" s="2" t="s">
        <v>14</v>
      </c>
      <c r="D68" s="2" t="s">
        <v>202</v>
      </c>
      <c r="E68" s="375" t="s">
        <v>267</v>
      </c>
    </row>
    <row r="69" spans="2:5" x14ac:dyDescent="0.25">
      <c r="B69" s="80">
        <f>H23</f>
        <v>-1</v>
      </c>
      <c r="C69" s="80">
        <f>I23</f>
        <v>-1</v>
      </c>
      <c r="D69" s="80">
        <f>B69*C69</f>
        <v>1</v>
      </c>
      <c r="E69" s="2">
        <v>6.29</v>
      </c>
    </row>
    <row r="70" spans="2:5" x14ac:dyDescent="0.25">
      <c r="B70" s="13">
        <f t="shared" ref="B70:C70" si="10">H24</f>
        <v>1</v>
      </c>
      <c r="C70" s="13">
        <f t="shared" si="10"/>
        <v>1</v>
      </c>
      <c r="D70" s="13">
        <f t="shared" ref="D70:D84" si="11">B70*C70</f>
        <v>1</v>
      </c>
      <c r="E70" s="2">
        <v>6.9</v>
      </c>
    </row>
    <row r="71" spans="2:5" x14ac:dyDescent="0.25">
      <c r="B71" s="13">
        <f t="shared" ref="B71:C71" si="12">H25</f>
        <v>1</v>
      </c>
      <c r="C71" s="13">
        <f t="shared" si="12"/>
        <v>-1</v>
      </c>
      <c r="D71" s="13">
        <f t="shared" si="11"/>
        <v>-1</v>
      </c>
      <c r="E71" s="2">
        <v>103.3</v>
      </c>
    </row>
    <row r="72" spans="2:5" x14ac:dyDescent="0.25">
      <c r="B72" s="13">
        <f t="shared" ref="B72:C72" si="13">H26</f>
        <v>1</v>
      </c>
      <c r="C72" s="13">
        <f t="shared" si="13"/>
        <v>1</v>
      </c>
      <c r="D72" s="13">
        <f t="shared" si="11"/>
        <v>1</v>
      </c>
      <c r="E72" s="2">
        <v>9.5</v>
      </c>
    </row>
    <row r="73" spans="2:5" x14ac:dyDescent="0.25">
      <c r="B73" s="13">
        <f t="shared" ref="B73:C73" si="14">H27</f>
        <v>-1</v>
      </c>
      <c r="C73" s="13">
        <f t="shared" si="14"/>
        <v>-1</v>
      </c>
      <c r="D73" s="13">
        <f t="shared" si="11"/>
        <v>1</v>
      </c>
      <c r="E73" s="2">
        <v>4.5999999999999996</v>
      </c>
    </row>
    <row r="74" spans="2:5" x14ac:dyDescent="0.25">
      <c r="B74" s="13">
        <f t="shared" ref="B74:C74" si="15">H28</f>
        <v>-1</v>
      </c>
      <c r="C74" s="13">
        <f t="shared" si="15"/>
        <v>1</v>
      </c>
      <c r="D74" s="13">
        <f t="shared" si="11"/>
        <v>-1</v>
      </c>
      <c r="E74" s="2">
        <v>10.73</v>
      </c>
    </row>
    <row r="75" spans="2:5" x14ac:dyDescent="0.25">
      <c r="B75" s="13">
        <f t="shared" ref="B75:C75" si="16">H29</f>
        <v>1</v>
      </c>
      <c r="C75" s="13">
        <f t="shared" si="16"/>
        <v>-1</v>
      </c>
      <c r="D75" s="13">
        <f t="shared" si="11"/>
        <v>-1</v>
      </c>
      <c r="E75" s="2">
        <v>100.7</v>
      </c>
    </row>
    <row r="76" spans="2:5" x14ac:dyDescent="0.25">
      <c r="B76" s="13">
        <f t="shared" ref="B76:C76" si="17">H30</f>
        <v>-1</v>
      </c>
      <c r="C76" s="13">
        <f t="shared" si="17"/>
        <v>1</v>
      </c>
      <c r="D76" s="13">
        <f t="shared" si="11"/>
        <v>-1</v>
      </c>
      <c r="E76" s="2">
        <v>11.8</v>
      </c>
    </row>
    <row r="77" spans="2:5" x14ac:dyDescent="0.25">
      <c r="B77" s="13">
        <f t="shared" ref="B77:C77" si="18">H31</f>
        <v>-1</v>
      </c>
      <c r="C77" s="13">
        <f t="shared" si="18"/>
        <v>1</v>
      </c>
      <c r="D77" s="13">
        <f t="shared" si="11"/>
        <v>-1</v>
      </c>
      <c r="E77" s="2">
        <v>9.5</v>
      </c>
    </row>
    <row r="78" spans="2:5" x14ac:dyDescent="0.25">
      <c r="B78" s="13">
        <f t="shared" ref="B78:C78" si="19">H32</f>
        <v>1</v>
      </c>
      <c r="C78" s="13">
        <f t="shared" si="19"/>
        <v>-1</v>
      </c>
      <c r="D78" s="13">
        <f t="shared" si="11"/>
        <v>-1</v>
      </c>
      <c r="E78" s="2">
        <v>95.44</v>
      </c>
    </row>
    <row r="79" spans="2:5" x14ac:dyDescent="0.25">
      <c r="B79" s="13">
        <f t="shared" ref="B79:C79" si="20">H33</f>
        <v>1</v>
      </c>
      <c r="C79" s="13">
        <f t="shared" si="20"/>
        <v>1</v>
      </c>
      <c r="D79" s="13">
        <f t="shared" si="11"/>
        <v>1</v>
      </c>
      <c r="E79" s="2">
        <v>8.1</v>
      </c>
    </row>
    <row r="80" spans="2:5" x14ac:dyDescent="0.25">
      <c r="B80" s="13">
        <f t="shared" ref="B80:C80" si="21">H34</f>
        <v>1</v>
      </c>
      <c r="C80" s="13">
        <f t="shared" si="21"/>
        <v>-1</v>
      </c>
      <c r="D80" s="13">
        <f t="shared" si="11"/>
        <v>-1</v>
      </c>
      <c r="E80" s="2">
        <v>119.03</v>
      </c>
    </row>
    <row r="81" spans="2:5" x14ac:dyDescent="0.25">
      <c r="B81" s="13">
        <f t="shared" ref="B81:C81" si="22">H35</f>
        <v>1</v>
      </c>
      <c r="C81" s="13">
        <f t="shared" si="22"/>
        <v>1</v>
      </c>
      <c r="D81" s="13">
        <f t="shared" si="11"/>
        <v>1</v>
      </c>
      <c r="E81" s="2">
        <v>8.1999999999999993</v>
      </c>
    </row>
    <row r="82" spans="2:5" x14ac:dyDescent="0.25">
      <c r="B82" s="13">
        <f t="shared" ref="B82:C82" si="23">H36</f>
        <v>-1</v>
      </c>
      <c r="C82" s="13">
        <f t="shared" si="23"/>
        <v>-1</v>
      </c>
      <c r="D82" s="13">
        <f t="shared" si="11"/>
        <v>1</v>
      </c>
      <c r="E82" s="2">
        <v>8.3000000000000007</v>
      </c>
    </row>
    <row r="83" spans="2:5" x14ac:dyDescent="0.25">
      <c r="B83" s="13">
        <f t="shared" ref="B83:C83" si="24">H37</f>
        <v>-1</v>
      </c>
      <c r="C83" s="13">
        <f t="shared" si="24"/>
        <v>-1</v>
      </c>
      <c r="D83" s="13">
        <f t="shared" si="11"/>
        <v>1</v>
      </c>
      <c r="E83" s="2">
        <v>6.2</v>
      </c>
    </row>
    <row r="84" spans="2:5" x14ac:dyDescent="0.25">
      <c r="B84" s="13">
        <f t="shared" ref="B84:C84" si="25">H38</f>
        <v>-1</v>
      </c>
      <c r="C84" s="13">
        <f t="shared" si="25"/>
        <v>1</v>
      </c>
      <c r="D84" s="13">
        <f t="shared" si="11"/>
        <v>-1</v>
      </c>
      <c r="E84" s="2">
        <v>9.51</v>
      </c>
    </row>
    <row r="87" spans="2:5" x14ac:dyDescent="0.25">
      <c r="B87" t="s">
        <v>204</v>
      </c>
    </row>
    <row r="88" spans="2:5" ht="15.75" thickBot="1" x14ac:dyDescent="0.3"/>
    <row r="89" spans="2:5" x14ac:dyDescent="0.25">
      <c r="B89" s="202" t="s">
        <v>368</v>
      </c>
      <c r="C89" s="202"/>
    </row>
    <row r="90" spans="2:5" x14ac:dyDescent="0.25">
      <c r="B90" s="48" t="s">
        <v>369</v>
      </c>
      <c r="C90" s="48">
        <v>0.99425396906426489</v>
      </c>
    </row>
    <row r="91" spans="2:5" x14ac:dyDescent="0.25">
      <c r="B91" s="48" t="s">
        <v>370</v>
      </c>
      <c r="C91" s="48">
        <v>0.98854095500004413</v>
      </c>
    </row>
    <row r="92" spans="2:5" x14ac:dyDescent="0.25">
      <c r="B92" s="48" t="s">
        <v>371</v>
      </c>
      <c r="C92" s="48">
        <v>0.98567619375005522</v>
      </c>
    </row>
    <row r="93" spans="2:5" x14ac:dyDescent="0.25">
      <c r="B93" s="48" t="s">
        <v>372</v>
      </c>
      <c r="C93" s="48">
        <v>5.1879503820551998</v>
      </c>
    </row>
    <row r="94" spans="2:5" ht="15.75" thickBot="1" x14ac:dyDescent="0.3">
      <c r="B94" s="203" t="s">
        <v>373</v>
      </c>
      <c r="C94" s="203">
        <v>16</v>
      </c>
    </row>
    <row r="96" spans="2:5" ht="15.75" thickBot="1" x14ac:dyDescent="0.3">
      <c r="B96" t="s">
        <v>374</v>
      </c>
    </row>
    <row r="97" spans="2:13" x14ac:dyDescent="0.25">
      <c r="B97" s="204"/>
      <c r="C97" s="204" t="s">
        <v>205</v>
      </c>
      <c r="D97" s="204" t="s">
        <v>206</v>
      </c>
      <c r="E97" s="204" t="s">
        <v>207</v>
      </c>
      <c r="F97" s="204" t="s">
        <v>208</v>
      </c>
      <c r="G97" s="204" t="s">
        <v>375</v>
      </c>
    </row>
    <row r="98" spans="2:13" x14ac:dyDescent="0.25">
      <c r="B98" s="48" t="s">
        <v>376</v>
      </c>
      <c r="C98" s="48">
        <v>3</v>
      </c>
      <c r="D98" s="48">
        <v>27862.438024999999</v>
      </c>
      <c r="E98" s="48">
        <v>9287.4793416666671</v>
      </c>
      <c r="F98" s="48">
        <v>345.06922871979305</v>
      </c>
      <c r="G98" s="48">
        <v>6.6069716278487286E-12</v>
      </c>
    </row>
    <row r="99" spans="2:13" x14ac:dyDescent="0.25">
      <c r="B99" s="48" t="s">
        <v>377</v>
      </c>
      <c r="C99" s="48">
        <v>12</v>
      </c>
      <c r="D99" s="48">
        <v>322.97795000000036</v>
      </c>
      <c r="E99" s="48">
        <v>26.914829166666696</v>
      </c>
      <c r="F99" s="48"/>
      <c r="G99" s="48"/>
    </row>
    <row r="100" spans="2:13" ht="15.75" thickBot="1" x14ac:dyDescent="0.3">
      <c r="B100" s="203" t="s">
        <v>378</v>
      </c>
      <c r="C100" s="203">
        <v>15</v>
      </c>
      <c r="D100" s="203">
        <v>28185.415975</v>
      </c>
      <c r="E100" s="203"/>
      <c r="F100" s="203"/>
      <c r="G100" s="203"/>
    </row>
    <row r="101" spans="2:13" ht="15.75" thickBot="1" x14ac:dyDescent="0.3"/>
    <row r="102" spans="2:13" x14ac:dyDescent="0.25">
      <c r="B102" s="204"/>
      <c r="C102" s="204" t="s">
        <v>379</v>
      </c>
      <c r="D102" s="204" t="s">
        <v>372</v>
      </c>
      <c r="E102" s="204" t="s">
        <v>380</v>
      </c>
      <c r="F102" s="204" t="s">
        <v>381</v>
      </c>
      <c r="G102" s="204" t="s">
        <v>382</v>
      </c>
      <c r="H102" s="204" t="s">
        <v>383</v>
      </c>
      <c r="I102" s="204" t="s">
        <v>485</v>
      </c>
      <c r="J102" s="204" t="s">
        <v>486</v>
      </c>
    </row>
    <row r="103" spans="2:13" x14ac:dyDescent="0.25">
      <c r="B103" s="48" t="s">
        <v>384</v>
      </c>
      <c r="C103" s="48">
        <v>32.381250000000001</v>
      </c>
      <c r="D103" s="48">
        <v>1.2969875955137999</v>
      </c>
      <c r="E103" s="48">
        <v>24.96650709074223</v>
      </c>
      <c r="F103" s="48">
        <v>1.0326734154950602E-11</v>
      </c>
      <c r="G103" s="48">
        <v>29.555356786975285</v>
      </c>
      <c r="H103" s="48">
        <v>35.207143213024722</v>
      </c>
      <c r="I103" s="48">
        <v>29.555356786975285</v>
      </c>
      <c r="J103" s="48">
        <v>35.207143213024722</v>
      </c>
    </row>
    <row r="104" spans="2:13" x14ac:dyDescent="0.25">
      <c r="B104" s="48" t="s">
        <v>13</v>
      </c>
      <c r="C104" s="48">
        <v>24.015000000000001</v>
      </c>
      <c r="D104" s="48">
        <v>1.2969875955137999</v>
      </c>
      <c r="E104" s="48">
        <v>18.515982792022378</v>
      </c>
      <c r="F104" s="67">
        <v>3.4243853171895579E-10</v>
      </c>
      <c r="G104" s="48">
        <v>21.189106786975284</v>
      </c>
      <c r="H104" s="48">
        <v>26.840893213024717</v>
      </c>
      <c r="I104" s="48">
        <v>21.189106786975284</v>
      </c>
      <c r="J104" s="48">
        <v>26.840893213024717</v>
      </c>
    </row>
    <row r="105" spans="2:13" x14ac:dyDescent="0.25">
      <c r="B105" s="48" t="s">
        <v>14</v>
      </c>
      <c r="C105" s="48">
        <v>-23.101250000000011</v>
      </c>
      <c r="D105" s="48">
        <v>1.2969875955137999</v>
      </c>
      <c r="E105" s="48">
        <v>-17.811465645396925</v>
      </c>
      <c r="F105" s="67">
        <v>5.3722175957197892E-10</v>
      </c>
      <c r="G105" s="48">
        <v>-25.927143213024728</v>
      </c>
      <c r="H105" s="48">
        <v>-20.275356786975294</v>
      </c>
      <c r="I105" s="48">
        <v>-25.927143213024728</v>
      </c>
      <c r="J105" s="48">
        <v>-20.275356786975294</v>
      </c>
    </row>
    <row r="106" spans="2:13" ht="15.75" thickBot="1" x14ac:dyDescent="0.3">
      <c r="B106" s="203" t="s">
        <v>202</v>
      </c>
      <c r="C106" s="203">
        <v>-25.120000000000008</v>
      </c>
      <c r="D106" s="203">
        <v>1.2969875955137999</v>
      </c>
      <c r="E106" s="203">
        <v>-19.367957015848525</v>
      </c>
      <c r="F106" s="217">
        <v>2.0285750567025709E-10</v>
      </c>
      <c r="G106" s="203">
        <v>-27.945893213024725</v>
      </c>
      <c r="H106" s="203">
        <v>-22.294106786975291</v>
      </c>
      <c r="I106" s="203">
        <v>-27.945893213024725</v>
      </c>
      <c r="J106" s="203">
        <v>-22.294106786975291</v>
      </c>
    </row>
    <row r="107" spans="2:13" x14ac:dyDescent="0.25">
      <c r="B107" s="67" t="s">
        <v>554</v>
      </c>
      <c r="C107" s="85">
        <f>C103</f>
        <v>32.381250000000001</v>
      </c>
      <c r="D107" s="85" t="s">
        <v>67</v>
      </c>
      <c r="E107" s="85">
        <f>C104</f>
        <v>24.015000000000001</v>
      </c>
      <c r="F107" s="85" t="s">
        <v>555</v>
      </c>
      <c r="G107" s="85">
        <f>C105</f>
        <v>-23.101250000000011</v>
      </c>
      <c r="H107" s="85" t="s">
        <v>68</v>
      </c>
      <c r="I107" s="85">
        <f>C106</f>
        <v>-25.120000000000008</v>
      </c>
      <c r="J107" s="85" t="s">
        <v>69</v>
      </c>
      <c r="K107" s="85"/>
      <c r="L107" s="85"/>
      <c r="M107" s="85"/>
    </row>
    <row r="110" spans="2:13" x14ac:dyDescent="0.25">
      <c r="B110" t="s">
        <v>661</v>
      </c>
    </row>
    <row r="111" spans="2:13" ht="15.75" thickBot="1" x14ac:dyDescent="0.3"/>
    <row r="112" spans="2:13" x14ac:dyDescent="0.25">
      <c r="B112" s="202" t="s">
        <v>368</v>
      </c>
      <c r="C112" s="202"/>
      <c r="E112" s="202" t="s">
        <v>368</v>
      </c>
      <c r="F112" s="202"/>
    </row>
    <row r="113" spans="2:10" x14ac:dyDescent="0.25">
      <c r="B113" s="48" t="s">
        <v>369</v>
      </c>
      <c r="C113" s="48">
        <v>0.99631402568784566</v>
      </c>
      <c r="E113" s="48" t="s">
        <v>369</v>
      </c>
      <c r="F113" s="48">
        <v>0.99425396906426489</v>
      </c>
    </row>
    <row r="114" spans="2:10" x14ac:dyDescent="0.25">
      <c r="B114" s="48" t="s">
        <v>370</v>
      </c>
      <c r="C114" s="48">
        <v>0.99264163778232128</v>
      </c>
      <c r="E114" s="48" t="s">
        <v>370</v>
      </c>
      <c r="F114" s="48">
        <v>0.98854095500004413</v>
      </c>
    </row>
    <row r="115" spans="2:10" x14ac:dyDescent="0.25">
      <c r="B115" s="48" t="s">
        <v>371</v>
      </c>
      <c r="C115" s="279">
        <v>0.98620307084185233</v>
      </c>
      <c r="E115" s="48" t="s">
        <v>371</v>
      </c>
      <c r="F115" s="279">
        <v>0.98567619375005522</v>
      </c>
    </row>
    <row r="116" spans="2:10" x14ac:dyDescent="0.25">
      <c r="B116" s="48" t="s">
        <v>372</v>
      </c>
      <c r="C116" s="48">
        <v>5.0916414347438117</v>
      </c>
      <c r="E116" s="48" t="s">
        <v>372</v>
      </c>
      <c r="F116" s="48">
        <v>5.1879503820551998</v>
      </c>
    </row>
    <row r="117" spans="2:10" ht="15.75" thickBot="1" x14ac:dyDescent="0.3">
      <c r="B117" s="203" t="s">
        <v>373</v>
      </c>
      <c r="C117" s="203">
        <v>16</v>
      </c>
      <c r="E117" s="203" t="s">
        <v>373</v>
      </c>
      <c r="F117" s="203">
        <v>16</v>
      </c>
    </row>
    <row r="120" spans="2:10" x14ac:dyDescent="0.25">
      <c r="B120" s="221" t="s">
        <v>588</v>
      </c>
    </row>
    <row r="121" spans="2:10" x14ac:dyDescent="0.25">
      <c r="F121" s="379" t="s">
        <v>589</v>
      </c>
      <c r="G121" s="376" t="s">
        <v>590</v>
      </c>
    </row>
    <row r="122" spans="2:10" x14ac:dyDescent="0.25">
      <c r="B122" s="98" t="s">
        <v>663</v>
      </c>
      <c r="C122" s="2">
        <v>6</v>
      </c>
      <c r="D122" t="s">
        <v>250</v>
      </c>
      <c r="F122" s="379">
        <v>5</v>
      </c>
      <c r="G122" s="376">
        <v>3</v>
      </c>
      <c r="I122" s="98" t="s">
        <v>668</v>
      </c>
      <c r="J122">
        <f>(C122-F122)/G122</f>
        <v>0.33333333333333331</v>
      </c>
    </row>
    <row r="123" spans="2:10" x14ac:dyDescent="0.25">
      <c r="B123" s="98" t="s">
        <v>664</v>
      </c>
      <c r="C123" s="2">
        <v>60</v>
      </c>
      <c r="D123" t="s">
        <v>666</v>
      </c>
      <c r="F123" s="380">
        <v>50</v>
      </c>
      <c r="G123" s="377">
        <v>20</v>
      </c>
      <c r="I123" s="98" t="s">
        <v>669</v>
      </c>
      <c r="J123">
        <f t="shared" ref="J123:J124" si="26">(C123-F123)/G123</f>
        <v>0.5</v>
      </c>
    </row>
    <row r="124" spans="2:10" x14ac:dyDescent="0.25">
      <c r="B124" s="98" t="s">
        <v>665</v>
      </c>
      <c r="C124" s="2">
        <v>2</v>
      </c>
      <c r="D124" t="s">
        <v>667</v>
      </c>
      <c r="F124" s="381">
        <v>2</v>
      </c>
      <c r="G124" s="378">
        <v>2</v>
      </c>
      <c r="I124" s="98" t="s">
        <v>670</v>
      </c>
      <c r="J124">
        <f t="shared" si="26"/>
        <v>0</v>
      </c>
    </row>
    <row r="126" spans="2:10" ht="15.75" thickBot="1" x14ac:dyDescent="0.3">
      <c r="B126" s="98" t="s">
        <v>671</v>
      </c>
    </row>
    <row r="127" spans="2:10" x14ac:dyDescent="0.25">
      <c r="C127" s="204" t="s">
        <v>379</v>
      </c>
    </row>
    <row r="128" spans="2:10" x14ac:dyDescent="0.25">
      <c r="C128" s="48">
        <v>32.381250000000001</v>
      </c>
      <c r="D128">
        <v>1</v>
      </c>
    </row>
    <row r="129" spans="3:5" x14ac:dyDescent="0.25">
      <c r="C129" s="48">
        <v>24.015000000000001</v>
      </c>
      <c r="D129">
        <f>J122</f>
        <v>0.33333333333333331</v>
      </c>
    </row>
    <row r="130" spans="3:5" x14ac:dyDescent="0.25">
      <c r="C130" s="48">
        <v>-23.101250000000011</v>
      </c>
      <c r="D130">
        <f>J123</f>
        <v>0.5</v>
      </c>
    </row>
    <row r="131" spans="3:5" ht="15.75" thickBot="1" x14ac:dyDescent="0.3">
      <c r="C131" s="203">
        <v>-25.120000000000008</v>
      </c>
      <c r="D131">
        <f>J122*J123</f>
        <v>0.16666666666666666</v>
      </c>
    </row>
    <row r="132" spans="3:5" x14ac:dyDescent="0.25">
      <c r="D132" s="389">
        <f>SUMPRODUCT(C128:C131,D128:D131)</f>
        <v>24.648958333333333</v>
      </c>
      <c r="E132" t="s">
        <v>672</v>
      </c>
    </row>
  </sheetData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9"/>
  <sheetViews>
    <sheetView workbookViewId="0">
      <selection activeCell="I7" sqref="I7"/>
    </sheetView>
  </sheetViews>
  <sheetFormatPr defaultRowHeight="15" x14ac:dyDescent="0.25"/>
  <cols>
    <col min="2" max="2" width="19.140625" customWidth="1"/>
  </cols>
  <sheetData>
    <row r="1" spans="1:13" x14ac:dyDescent="0.25">
      <c r="A1" t="s">
        <v>662</v>
      </c>
    </row>
    <row r="2" spans="1:13" x14ac:dyDescent="0.25">
      <c r="B2" s="218" t="s">
        <v>400</v>
      </c>
      <c r="C2" s="384" t="s">
        <v>401</v>
      </c>
      <c r="D2" s="383" t="s">
        <v>402</v>
      </c>
    </row>
    <row r="3" spans="1:13" x14ac:dyDescent="0.25">
      <c r="B3" s="87" t="s">
        <v>403</v>
      </c>
      <c r="C3" s="388">
        <v>4.5</v>
      </c>
      <c r="D3" s="387">
        <v>5.5</v>
      </c>
    </row>
    <row r="4" spans="1:13" x14ac:dyDescent="0.25">
      <c r="B4" s="87" t="s">
        <v>404</v>
      </c>
      <c r="C4" s="388">
        <v>70</v>
      </c>
      <c r="D4" s="387">
        <v>80</v>
      </c>
    </row>
    <row r="5" spans="1:13" x14ac:dyDescent="0.25">
      <c r="B5" s="87" t="s">
        <v>405</v>
      </c>
      <c r="C5" s="388">
        <v>1</v>
      </c>
      <c r="D5" s="387">
        <v>3</v>
      </c>
    </row>
    <row r="6" spans="1:13" x14ac:dyDescent="0.25">
      <c r="B6" s="87" t="s">
        <v>407</v>
      </c>
      <c r="C6" s="388">
        <v>170</v>
      </c>
      <c r="D6" s="387">
        <v>190</v>
      </c>
    </row>
    <row r="7" spans="1:13" x14ac:dyDescent="0.25">
      <c r="B7" s="83" t="s">
        <v>406</v>
      </c>
      <c r="C7" s="385">
        <v>50</v>
      </c>
      <c r="D7" s="386">
        <v>70</v>
      </c>
      <c r="G7">
        <f>2^5</f>
        <v>32</v>
      </c>
    </row>
    <row r="8" spans="1:13" x14ac:dyDescent="0.25">
      <c r="C8" s="2"/>
      <c r="D8" s="2"/>
    </row>
    <row r="9" spans="1:13" x14ac:dyDescent="0.25">
      <c r="A9" t="s">
        <v>408</v>
      </c>
    </row>
    <row r="10" spans="1:13" x14ac:dyDescent="0.25">
      <c r="A10" t="s">
        <v>386</v>
      </c>
      <c r="G10" s="53">
        <f>COMBIN(5,2)</f>
        <v>10</v>
      </c>
      <c r="H10" t="s">
        <v>387</v>
      </c>
    </row>
    <row r="11" spans="1:13" x14ac:dyDescent="0.25">
      <c r="G11" s="53">
        <f>COMBIN(5,3)</f>
        <v>10</v>
      </c>
      <c r="H11" t="s">
        <v>388</v>
      </c>
    </row>
    <row r="12" spans="1:13" x14ac:dyDescent="0.25">
      <c r="G12" s="53">
        <f>COMBIN(5,4)</f>
        <v>5</v>
      </c>
      <c r="H12" t="s">
        <v>389</v>
      </c>
    </row>
    <row r="13" spans="1:13" x14ac:dyDescent="0.25">
      <c r="G13" s="53">
        <f>COMBIN(5,5)</f>
        <v>1</v>
      </c>
      <c r="H13" t="s">
        <v>390</v>
      </c>
    </row>
    <row r="14" spans="1:13" x14ac:dyDescent="0.25">
      <c r="A14" t="s">
        <v>636</v>
      </c>
      <c r="G14">
        <f>SUM(G10:G13)</f>
        <v>26</v>
      </c>
      <c r="H14" t="s">
        <v>593</v>
      </c>
      <c r="M14" t="s">
        <v>654</v>
      </c>
    </row>
    <row r="15" spans="1:13" x14ac:dyDescent="0.25">
      <c r="B15" s="2" t="s">
        <v>385</v>
      </c>
      <c r="C15" s="2" t="s">
        <v>250</v>
      </c>
      <c r="D15" s="2" t="s">
        <v>251</v>
      </c>
      <c r="E15" s="2" t="s">
        <v>252</v>
      </c>
      <c r="F15" s="2" t="s">
        <v>362</v>
      </c>
      <c r="G15" s="2" t="s">
        <v>363</v>
      </c>
      <c r="H15" s="2" t="s">
        <v>267</v>
      </c>
    </row>
    <row r="16" spans="1:13" x14ac:dyDescent="0.25">
      <c r="B16" s="2">
        <v>1</v>
      </c>
      <c r="C16" s="337">
        <v>-1</v>
      </c>
      <c r="D16" s="338">
        <v>-1</v>
      </c>
      <c r="E16" s="339">
        <v>-1</v>
      </c>
      <c r="F16" s="340">
        <v>-1</v>
      </c>
      <c r="G16" s="341">
        <v>-1</v>
      </c>
      <c r="H16" s="2">
        <v>13.1</v>
      </c>
    </row>
    <row r="17" spans="2:10" x14ac:dyDescent="0.25">
      <c r="B17" s="2">
        <v>2</v>
      </c>
      <c r="C17" s="342">
        <v>1</v>
      </c>
      <c r="D17" s="343">
        <v>-1</v>
      </c>
      <c r="E17" s="132">
        <v>-1</v>
      </c>
      <c r="F17" s="344">
        <v>-1</v>
      </c>
      <c r="G17" s="341">
        <v>-1</v>
      </c>
      <c r="H17" s="2">
        <v>9.9</v>
      </c>
      <c r="J17" t="s">
        <v>418</v>
      </c>
    </row>
    <row r="18" spans="2:10" x14ac:dyDescent="0.25">
      <c r="B18" s="2">
        <v>3</v>
      </c>
      <c r="C18" s="342">
        <v>-1</v>
      </c>
      <c r="D18" s="343">
        <v>1</v>
      </c>
      <c r="E18" s="132">
        <v>-1</v>
      </c>
      <c r="F18" s="344">
        <v>-1</v>
      </c>
      <c r="G18" s="341">
        <v>-1</v>
      </c>
      <c r="H18" s="2">
        <v>8.1</v>
      </c>
    </row>
    <row r="19" spans="2:10" x14ac:dyDescent="0.25">
      <c r="B19" s="2">
        <v>4</v>
      </c>
      <c r="C19" s="345">
        <v>1</v>
      </c>
      <c r="D19" s="346">
        <v>1</v>
      </c>
      <c r="E19" s="132">
        <v>-1</v>
      </c>
      <c r="F19" s="344">
        <v>-1</v>
      </c>
      <c r="G19" s="341">
        <v>-1</v>
      </c>
      <c r="H19" s="2">
        <v>7.5</v>
      </c>
    </row>
    <row r="20" spans="2:10" x14ac:dyDescent="0.25">
      <c r="B20" s="2">
        <v>5</v>
      </c>
      <c r="C20" s="388">
        <v>-1</v>
      </c>
      <c r="D20" s="13">
        <v>-1</v>
      </c>
      <c r="E20" s="347">
        <v>1</v>
      </c>
      <c r="F20" s="344">
        <v>-1</v>
      </c>
      <c r="G20" s="341">
        <v>-1</v>
      </c>
      <c r="H20" s="2">
        <v>9</v>
      </c>
    </row>
    <row r="21" spans="2:10" x14ac:dyDescent="0.25">
      <c r="B21" s="2">
        <v>6</v>
      </c>
      <c r="C21" s="388">
        <v>1</v>
      </c>
      <c r="D21" s="13">
        <v>-1</v>
      </c>
      <c r="E21" s="347">
        <v>1</v>
      </c>
      <c r="F21" s="344">
        <v>-1</v>
      </c>
      <c r="G21" s="341">
        <v>-1</v>
      </c>
      <c r="H21" s="2">
        <v>9.1999999999999993</v>
      </c>
    </row>
    <row r="22" spans="2:10" x14ac:dyDescent="0.25">
      <c r="B22" s="2">
        <v>7</v>
      </c>
      <c r="C22" s="388">
        <v>-1</v>
      </c>
      <c r="D22" s="13">
        <v>1</v>
      </c>
      <c r="E22" s="347">
        <v>1</v>
      </c>
      <c r="F22" s="344">
        <v>-1</v>
      </c>
      <c r="G22" s="341">
        <v>-1</v>
      </c>
      <c r="H22" s="2">
        <v>-1</v>
      </c>
    </row>
    <row r="23" spans="2:10" x14ac:dyDescent="0.25">
      <c r="B23" s="2">
        <v>8</v>
      </c>
      <c r="C23" s="385">
        <v>1</v>
      </c>
      <c r="D23" s="382">
        <v>1</v>
      </c>
      <c r="E23" s="348">
        <v>1</v>
      </c>
      <c r="F23" s="344">
        <v>-1</v>
      </c>
      <c r="G23" s="341">
        <v>-1</v>
      </c>
      <c r="H23" s="2">
        <v>-1</v>
      </c>
    </row>
    <row r="24" spans="2:10" x14ac:dyDescent="0.25">
      <c r="B24" s="2">
        <v>9</v>
      </c>
      <c r="C24" s="388">
        <v>-1</v>
      </c>
      <c r="D24" s="13">
        <v>-1</v>
      </c>
      <c r="E24" s="13">
        <v>-1</v>
      </c>
      <c r="F24" s="387">
        <v>1</v>
      </c>
      <c r="G24" s="341">
        <v>-1</v>
      </c>
      <c r="H24" s="2">
        <v>10.6</v>
      </c>
    </row>
    <row r="25" spans="2:10" x14ac:dyDescent="0.25">
      <c r="B25" s="2">
        <v>10</v>
      </c>
      <c r="C25" s="388">
        <v>1</v>
      </c>
      <c r="D25" s="13">
        <v>-1</v>
      </c>
      <c r="E25" s="13">
        <v>-1</v>
      </c>
      <c r="F25" s="387">
        <v>1</v>
      </c>
      <c r="G25" s="341">
        <v>-1</v>
      </c>
      <c r="H25" s="2">
        <v>8.1999999999999993</v>
      </c>
    </row>
    <row r="26" spans="2:10" x14ac:dyDescent="0.25">
      <c r="B26" s="2">
        <v>11</v>
      </c>
      <c r="C26" s="388">
        <v>-1</v>
      </c>
      <c r="D26" s="13">
        <v>1</v>
      </c>
      <c r="E26" s="13">
        <v>-1</v>
      </c>
      <c r="F26" s="387">
        <v>1</v>
      </c>
      <c r="G26" s="341">
        <v>-1</v>
      </c>
      <c r="H26" s="2">
        <v>11</v>
      </c>
    </row>
    <row r="27" spans="2:10" x14ac:dyDescent="0.25">
      <c r="B27" s="2">
        <v>12</v>
      </c>
      <c r="C27" s="388">
        <v>1</v>
      </c>
      <c r="D27" s="13">
        <v>1</v>
      </c>
      <c r="E27" s="13">
        <v>-1</v>
      </c>
      <c r="F27" s="387">
        <v>1</v>
      </c>
      <c r="G27" s="341">
        <v>-1</v>
      </c>
      <c r="H27" s="2">
        <v>11.2</v>
      </c>
    </row>
    <row r="28" spans="2:10" x14ac:dyDescent="0.25">
      <c r="B28" s="2">
        <v>13</v>
      </c>
      <c r="C28" s="388">
        <v>-1</v>
      </c>
      <c r="D28" s="13">
        <v>-1</v>
      </c>
      <c r="E28" s="13">
        <v>1</v>
      </c>
      <c r="F28" s="387">
        <v>1</v>
      </c>
      <c r="G28" s="341">
        <v>-1</v>
      </c>
      <c r="H28" s="2">
        <v>5.0999999999999996</v>
      </c>
    </row>
    <row r="29" spans="2:10" x14ac:dyDescent="0.25">
      <c r="B29" s="2">
        <v>14</v>
      </c>
      <c r="C29" s="388">
        <v>1</v>
      </c>
      <c r="D29" s="13">
        <v>-1</v>
      </c>
      <c r="E29" s="13">
        <v>1</v>
      </c>
      <c r="F29" s="387">
        <v>1</v>
      </c>
      <c r="G29" s="341">
        <v>-1</v>
      </c>
      <c r="H29" s="2">
        <v>9.6999999999999993</v>
      </c>
    </row>
    <row r="30" spans="2:10" x14ac:dyDescent="0.25">
      <c r="B30" s="2">
        <v>15</v>
      </c>
      <c r="C30" s="388">
        <v>-1</v>
      </c>
      <c r="D30" s="13">
        <v>1</v>
      </c>
      <c r="E30" s="13">
        <v>1</v>
      </c>
      <c r="F30" s="387">
        <v>1</v>
      </c>
      <c r="G30" s="341">
        <v>-1</v>
      </c>
      <c r="H30" s="2">
        <v>4.0999999999999996</v>
      </c>
    </row>
    <row r="31" spans="2:10" x14ac:dyDescent="0.25">
      <c r="B31" s="2">
        <v>16</v>
      </c>
      <c r="C31" s="385">
        <v>1</v>
      </c>
      <c r="D31" s="382">
        <v>1</v>
      </c>
      <c r="E31" s="382">
        <v>1</v>
      </c>
      <c r="F31" s="386">
        <v>1</v>
      </c>
      <c r="G31" s="341">
        <v>-1</v>
      </c>
      <c r="H31" s="2">
        <v>2.9</v>
      </c>
    </row>
    <row r="32" spans="2:10" x14ac:dyDescent="0.25">
      <c r="B32" s="2">
        <v>17</v>
      </c>
      <c r="C32" s="2">
        <v>-1</v>
      </c>
      <c r="D32" s="2">
        <v>-1</v>
      </c>
      <c r="E32" s="2">
        <v>-1</v>
      </c>
      <c r="F32" s="2">
        <v>-1</v>
      </c>
      <c r="G32" s="2">
        <v>1</v>
      </c>
      <c r="H32" s="2">
        <v>6.4</v>
      </c>
    </row>
    <row r="33" spans="2:8" x14ac:dyDescent="0.25">
      <c r="B33" s="2">
        <v>18</v>
      </c>
      <c r="C33" s="2">
        <v>1</v>
      </c>
      <c r="D33" s="2">
        <v>-1</v>
      </c>
      <c r="E33" s="2">
        <v>-1</v>
      </c>
      <c r="F33" s="2">
        <v>-1</v>
      </c>
      <c r="G33" s="2">
        <v>1</v>
      </c>
      <c r="H33" s="2">
        <v>9.8000000000000007</v>
      </c>
    </row>
    <row r="34" spans="2:8" x14ac:dyDescent="0.25">
      <c r="B34" s="2">
        <v>19</v>
      </c>
      <c r="C34" s="2">
        <v>-1</v>
      </c>
      <c r="D34" s="2">
        <v>1</v>
      </c>
      <c r="E34" s="2">
        <v>-1</v>
      </c>
      <c r="F34" s="2">
        <v>-1</v>
      </c>
      <c r="G34" s="2">
        <v>1</v>
      </c>
      <c r="H34" s="2">
        <v>9</v>
      </c>
    </row>
    <row r="35" spans="2:8" x14ac:dyDescent="0.25">
      <c r="B35" s="2">
        <v>20</v>
      </c>
      <c r="C35" s="2">
        <v>1</v>
      </c>
      <c r="D35" s="2">
        <v>1</v>
      </c>
      <c r="E35" s="2">
        <v>-1</v>
      </c>
      <c r="F35" s="2">
        <v>-1</v>
      </c>
      <c r="G35" s="2">
        <v>1</v>
      </c>
      <c r="H35" s="2">
        <v>6.6</v>
      </c>
    </row>
    <row r="36" spans="2:8" x14ac:dyDescent="0.25">
      <c r="B36" s="2">
        <v>21</v>
      </c>
      <c r="C36" s="2">
        <v>-1</v>
      </c>
      <c r="D36" s="2">
        <v>-1</v>
      </c>
      <c r="E36" s="2">
        <v>1</v>
      </c>
      <c r="F36" s="2">
        <v>-1</v>
      </c>
      <c r="G36" s="2">
        <v>1</v>
      </c>
      <c r="H36" s="2">
        <v>4.9000000000000004</v>
      </c>
    </row>
    <row r="37" spans="2:8" x14ac:dyDescent="0.25">
      <c r="B37" s="2">
        <v>22</v>
      </c>
      <c r="C37" s="2">
        <v>1</v>
      </c>
      <c r="D37" s="2">
        <v>-1</v>
      </c>
      <c r="E37" s="2">
        <v>1</v>
      </c>
      <c r="F37" s="2">
        <v>-1</v>
      </c>
      <c r="G37" s="2">
        <v>1</v>
      </c>
      <c r="H37" s="2">
        <v>5.3</v>
      </c>
    </row>
    <row r="38" spans="2:8" x14ac:dyDescent="0.25">
      <c r="B38" s="2">
        <v>23</v>
      </c>
      <c r="C38" s="2">
        <v>-1</v>
      </c>
      <c r="D38" s="2">
        <v>1</v>
      </c>
      <c r="E38" s="2">
        <v>1</v>
      </c>
      <c r="F38" s="2">
        <v>-1</v>
      </c>
      <c r="G38" s="2">
        <v>1</v>
      </c>
      <c r="H38" s="2">
        <v>-5.0999999999999996</v>
      </c>
    </row>
    <row r="39" spans="2:8" x14ac:dyDescent="0.25">
      <c r="B39" s="2">
        <v>24</v>
      </c>
      <c r="C39" s="2">
        <v>1</v>
      </c>
      <c r="D39" s="2">
        <v>1</v>
      </c>
      <c r="E39" s="2">
        <v>1</v>
      </c>
      <c r="F39" s="2">
        <v>-1</v>
      </c>
      <c r="G39" s="2">
        <v>1</v>
      </c>
      <c r="H39" s="2">
        <v>-3.7</v>
      </c>
    </row>
    <row r="40" spans="2:8" x14ac:dyDescent="0.25">
      <c r="B40" s="2">
        <v>25</v>
      </c>
      <c r="C40" s="2">
        <v>-1</v>
      </c>
      <c r="D40" s="2">
        <v>-1</v>
      </c>
      <c r="E40" s="2">
        <v>-1</v>
      </c>
      <c r="F40" s="2">
        <v>1</v>
      </c>
      <c r="G40" s="2">
        <v>1</v>
      </c>
      <c r="H40" s="2">
        <v>17.3</v>
      </c>
    </row>
    <row r="41" spans="2:8" x14ac:dyDescent="0.25">
      <c r="B41" s="2">
        <v>26</v>
      </c>
      <c r="C41" s="2">
        <v>1</v>
      </c>
      <c r="D41" s="2">
        <v>-1</v>
      </c>
      <c r="E41" s="2">
        <v>-1</v>
      </c>
      <c r="F41" s="2">
        <v>1</v>
      </c>
      <c r="G41" s="2">
        <v>1</v>
      </c>
      <c r="H41" s="2">
        <v>12.7</v>
      </c>
    </row>
    <row r="42" spans="2:8" x14ac:dyDescent="0.25">
      <c r="B42" s="2">
        <v>27</v>
      </c>
      <c r="C42" s="2">
        <v>-1</v>
      </c>
      <c r="D42" s="2">
        <v>1</v>
      </c>
      <c r="E42" s="2">
        <v>-1</v>
      </c>
      <c r="F42" s="2">
        <v>1</v>
      </c>
      <c r="G42" s="2">
        <v>1</v>
      </c>
      <c r="H42" s="2">
        <v>12.9</v>
      </c>
    </row>
    <row r="43" spans="2:8" x14ac:dyDescent="0.25">
      <c r="B43" s="2">
        <v>28</v>
      </c>
      <c r="C43" s="2">
        <v>1</v>
      </c>
      <c r="D43" s="2">
        <v>1</v>
      </c>
      <c r="E43" s="2">
        <v>-1</v>
      </c>
      <c r="F43" s="2">
        <v>1</v>
      </c>
      <c r="G43" s="2">
        <v>1</v>
      </c>
      <c r="H43" s="2">
        <v>13.7</v>
      </c>
    </row>
    <row r="44" spans="2:8" x14ac:dyDescent="0.25">
      <c r="B44" s="2">
        <v>29</v>
      </c>
      <c r="C44" s="2">
        <v>-1</v>
      </c>
      <c r="D44" s="2">
        <v>-1</v>
      </c>
      <c r="E44" s="2">
        <v>1</v>
      </c>
      <c r="F44" s="2">
        <v>1</v>
      </c>
      <c r="G44" s="2">
        <v>1</v>
      </c>
      <c r="H44" s="2">
        <v>12.4</v>
      </c>
    </row>
    <row r="45" spans="2:8" x14ac:dyDescent="0.25">
      <c r="B45" s="2">
        <v>30</v>
      </c>
      <c r="C45" s="2">
        <v>1</v>
      </c>
      <c r="D45" s="2">
        <v>-1</v>
      </c>
      <c r="E45" s="2">
        <v>1</v>
      </c>
      <c r="F45" s="2">
        <v>1</v>
      </c>
      <c r="G45" s="2">
        <v>1</v>
      </c>
      <c r="H45" s="2">
        <v>12.4</v>
      </c>
    </row>
    <row r="46" spans="2:8" x14ac:dyDescent="0.25">
      <c r="B46" s="2">
        <v>31</v>
      </c>
      <c r="C46" s="2">
        <v>-1</v>
      </c>
      <c r="D46" s="2">
        <v>1</v>
      </c>
      <c r="E46" s="2">
        <v>1</v>
      </c>
      <c r="F46" s="2">
        <v>1</v>
      </c>
      <c r="G46" s="2">
        <v>1</v>
      </c>
      <c r="H46" s="2">
        <v>3.8</v>
      </c>
    </row>
    <row r="47" spans="2:8" x14ac:dyDescent="0.25">
      <c r="B47" s="2">
        <v>32</v>
      </c>
      <c r="C47" s="2">
        <v>1</v>
      </c>
      <c r="D47" s="2">
        <v>1</v>
      </c>
      <c r="E47" s="2">
        <v>1</v>
      </c>
      <c r="F47" s="2">
        <v>1</v>
      </c>
      <c r="G47" s="2">
        <v>1</v>
      </c>
      <c r="H47" s="2">
        <v>4</v>
      </c>
    </row>
    <row r="49" spans="2:2" x14ac:dyDescent="0.25">
      <c r="B49" t="s">
        <v>752</v>
      </c>
    </row>
    <row r="104" spans="2:16" x14ac:dyDescent="0.25">
      <c r="B104" t="s">
        <v>754</v>
      </c>
    </row>
    <row r="105" spans="2:16" x14ac:dyDescent="0.25">
      <c r="B105" t="s">
        <v>758</v>
      </c>
    </row>
    <row r="106" spans="2:16" x14ac:dyDescent="0.25">
      <c r="L106" t="s">
        <v>753</v>
      </c>
    </row>
    <row r="107" spans="2:16" x14ac:dyDescent="0.25">
      <c r="B107" s="81" t="s">
        <v>686</v>
      </c>
      <c r="C107" s="86"/>
      <c r="D107" s="86"/>
      <c r="E107" s="86"/>
      <c r="F107" s="86"/>
      <c r="G107" s="86"/>
      <c r="H107" s="86"/>
      <c r="I107" s="86"/>
      <c r="J107" s="82"/>
      <c r="L107" s="81" t="s">
        <v>687</v>
      </c>
      <c r="M107" s="86"/>
      <c r="N107" s="86"/>
      <c r="O107" s="86"/>
      <c r="P107" s="82"/>
    </row>
    <row r="108" spans="2:16" x14ac:dyDescent="0.25">
      <c r="B108" s="87" t="s">
        <v>688</v>
      </c>
      <c r="C108" s="10"/>
      <c r="D108" s="10"/>
      <c r="E108" s="10"/>
      <c r="F108" s="10"/>
      <c r="G108" s="10"/>
      <c r="H108" s="10"/>
      <c r="I108" s="10"/>
      <c r="J108" s="88"/>
      <c r="L108" s="87" t="s">
        <v>689</v>
      </c>
      <c r="M108" s="10" t="s">
        <v>690</v>
      </c>
      <c r="N108" s="10" t="s">
        <v>691</v>
      </c>
      <c r="O108" s="10" t="s">
        <v>692</v>
      </c>
      <c r="P108" s="88"/>
    </row>
    <row r="109" spans="2:16" x14ac:dyDescent="0.25">
      <c r="B109" s="87" t="s">
        <v>693</v>
      </c>
      <c r="C109" s="10"/>
      <c r="D109" s="10"/>
      <c r="E109" s="10"/>
      <c r="F109" s="10"/>
      <c r="G109" s="10"/>
      <c r="H109" s="10"/>
      <c r="I109" s="10"/>
      <c r="J109" s="88"/>
      <c r="L109" s="83">
        <v>1.5385899999999999</v>
      </c>
      <c r="M109" s="392">
        <v>0.93769999999999998</v>
      </c>
      <c r="N109" s="392">
        <v>0.9123</v>
      </c>
      <c r="O109" s="392">
        <v>0.86829999999999996</v>
      </c>
      <c r="P109" s="84"/>
    </row>
    <row r="110" spans="2:16" x14ac:dyDescent="0.25">
      <c r="B110" s="87" t="s">
        <v>694</v>
      </c>
      <c r="C110" s="10"/>
      <c r="D110" s="10"/>
      <c r="E110" s="10"/>
      <c r="F110" s="10"/>
      <c r="G110" s="10"/>
      <c r="H110" s="10"/>
      <c r="I110" s="10"/>
      <c r="J110" s="88"/>
    </row>
    <row r="111" spans="2:16" x14ac:dyDescent="0.25">
      <c r="B111" s="87" t="s">
        <v>695</v>
      </c>
      <c r="C111" s="10"/>
      <c r="D111" s="10"/>
      <c r="E111" s="10"/>
      <c r="F111" s="10"/>
      <c r="G111" s="10"/>
      <c r="H111" s="10"/>
      <c r="I111" s="10"/>
      <c r="J111" s="88"/>
    </row>
    <row r="112" spans="2:16" x14ac:dyDescent="0.25">
      <c r="B112" s="87" t="s">
        <v>696</v>
      </c>
      <c r="C112" s="10"/>
      <c r="D112" s="10"/>
      <c r="E112" s="10"/>
      <c r="F112" s="10"/>
      <c r="G112" s="10"/>
      <c r="H112" s="10"/>
      <c r="I112" s="10"/>
      <c r="J112" s="88"/>
    </row>
    <row r="113" spans="2:10" x14ac:dyDescent="0.25">
      <c r="B113" s="87" t="s">
        <v>697</v>
      </c>
      <c r="C113" s="10"/>
      <c r="D113" s="10"/>
      <c r="E113" s="10"/>
      <c r="F113" s="10"/>
      <c r="G113" s="10"/>
      <c r="H113" s="10"/>
      <c r="I113" s="10"/>
      <c r="J113" s="88"/>
    </row>
    <row r="114" spans="2:10" x14ac:dyDescent="0.25">
      <c r="B114" s="83" t="s">
        <v>698</v>
      </c>
      <c r="C114" s="89"/>
      <c r="D114" s="89"/>
      <c r="E114" s="89"/>
      <c r="F114" s="89"/>
      <c r="G114" s="89"/>
      <c r="H114" s="89"/>
      <c r="I114" s="89"/>
      <c r="J114" s="84"/>
    </row>
    <row r="116" spans="2:10" x14ac:dyDescent="0.25">
      <c r="B116" s="81" t="s">
        <v>699</v>
      </c>
      <c r="C116" s="86"/>
      <c r="D116" s="86"/>
      <c r="E116" s="86"/>
      <c r="F116" s="86"/>
      <c r="G116" s="86"/>
      <c r="H116" s="82"/>
      <c r="J116" s="109" t="s">
        <v>756</v>
      </c>
    </row>
    <row r="117" spans="2:10" x14ac:dyDescent="0.25">
      <c r="B117" s="87" t="s">
        <v>700</v>
      </c>
      <c r="C117" s="10" t="s">
        <v>701</v>
      </c>
      <c r="D117" s="10" t="s">
        <v>702</v>
      </c>
      <c r="E117" s="10" t="s">
        <v>703</v>
      </c>
      <c r="F117" s="10" t="s">
        <v>704</v>
      </c>
      <c r="G117" s="10" t="s">
        <v>705</v>
      </c>
      <c r="H117" s="88" t="s">
        <v>706</v>
      </c>
    </row>
    <row r="118" spans="2:10" x14ac:dyDescent="0.25">
      <c r="B118" s="87" t="s">
        <v>707</v>
      </c>
      <c r="C118" s="10" t="s">
        <v>413</v>
      </c>
      <c r="D118" s="121">
        <v>7.5</v>
      </c>
      <c r="E118" s="10">
        <v>0.27200000000000002</v>
      </c>
      <c r="F118" s="10">
        <v>27.57</v>
      </c>
      <c r="G118" s="10">
        <v>0</v>
      </c>
      <c r="H118" s="88" t="s">
        <v>413</v>
      </c>
    </row>
    <row r="119" spans="2:10" x14ac:dyDescent="0.25">
      <c r="B119" s="87" t="s">
        <v>257</v>
      </c>
      <c r="C119" s="10">
        <v>-4.5</v>
      </c>
      <c r="D119" s="121">
        <v>-2.25</v>
      </c>
      <c r="E119" s="10">
        <v>0.27200000000000002</v>
      </c>
      <c r="F119" s="10">
        <v>-8.27</v>
      </c>
      <c r="G119" s="10">
        <v>0</v>
      </c>
      <c r="H119" s="88">
        <v>1</v>
      </c>
    </row>
    <row r="120" spans="2:10" x14ac:dyDescent="0.25">
      <c r="B120" s="87" t="s">
        <v>708</v>
      </c>
      <c r="C120" s="10">
        <v>-6</v>
      </c>
      <c r="D120" s="121">
        <v>-3</v>
      </c>
      <c r="E120" s="10">
        <v>0.27200000000000002</v>
      </c>
      <c r="F120" s="10">
        <v>-11.03</v>
      </c>
      <c r="G120" s="10">
        <v>0</v>
      </c>
      <c r="H120" s="88">
        <v>1</v>
      </c>
    </row>
    <row r="121" spans="2:10" x14ac:dyDescent="0.25">
      <c r="B121" s="87" t="s">
        <v>709</v>
      </c>
      <c r="C121" s="10">
        <v>4</v>
      </c>
      <c r="D121" s="121">
        <v>2</v>
      </c>
      <c r="E121" s="10">
        <v>0.27200000000000002</v>
      </c>
      <c r="F121" s="10">
        <v>7.35</v>
      </c>
      <c r="G121" s="10">
        <v>0</v>
      </c>
      <c r="H121" s="88">
        <v>1</v>
      </c>
    </row>
    <row r="122" spans="2:10" x14ac:dyDescent="0.25">
      <c r="B122" s="87" t="s">
        <v>710</v>
      </c>
      <c r="C122" s="10">
        <v>0.3</v>
      </c>
      <c r="D122" s="121">
        <v>0.15</v>
      </c>
      <c r="E122" s="10">
        <v>0.27200000000000002</v>
      </c>
      <c r="F122" s="10">
        <v>0.55000000000000004</v>
      </c>
      <c r="G122" s="10">
        <v>0.58699999999999997</v>
      </c>
      <c r="H122" s="88">
        <v>1</v>
      </c>
    </row>
    <row r="123" spans="2:10" x14ac:dyDescent="0.25">
      <c r="B123" s="87" t="s">
        <v>711</v>
      </c>
      <c r="C123" s="10">
        <v>-3.5</v>
      </c>
      <c r="D123" s="121">
        <v>-1.75</v>
      </c>
      <c r="E123" s="10">
        <v>0.27200000000000002</v>
      </c>
      <c r="F123" s="10">
        <v>-6.43</v>
      </c>
      <c r="G123" s="10">
        <v>0</v>
      </c>
      <c r="H123" s="88">
        <v>1</v>
      </c>
    </row>
    <row r="124" spans="2:10" x14ac:dyDescent="0.25">
      <c r="B124" s="87" t="s">
        <v>712</v>
      </c>
      <c r="C124" s="10">
        <v>1.4</v>
      </c>
      <c r="D124" s="121">
        <v>0.7</v>
      </c>
      <c r="E124" s="10">
        <v>0.27200000000000002</v>
      </c>
      <c r="F124" s="10">
        <v>2.57</v>
      </c>
      <c r="G124" s="10">
        <v>1.7000000000000001E-2</v>
      </c>
      <c r="H124" s="88">
        <v>1</v>
      </c>
    </row>
    <row r="125" spans="2:10" x14ac:dyDescent="0.25">
      <c r="B125" s="87" t="s">
        <v>713</v>
      </c>
      <c r="C125" s="10">
        <v>-0.5</v>
      </c>
      <c r="D125" s="121">
        <v>-0.25</v>
      </c>
      <c r="E125" s="10">
        <v>0.27200000000000002</v>
      </c>
      <c r="F125" s="10">
        <v>-0.92</v>
      </c>
      <c r="G125" s="10">
        <v>0.36799999999999999</v>
      </c>
      <c r="H125" s="88">
        <v>1</v>
      </c>
    </row>
    <row r="126" spans="2:10" x14ac:dyDescent="0.25">
      <c r="B126" s="87" t="s">
        <v>714</v>
      </c>
      <c r="C126" s="10">
        <v>3</v>
      </c>
      <c r="D126" s="121">
        <v>1.5</v>
      </c>
      <c r="E126" s="10">
        <v>0.27200000000000002</v>
      </c>
      <c r="F126" s="10">
        <v>5.51</v>
      </c>
      <c r="G126" s="10">
        <v>0</v>
      </c>
      <c r="H126" s="88">
        <v>1</v>
      </c>
    </row>
    <row r="127" spans="2:10" x14ac:dyDescent="0.25">
      <c r="B127" s="83" t="s">
        <v>715</v>
      </c>
      <c r="C127" s="89">
        <v>-1.5</v>
      </c>
      <c r="D127" s="393">
        <v>-0.75</v>
      </c>
      <c r="E127" s="89">
        <v>0.27200000000000002</v>
      </c>
      <c r="F127" s="89">
        <v>-2.76</v>
      </c>
      <c r="G127" s="89">
        <v>1.0999999999999999E-2</v>
      </c>
      <c r="H127" s="84">
        <v>1</v>
      </c>
    </row>
    <row r="129" spans="2:9" x14ac:dyDescent="0.25">
      <c r="B129" s="81" t="s">
        <v>716</v>
      </c>
      <c r="C129" s="86"/>
      <c r="D129" s="86"/>
      <c r="E129" s="86"/>
      <c r="F129" s="86"/>
      <c r="G129" s="82"/>
      <c r="I129" s="109" t="s">
        <v>755</v>
      </c>
    </row>
    <row r="130" spans="2:9" x14ac:dyDescent="0.25">
      <c r="B130" s="87" t="s">
        <v>717</v>
      </c>
      <c r="C130" s="10" t="s">
        <v>718</v>
      </c>
      <c r="D130" s="10" t="s">
        <v>719</v>
      </c>
      <c r="E130" s="10" t="s">
        <v>720</v>
      </c>
      <c r="F130" s="10" t="s">
        <v>721</v>
      </c>
      <c r="G130" s="88" t="s">
        <v>705</v>
      </c>
    </row>
    <row r="131" spans="2:9" x14ac:dyDescent="0.25">
      <c r="B131" s="87" t="s">
        <v>561</v>
      </c>
      <c r="C131" s="10">
        <v>9</v>
      </c>
      <c r="D131" s="10">
        <v>784.4</v>
      </c>
      <c r="E131" s="10">
        <v>87.156000000000006</v>
      </c>
      <c r="F131" s="10">
        <v>36.82</v>
      </c>
      <c r="G131" s="88">
        <v>0</v>
      </c>
    </row>
    <row r="132" spans="2:9" x14ac:dyDescent="0.25">
      <c r="B132" s="87" t="s">
        <v>722</v>
      </c>
      <c r="C132" s="10">
        <v>4</v>
      </c>
      <c r="D132" s="10">
        <v>578.72</v>
      </c>
      <c r="E132" s="10">
        <v>144.68</v>
      </c>
      <c r="F132" s="10">
        <v>61.12</v>
      </c>
      <c r="G132" s="88">
        <v>0</v>
      </c>
    </row>
    <row r="133" spans="2:9" x14ac:dyDescent="0.25">
      <c r="B133" s="87" t="s">
        <v>723</v>
      </c>
      <c r="C133" s="10">
        <v>1</v>
      </c>
      <c r="D133" s="10">
        <v>162</v>
      </c>
      <c r="E133" s="10">
        <v>162</v>
      </c>
      <c r="F133" s="10">
        <v>68.430000000000007</v>
      </c>
      <c r="G133" s="88">
        <v>0</v>
      </c>
    </row>
    <row r="134" spans="2:9" x14ac:dyDescent="0.25">
      <c r="B134" s="87" t="s">
        <v>724</v>
      </c>
      <c r="C134" s="10">
        <v>1</v>
      </c>
      <c r="D134" s="10">
        <v>288</v>
      </c>
      <c r="E134" s="10">
        <v>288</v>
      </c>
      <c r="F134" s="10">
        <v>121.66</v>
      </c>
      <c r="G134" s="88">
        <v>0</v>
      </c>
    </row>
    <row r="135" spans="2:9" x14ac:dyDescent="0.25">
      <c r="B135" s="87" t="s">
        <v>725</v>
      </c>
      <c r="C135" s="10">
        <v>1</v>
      </c>
      <c r="D135" s="10">
        <v>128</v>
      </c>
      <c r="E135" s="10">
        <v>128</v>
      </c>
      <c r="F135" s="10">
        <v>54.07</v>
      </c>
      <c r="G135" s="88">
        <v>0</v>
      </c>
    </row>
    <row r="136" spans="2:9" x14ac:dyDescent="0.25">
      <c r="B136" s="87" t="s">
        <v>726</v>
      </c>
      <c r="C136" s="10">
        <v>1</v>
      </c>
      <c r="D136" s="10">
        <v>0.72</v>
      </c>
      <c r="E136" s="10">
        <v>0.72</v>
      </c>
      <c r="F136" s="10">
        <v>0.3</v>
      </c>
      <c r="G136" s="88">
        <v>0.58699999999999997</v>
      </c>
    </row>
    <row r="137" spans="2:9" x14ac:dyDescent="0.25">
      <c r="B137" s="87" t="s">
        <v>727</v>
      </c>
      <c r="C137" s="10">
        <v>4</v>
      </c>
      <c r="D137" s="10">
        <v>187.68</v>
      </c>
      <c r="E137" s="10">
        <v>46.92</v>
      </c>
      <c r="F137" s="10">
        <v>19.82</v>
      </c>
      <c r="G137" s="88">
        <v>0</v>
      </c>
    </row>
    <row r="138" spans="2:9" x14ac:dyDescent="0.25">
      <c r="B138" s="87" t="s">
        <v>728</v>
      </c>
      <c r="C138" s="10">
        <v>1</v>
      </c>
      <c r="D138" s="10">
        <v>98</v>
      </c>
      <c r="E138" s="10">
        <v>98</v>
      </c>
      <c r="F138" s="10">
        <v>41.4</v>
      </c>
      <c r="G138" s="88">
        <v>0</v>
      </c>
    </row>
    <row r="139" spans="2:9" x14ac:dyDescent="0.25">
      <c r="B139" s="87" t="s">
        <v>729</v>
      </c>
      <c r="C139" s="10">
        <v>1</v>
      </c>
      <c r="D139" s="10">
        <v>15.68</v>
      </c>
      <c r="E139" s="10">
        <v>15.68</v>
      </c>
      <c r="F139" s="10">
        <v>6.62</v>
      </c>
      <c r="G139" s="88">
        <v>1.7000000000000001E-2</v>
      </c>
    </row>
    <row r="140" spans="2:9" x14ac:dyDescent="0.25">
      <c r="B140" s="87" t="s">
        <v>730</v>
      </c>
      <c r="C140" s="10">
        <v>1</v>
      </c>
      <c r="D140" s="10">
        <v>2</v>
      </c>
      <c r="E140" s="10">
        <v>2</v>
      </c>
      <c r="F140" s="10">
        <v>0.84</v>
      </c>
      <c r="G140" s="88">
        <v>0.36799999999999999</v>
      </c>
    </row>
    <row r="141" spans="2:9" x14ac:dyDescent="0.25">
      <c r="B141" s="87" t="s">
        <v>731</v>
      </c>
      <c r="C141" s="10">
        <v>1</v>
      </c>
      <c r="D141" s="10">
        <v>72</v>
      </c>
      <c r="E141" s="10">
        <v>72</v>
      </c>
      <c r="F141" s="10">
        <v>30.41</v>
      </c>
      <c r="G141" s="88">
        <v>0</v>
      </c>
    </row>
    <row r="142" spans="2:9" x14ac:dyDescent="0.25">
      <c r="B142" s="87" t="s">
        <v>732</v>
      </c>
      <c r="C142" s="10">
        <v>1</v>
      </c>
      <c r="D142" s="10">
        <v>18</v>
      </c>
      <c r="E142" s="10">
        <v>18</v>
      </c>
      <c r="F142" s="10">
        <v>7.6</v>
      </c>
      <c r="G142" s="88">
        <v>1.0999999999999999E-2</v>
      </c>
    </row>
    <row r="143" spans="2:9" x14ac:dyDescent="0.25">
      <c r="B143" s="87" t="s">
        <v>733</v>
      </c>
      <c r="C143" s="10">
        <v>1</v>
      </c>
      <c r="D143" s="10">
        <v>18</v>
      </c>
      <c r="E143" s="10">
        <v>18</v>
      </c>
      <c r="F143" s="10">
        <v>7.6</v>
      </c>
      <c r="G143" s="88">
        <v>1.0999999999999999E-2</v>
      </c>
    </row>
    <row r="144" spans="2:9" x14ac:dyDescent="0.25">
      <c r="B144" s="87" t="s">
        <v>562</v>
      </c>
      <c r="C144" s="10">
        <v>22</v>
      </c>
      <c r="D144" s="10">
        <v>52.08</v>
      </c>
      <c r="E144" s="10">
        <v>2.367</v>
      </c>
      <c r="F144" s="10" t="s">
        <v>413</v>
      </c>
      <c r="G144" s="88" t="s">
        <v>413</v>
      </c>
    </row>
    <row r="145" spans="2:7" x14ac:dyDescent="0.25">
      <c r="B145" s="83" t="s">
        <v>378</v>
      </c>
      <c r="C145" s="89">
        <v>31</v>
      </c>
      <c r="D145" s="89">
        <v>836.48</v>
      </c>
      <c r="E145" s="89" t="s">
        <v>413</v>
      </c>
      <c r="F145" s="89" t="s">
        <v>413</v>
      </c>
      <c r="G145" s="84" t="s">
        <v>413</v>
      </c>
    </row>
    <row r="147" spans="2:7" x14ac:dyDescent="0.25">
      <c r="B147" t="s">
        <v>734</v>
      </c>
    </row>
    <row r="148" spans="2:7" x14ac:dyDescent="0.25">
      <c r="B148" t="s">
        <v>203</v>
      </c>
      <c r="C148" t="s">
        <v>735</v>
      </c>
      <c r="D148" t="s">
        <v>736</v>
      </c>
    </row>
    <row r="149" spans="2:7" x14ac:dyDescent="0.25">
      <c r="B149" t="s">
        <v>737</v>
      </c>
    </row>
    <row r="150" spans="2:7" x14ac:dyDescent="0.25">
      <c r="B150" t="s">
        <v>738</v>
      </c>
    </row>
    <row r="153" spans="2:7" x14ac:dyDescent="0.25">
      <c r="B153" t="s">
        <v>757</v>
      </c>
    </row>
    <row r="172" spans="2:8" x14ac:dyDescent="0.25">
      <c r="B172" t="s">
        <v>759</v>
      </c>
    </row>
    <row r="174" spans="2:8" x14ac:dyDescent="0.25">
      <c r="B174" t="s">
        <v>739</v>
      </c>
    </row>
    <row r="175" spans="2:8" x14ac:dyDescent="0.25">
      <c r="B175" t="s">
        <v>740</v>
      </c>
      <c r="C175" t="s">
        <v>741</v>
      </c>
      <c r="D175" t="s">
        <v>742</v>
      </c>
      <c r="E175" t="s">
        <v>743</v>
      </c>
      <c r="F175" t="s">
        <v>744</v>
      </c>
      <c r="G175" t="s">
        <v>745</v>
      </c>
      <c r="H175" t="s">
        <v>746</v>
      </c>
    </row>
    <row r="176" spans="2:8" x14ac:dyDescent="0.25">
      <c r="B176" t="s">
        <v>203</v>
      </c>
      <c r="C176" t="s">
        <v>743</v>
      </c>
      <c r="D176">
        <v>-5.0999999999999996</v>
      </c>
      <c r="E176">
        <v>9.5</v>
      </c>
      <c r="F176">
        <v>17.3</v>
      </c>
      <c r="G176">
        <v>1</v>
      </c>
      <c r="H176">
        <v>1</v>
      </c>
    </row>
    <row r="178" spans="2:8" x14ac:dyDescent="0.25">
      <c r="E178" t="s">
        <v>747</v>
      </c>
      <c r="G178" t="s">
        <v>203</v>
      </c>
      <c r="H178" t="s">
        <v>748</v>
      </c>
    </row>
    <row r="179" spans="2:8" x14ac:dyDescent="0.25">
      <c r="B179" t="s">
        <v>749</v>
      </c>
      <c r="C179" t="s">
        <v>257</v>
      </c>
      <c r="D179" t="s">
        <v>708</v>
      </c>
      <c r="E179" t="s">
        <v>257</v>
      </c>
      <c r="F179" t="s">
        <v>710</v>
      </c>
      <c r="G179" t="s">
        <v>750</v>
      </c>
      <c r="H179" t="s">
        <v>751</v>
      </c>
    </row>
    <row r="180" spans="2:8" x14ac:dyDescent="0.25">
      <c r="B180">
        <v>1</v>
      </c>
      <c r="C180">
        <v>75</v>
      </c>
      <c r="D180">
        <v>2</v>
      </c>
      <c r="E180">
        <v>185.286</v>
      </c>
      <c r="F180">
        <v>70</v>
      </c>
      <c r="G180">
        <v>9.5</v>
      </c>
      <c r="H180">
        <v>1</v>
      </c>
    </row>
    <row r="181" spans="2:8" x14ac:dyDescent="0.25">
      <c r="B181">
        <v>2</v>
      </c>
      <c r="C181">
        <v>79.457999999999998</v>
      </c>
      <c r="D181">
        <v>1.0767899999999999</v>
      </c>
      <c r="E181">
        <v>178.45500000000001</v>
      </c>
      <c r="F181">
        <v>50</v>
      </c>
      <c r="G181">
        <v>9.5</v>
      </c>
      <c r="H181">
        <v>1</v>
      </c>
    </row>
    <row r="182" spans="2:8" x14ac:dyDescent="0.25">
      <c r="B182">
        <v>3</v>
      </c>
      <c r="C182">
        <v>70</v>
      </c>
      <c r="D182">
        <v>1.7320899999999999</v>
      </c>
      <c r="E182">
        <v>190</v>
      </c>
      <c r="F182">
        <v>52.886299999999999</v>
      </c>
      <c r="G182">
        <v>9.4998000000000005</v>
      </c>
      <c r="H182">
        <v>0.99997999999999998</v>
      </c>
    </row>
    <row r="183" spans="2:8" x14ac:dyDescent="0.25">
      <c r="B183">
        <v>4</v>
      </c>
      <c r="C183">
        <v>80</v>
      </c>
      <c r="D183">
        <v>1.51474</v>
      </c>
      <c r="E183">
        <v>186.261</v>
      </c>
      <c r="F183">
        <v>69.295599999999993</v>
      </c>
      <c r="G183">
        <v>9.5891000000000002</v>
      </c>
      <c r="H183">
        <v>0.98858000000000001</v>
      </c>
    </row>
    <row r="184" spans="2:8" x14ac:dyDescent="0.25">
      <c r="B184">
        <v>5</v>
      </c>
      <c r="C184">
        <v>70</v>
      </c>
      <c r="D184">
        <v>2.98292</v>
      </c>
      <c r="E184">
        <v>170</v>
      </c>
      <c r="F184">
        <v>50</v>
      </c>
      <c r="G184">
        <v>9.0714000000000006</v>
      </c>
      <c r="H184">
        <v>0.97063999999999995</v>
      </c>
    </row>
    <row r="185" spans="2:8" x14ac:dyDescent="0.25">
      <c r="B185">
        <v>6</v>
      </c>
      <c r="C185">
        <v>70</v>
      </c>
      <c r="D185">
        <v>1</v>
      </c>
      <c r="E185">
        <v>172.74100000000001</v>
      </c>
      <c r="F185">
        <v>68.571399999999997</v>
      </c>
      <c r="G185">
        <v>8.9992999999999999</v>
      </c>
      <c r="H185">
        <v>0.96570999999999996</v>
      </c>
    </row>
    <row r="186" spans="2:8" x14ac:dyDescent="0.25">
      <c r="B186">
        <v>7</v>
      </c>
      <c r="C186">
        <v>71.598500000000001</v>
      </c>
      <c r="D186">
        <v>3</v>
      </c>
      <c r="E186">
        <v>187.36099999999999</v>
      </c>
      <c r="F186">
        <v>68.029700000000005</v>
      </c>
      <c r="G186">
        <v>9.7879000000000005</v>
      </c>
      <c r="H186">
        <v>0.96309</v>
      </c>
    </row>
    <row r="187" spans="2:8" x14ac:dyDescent="0.25">
      <c r="B187">
        <v>8</v>
      </c>
      <c r="C187">
        <v>79.5501</v>
      </c>
      <c r="D187">
        <v>1.6213200000000001</v>
      </c>
      <c r="E187">
        <v>185.44800000000001</v>
      </c>
      <c r="F187">
        <v>64.972099999999998</v>
      </c>
      <c r="G187">
        <v>8.8111999999999995</v>
      </c>
      <c r="H187">
        <v>0.95282</v>
      </c>
    </row>
    <row r="188" spans="2:8" x14ac:dyDescent="0.25">
      <c r="B188">
        <v>9</v>
      </c>
      <c r="C188">
        <v>79.617199999999997</v>
      </c>
      <c r="D188">
        <v>1</v>
      </c>
      <c r="E188">
        <v>170.87799999999999</v>
      </c>
      <c r="F188">
        <v>50</v>
      </c>
      <c r="G188">
        <v>8.4415999999999993</v>
      </c>
      <c r="H188">
        <v>0.92750999999999995</v>
      </c>
    </row>
    <row r="189" spans="2:8" x14ac:dyDescent="0.25">
      <c r="B189">
        <v>10</v>
      </c>
      <c r="C189">
        <v>71.478300000000004</v>
      </c>
      <c r="D189">
        <v>1.21739</v>
      </c>
      <c r="E189">
        <v>171.65199999999999</v>
      </c>
      <c r="F189">
        <v>53.217399999999998</v>
      </c>
      <c r="G189">
        <v>10.1372</v>
      </c>
      <c r="H189">
        <v>0.91830999999999996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174"/>
  <sheetViews>
    <sheetView topLeftCell="A139" workbookViewId="0">
      <selection activeCell="A151" sqref="A151"/>
    </sheetView>
  </sheetViews>
  <sheetFormatPr defaultRowHeight="15" x14ac:dyDescent="0.25"/>
  <cols>
    <col min="1" max="6" width="9.140625" style="2"/>
    <col min="7" max="7" width="10.85546875" style="2" customWidth="1"/>
    <col min="8" max="8" width="9.140625" style="2"/>
    <col min="10" max="16" width="9.140625" style="2"/>
    <col min="21" max="21" width="10.140625" customWidth="1"/>
  </cols>
  <sheetData>
    <row r="1" spans="1:25" x14ac:dyDescent="0.25">
      <c r="A1" s="243" t="s">
        <v>394</v>
      </c>
      <c r="D1"/>
      <c r="E1" s="243" t="s">
        <v>594</v>
      </c>
      <c r="R1" t="s">
        <v>595</v>
      </c>
    </row>
    <row r="2" spans="1:25" x14ac:dyDescent="0.25">
      <c r="R2" t="s">
        <v>596</v>
      </c>
    </row>
    <row r="3" spans="1:25" x14ac:dyDescent="0.25">
      <c r="A3" s="243" t="s">
        <v>395</v>
      </c>
      <c r="D3" s="25">
        <v>5</v>
      </c>
      <c r="E3" s="243" t="s">
        <v>396</v>
      </c>
      <c r="G3" s="25">
        <v>4</v>
      </c>
      <c r="H3" s="2" t="s">
        <v>397</v>
      </c>
      <c r="I3" s="53">
        <v>1</v>
      </c>
      <c r="J3" s="2" t="s">
        <v>398</v>
      </c>
      <c r="R3" t="s">
        <v>597</v>
      </c>
    </row>
    <row r="4" spans="1:25" x14ac:dyDescent="0.25">
      <c r="A4" s="243" t="s">
        <v>392</v>
      </c>
      <c r="D4" s="25" t="s">
        <v>365</v>
      </c>
      <c r="R4" t="s">
        <v>598</v>
      </c>
    </row>
    <row r="5" spans="1:25" x14ac:dyDescent="0.25">
      <c r="A5" s="243" t="s">
        <v>391</v>
      </c>
      <c r="D5" s="25" t="s">
        <v>599</v>
      </c>
      <c r="F5" s="243" t="s">
        <v>600</v>
      </c>
      <c r="G5" s="243"/>
      <c r="R5" t="s">
        <v>601</v>
      </c>
    </row>
    <row r="6" spans="1:25" x14ac:dyDescent="0.25">
      <c r="A6" s="243" t="s">
        <v>393</v>
      </c>
      <c r="D6" s="25">
        <v>5</v>
      </c>
      <c r="F6" s="243" t="s">
        <v>602</v>
      </c>
      <c r="R6" t="s">
        <v>603</v>
      </c>
    </row>
    <row r="7" spans="1:25" x14ac:dyDescent="0.25">
      <c r="A7" s="243" t="s">
        <v>399</v>
      </c>
      <c r="D7" s="5"/>
      <c r="F7" s="243" t="s">
        <v>604</v>
      </c>
      <c r="R7" t="s">
        <v>605</v>
      </c>
    </row>
    <row r="8" spans="1:25" x14ac:dyDescent="0.25">
      <c r="A8" s="243" t="s">
        <v>417</v>
      </c>
      <c r="D8" s="5"/>
      <c r="R8" t="s">
        <v>606</v>
      </c>
    </row>
    <row r="9" spans="1:25" x14ac:dyDescent="0.25">
      <c r="R9" t="s">
        <v>607</v>
      </c>
    </row>
    <row r="10" spans="1:25" x14ac:dyDescent="0.25">
      <c r="A10" s="125" t="s">
        <v>358</v>
      </c>
      <c r="I10" s="68" t="s">
        <v>359</v>
      </c>
      <c r="L10" s="243"/>
      <c r="R10" t="s">
        <v>608</v>
      </c>
    </row>
    <row r="11" spans="1:25" x14ac:dyDescent="0.25">
      <c r="I11" s="68" t="s">
        <v>360</v>
      </c>
      <c r="R11" t="s">
        <v>609</v>
      </c>
    </row>
    <row r="12" spans="1:25" s="2" customFormat="1" x14ac:dyDescent="0.25">
      <c r="A12" s="2" t="s">
        <v>361</v>
      </c>
      <c r="B12" s="2" t="s">
        <v>250</v>
      </c>
      <c r="C12" s="2" t="s">
        <v>251</v>
      </c>
      <c r="D12" s="2" t="s">
        <v>252</v>
      </c>
      <c r="E12" s="2" t="s">
        <v>362</v>
      </c>
      <c r="F12" s="2" t="s">
        <v>363</v>
      </c>
      <c r="G12" s="2" t="s">
        <v>267</v>
      </c>
      <c r="I12" s="2" t="s">
        <v>364</v>
      </c>
      <c r="J12" s="2" t="s">
        <v>250</v>
      </c>
      <c r="K12" s="2" t="s">
        <v>251</v>
      </c>
      <c r="L12" s="2" t="s">
        <v>252</v>
      </c>
      <c r="M12" s="2" t="s">
        <v>362</v>
      </c>
      <c r="N12" s="2" t="s">
        <v>365</v>
      </c>
      <c r="O12" s="2" t="s">
        <v>361</v>
      </c>
      <c r="P12" s="2" t="s">
        <v>267</v>
      </c>
      <c r="R12" s="2" t="s">
        <v>610</v>
      </c>
      <c r="T12" s="2" t="s">
        <v>642</v>
      </c>
    </row>
    <row r="13" spans="1:25" x14ac:dyDescent="0.25">
      <c r="A13" s="126">
        <v>1</v>
      </c>
      <c r="B13" s="127">
        <v>-1</v>
      </c>
      <c r="C13" s="128">
        <v>-1</v>
      </c>
      <c r="D13" s="128">
        <v>-1</v>
      </c>
      <c r="E13" s="128">
        <v>-1</v>
      </c>
      <c r="F13" s="126">
        <v>-1</v>
      </c>
      <c r="G13" s="126">
        <v>13.1</v>
      </c>
      <c r="I13" s="5">
        <v>1</v>
      </c>
      <c r="J13" s="129">
        <v>-1</v>
      </c>
      <c r="K13" s="129">
        <v>-1</v>
      </c>
      <c r="L13" s="129">
        <v>-1</v>
      </c>
      <c r="M13" s="129">
        <v>-1</v>
      </c>
      <c r="N13" s="129">
        <f>J13*K13*L13*M13</f>
        <v>1</v>
      </c>
      <c r="O13" s="129">
        <f>A29</f>
        <v>17</v>
      </c>
      <c r="P13" s="129">
        <f>G29</f>
        <v>6.4</v>
      </c>
      <c r="Q13" s="2"/>
      <c r="R13" s="2" t="s">
        <v>611</v>
      </c>
      <c r="T13" t="s">
        <v>643</v>
      </c>
      <c r="U13">
        <v>5</v>
      </c>
      <c r="V13" t="s">
        <v>644</v>
      </c>
      <c r="W13" t="s">
        <v>645</v>
      </c>
      <c r="X13" t="s">
        <v>646</v>
      </c>
      <c r="Y13" t="s">
        <v>647</v>
      </c>
    </row>
    <row r="14" spans="1:25" x14ac:dyDescent="0.25">
      <c r="A14" s="130">
        <v>2</v>
      </c>
      <c r="B14" s="131">
        <v>1</v>
      </c>
      <c r="C14" s="132">
        <v>-1</v>
      </c>
      <c r="D14" s="132">
        <v>-1</v>
      </c>
      <c r="E14" s="132">
        <v>-1</v>
      </c>
      <c r="F14" s="130">
        <v>-1</v>
      </c>
      <c r="G14" s="130">
        <v>9.9</v>
      </c>
      <c r="I14" s="5">
        <v>2</v>
      </c>
      <c r="J14" s="130">
        <v>1</v>
      </c>
      <c r="K14" s="130">
        <v>-1</v>
      </c>
      <c r="L14" s="130">
        <v>-1</v>
      </c>
      <c r="M14" s="130">
        <v>-1</v>
      </c>
      <c r="N14" s="130">
        <f>J14*K14*L14*M14</f>
        <v>-1</v>
      </c>
      <c r="O14" s="130">
        <f>A14</f>
        <v>2</v>
      </c>
      <c r="P14" s="130">
        <f>G14</f>
        <v>9.9</v>
      </c>
      <c r="R14" t="s">
        <v>612</v>
      </c>
      <c r="T14" t="s">
        <v>648</v>
      </c>
      <c r="U14">
        <v>16</v>
      </c>
      <c r="V14" t="s">
        <v>649</v>
      </c>
      <c r="W14">
        <v>1</v>
      </c>
      <c r="X14" t="s">
        <v>650</v>
      </c>
      <c r="Y14" s="372">
        <v>44958</v>
      </c>
    </row>
    <row r="15" spans="1:25" x14ac:dyDescent="0.25">
      <c r="A15" s="133">
        <v>3</v>
      </c>
      <c r="B15" s="134">
        <v>-1</v>
      </c>
      <c r="C15" s="135">
        <v>1</v>
      </c>
      <c r="D15" s="135">
        <v>-1</v>
      </c>
      <c r="E15" s="135">
        <v>-1</v>
      </c>
      <c r="F15" s="133">
        <v>-1</v>
      </c>
      <c r="G15" s="133">
        <v>8.1</v>
      </c>
      <c r="I15" s="5">
        <v>3</v>
      </c>
      <c r="J15" s="133">
        <v>-1</v>
      </c>
      <c r="K15" s="133">
        <v>1</v>
      </c>
      <c r="L15" s="133">
        <v>-1</v>
      </c>
      <c r="M15" s="133">
        <v>-1</v>
      </c>
      <c r="N15" s="133">
        <f t="shared" ref="N15:N28" si="0">J15*K15*L15*M15</f>
        <v>-1</v>
      </c>
      <c r="O15" s="133">
        <f>A15</f>
        <v>3</v>
      </c>
      <c r="P15" s="133">
        <f>G15</f>
        <v>8.1</v>
      </c>
      <c r="R15" t="s">
        <v>613</v>
      </c>
      <c r="T15" t="s">
        <v>651</v>
      </c>
      <c r="U15">
        <v>1</v>
      </c>
      <c r="V15" t="s">
        <v>652</v>
      </c>
      <c r="W15">
        <v>0</v>
      </c>
      <c r="X15" t="s">
        <v>413</v>
      </c>
      <c r="Y15" t="s">
        <v>413</v>
      </c>
    </row>
    <row r="16" spans="1:25" x14ac:dyDescent="0.25">
      <c r="A16" s="136">
        <v>4</v>
      </c>
      <c r="B16" s="137">
        <v>1</v>
      </c>
      <c r="C16" s="138">
        <v>1</v>
      </c>
      <c r="D16" s="139">
        <v>-1</v>
      </c>
      <c r="E16" s="139">
        <v>-1</v>
      </c>
      <c r="F16" s="136">
        <v>-1</v>
      </c>
      <c r="G16" s="136">
        <v>7.5</v>
      </c>
      <c r="I16" s="5">
        <v>4</v>
      </c>
      <c r="J16" s="140">
        <v>1</v>
      </c>
      <c r="K16" s="140">
        <v>1</v>
      </c>
      <c r="L16" s="140">
        <v>-1</v>
      </c>
      <c r="M16" s="140">
        <v>-1</v>
      </c>
      <c r="N16" s="140">
        <f t="shared" si="0"/>
        <v>1</v>
      </c>
      <c r="O16" s="140">
        <f>A32</f>
        <v>20</v>
      </c>
      <c r="P16" s="140">
        <f>G32</f>
        <v>6.6</v>
      </c>
      <c r="R16" t="s">
        <v>614</v>
      </c>
    </row>
    <row r="17" spans="1:18" x14ac:dyDescent="0.25">
      <c r="A17" s="141">
        <v>5</v>
      </c>
      <c r="B17" s="142">
        <v>-1</v>
      </c>
      <c r="C17" s="143">
        <v>-1</v>
      </c>
      <c r="D17" s="144">
        <v>1</v>
      </c>
      <c r="E17" s="144">
        <v>-1</v>
      </c>
      <c r="F17" s="141">
        <v>-1</v>
      </c>
      <c r="G17" s="141">
        <v>9</v>
      </c>
      <c r="I17" s="5">
        <v>5</v>
      </c>
      <c r="J17" s="141">
        <v>-1</v>
      </c>
      <c r="K17" s="141">
        <v>-1</v>
      </c>
      <c r="L17" s="141">
        <v>1</v>
      </c>
      <c r="M17" s="141">
        <v>-1</v>
      </c>
      <c r="N17" s="141">
        <f t="shared" si="0"/>
        <v>-1</v>
      </c>
      <c r="O17" s="141">
        <f>A17</f>
        <v>5</v>
      </c>
      <c r="P17" s="141">
        <f>G17</f>
        <v>9</v>
      </c>
      <c r="R17" t="s">
        <v>615</v>
      </c>
    </row>
    <row r="18" spans="1:18" x14ac:dyDescent="0.25">
      <c r="A18" s="145">
        <v>6</v>
      </c>
      <c r="B18" s="146">
        <v>1</v>
      </c>
      <c r="C18" s="147">
        <v>-1</v>
      </c>
      <c r="D18" s="148">
        <v>1</v>
      </c>
      <c r="E18" s="148">
        <v>-1</v>
      </c>
      <c r="F18" s="145">
        <v>-1</v>
      </c>
      <c r="G18" s="145">
        <v>9.1999999999999993</v>
      </c>
      <c r="I18" s="5">
        <v>6</v>
      </c>
      <c r="J18" s="149">
        <v>1</v>
      </c>
      <c r="K18" s="149">
        <v>-1</v>
      </c>
      <c r="L18" s="149">
        <v>1</v>
      </c>
      <c r="M18" s="149">
        <v>-1</v>
      </c>
      <c r="N18" s="149">
        <f t="shared" si="0"/>
        <v>1</v>
      </c>
      <c r="O18" s="149">
        <f>A34</f>
        <v>22</v>
      </c>
      <c r="P18" s="149">
        <f>G34</f>
        <v>5.3</v>
      </c>
    </row>
    <row r="19" spans="1:18" x14ac:dyDescent="0.25">
      <c r="A19" s="150">
        <v>7</v>
      </c>
      <c r="B19" s="151">
        <v>-1</v>
      </c>
      <c r="C19" s="152">
        <v>1</v>
      </c>
      <c r="D19" s="153">
        <v>1</v>
      </c>
      <c r="E19" s="153">
        <v>-1</v>
      </c>
      <c r="F19" s="150">
        <v>-1</v>
      </c>
      <c r="G19" s="150">
        <v>-1</v>
      </c>
      <c r="I19" s="5">
        <v>7</v>
      </c>
      <c r="J19" s="154">
        <v>-1</v>
      </c>
      <c r="K19" s="154">
        <v>1</v>
      </c>
      <c r="L19" s="154">
        <v>1</v>
      </c>
      <c r="M19" s="154">
        <v>-1</v>
      </c>
      <c r="N19" s="154">
        <f t="shared" si="0"/>
        <v>1</v>
      </c>
      <c r="O19" s="154">
        <f>A35</f>
        <v>23</v>
      </c>
      <c r="P19" s="154">
        <f>G35</f>
        <v>-5.0999999999999996</v>
      </c>
    </row>
    <row r="20" spans="1:18" x14ac:dyDescent="0.25">
      <c r="A20" s="155">
        <v>8</v>
      </c>
      <c r="B20" s="156">
        <v>1</v>
      </c>
      <c r="C20" s="157">
        <v>1</v>
      </c>
      <c r="D20" s="158">
        <v>1</v>
      </c>
      <c r="E20" s="159">
        <v>-1</v>
      </c>
      <c r="F20" s="155">
        <v>-1</v>
      </c>
      <c r="G20" s="155">
        <v>-1</v>
      </c>
      <c r="I20" s="5">
        <v>8</v>
      </c>
      <c r="J20" s="155">
        <v>1</v>
      </c>
      <c r="K20" s="155">
        <v>1</v>
      </c>
      <c r="L20" s="155">
        <v>1</v>
      </c>
      <c r="M20" s="155">
        <v>-1</v>
      </c>
      <c r="N20" s="155">
        <f t="shared" si="0"/>
        <v>-1</v>
      </c>
      <c r="O20" s="155">
        <f>A20</f>
        <v>8</v>
      </c>
      <c r="P20" s="155">
        <f>G20</f>
        <v>-1</v>
      </c>
    </row>
    <row r="21" spans="1:18" x14ac:dyDescent="0.25">
      <c r="A21" s="160">
        <v>9</v>
      </c>
      <c r="B21" s="161">
        <v>-1</v>
      </c>
      <c r="C21" s="162">
        <v>-1</v>
      </c>
      <c r="D21" s="162">
        <v>-1</v>
      </c>
      <c r="E21" s="163">
        <v>1</v>
      </c>
      <c r="F21" s="160">
        <v>-1</v>
      </c>
      <c r="G21" s="160">
        <v>10.6</v>
      </c>
      <c r="I21" s="5">
        <v>9</v>
      </c>
      <c r="J21" s="160">
        <v>-1</v>
      </c>
      <c r="K21" s="160">
        <v>-1</v>
      </c>
      <c r="L21" s="160">
        <v>-1</v>
      </c>
      <c r="M21" s="160">
        <v>1</v>
      </c>
      <c r="N21" s="160">
        <f t="shared" si="0"/>
        <v>-1</v>
      </c>
      <c r="O21" s="160">
        <f>A21</f>
        <v>9</v>
      </c>
      <c r="P21" s="160">
        <f>G21</f>
        <v>10.6</v>
      </c>
    </row>
    <row r="22" spans="1:18" x14ac:dyDescent="0.25">
      <c r="A22" s="164">
        <v>10</v>
      </c>
      <c r="B22" s="165">
        <v>1</v>
      </c>
      <c r="C22" s="166">
        <v>-1</v>
      </c>
      <c r="D22" s="166">
        <v>-1</v>
      </c>
      <c r="E22" s="167">
        <v>1</v>
      </c>
      <c r="F22" s="164">
        <v>-1</v>
      </c>
      <c r="G22" s="164">
        <v>8.1999999999999993</v>
      </c>
      <c r="I22" s="5">
        <v>10</v>
      </c>
      <c r="J22" s="168">
        <v>1</v>
      </c>
      <c r="K22" s="168">
        <v>-1</v>
      </c>
      <c r="L22" s="168">
        <v>-1</v>
      </c>
      <c r="M22" s="168">
        <v>1</v>
      </c>
      <c r="N22" s="168">
        <f t="shared" si="0"/>
        <v>1</v>
      </c>
      <c r="O22" s="168">
        <f>A38</f>
        <v>26</v>
      </c>
      <c r="P22" s="168">
        <f>G38</f>
        <v>12.7</v>
      </c>
    </row>
    <row r="23" spans="1:18" x14ac:dyDescent="0.25">
      <c r="A23" s="169">
        <v>11</v>
      </c>
      <c r="B23" s="170">
        <v>-1</v>
      </c>
      <c r="C23" s="171">
        <v>1</v>
      </c>
      <c r="D23" s="171">
        <v>-1</v>
      </c>
      <c r="E23" s="172">
        <v>1</v>
      </c>
      <c r="F23" s="169">
        <v>-1</v>
      </c>
      <c r="G23" s="169">
        <v>11</v>
      </c>
      <c r="I23" s="5">
        <v>11</v>
      </c>
      <c r="J23" s="173">
        <v>-1</v>
      </c>
      <c r="K23" s="173">
        <v>1</v>
      </c>
      <c r="L23" s="173">
        <v>-1</v>
      </c>
      <c r="M23" s="173">
        <v>1</v>
      </c>
      <c r="N23" s="173">
        <f t="shared" si="0"/>
        <v>1</v>
      </c>
      <c r="O23" s="173">
        <f>A39</f>
        <v>27</v>
      </c>
      <c r="P23" s="173">
        <f>G39</f>
        <v>12.9</v>
      </c>
    </row>
    <row r="24" spans="1:18" x14ac:dyDescent="0.25">
      <c r="A24" s="174">
        <v>12</v>
      </c>
      <c r="B24" s="175">
        <v>1</v>
      </c>
      <c r="C24" s="176">
        <v>1</v>
      </c>
      <c r="D24" s="176">
        <v>-1</v>
      </c>
      <c r="E24" s="177">
        <v>1</v>
      </c>
      <c r="F24" s="174">
        <v>-1</v>
      </c>
      <c r="G24" s="174">
        <v>11.2</v>
      </c>
      <c r="I24" s="5">
        <v>12</v>
      </c>
      <c r="J24" s="174">
        <v>1</v>
      </c>
      <c r="K24" s="174">
        <v>1</v>
      </c>
      <c r="L24" s="174">
        <v>-1</v>
      </c>
      <c r="M24" s="174">
        <v>1</v>
      </c>
      <c r="N24" s="174">
        <f t="shared" si="0"/>
        <v>-1</v>
      </c>
      <c r="O24" s="174">
        <f>A24</f>
        <v>12</v>
      </c>
      <c r="P24" s="174">
        <f>G24</f>
        <v>11.2</v>
      </c>
    </row>
    <row r="25" spans="1:18" x14ac:dyDescent="0.25">
      <c r="A25" s="178">
        <v>13</v>
      </c>
      <c r="B25" s="179">
        <v>-1</v>
      </c>
      <c r="C25" s="180">
        <v>-1</v>
      </c>
      <c r="D25" s="180">
        <v>1</v>
      </c>
      <c r="E25" s="181">
        <v>1</v>
      </c>
      <c r="F25" s="178">
        <v>-1</v>
      </c>
      <c r="G25" s="178">
        <v>5.0999999999999996</v>
      </c>
      <c r="I25" s="5">
        <v>13</v>
      </c>
      <c r="J25" s="182">
        <v>-1</v>
      </c>
      <c r="K25" s="182">
        <v>-1</v>
      </c>
      <c r="L25" s="182">
        <v>1</v>
      </c>
      <c r="M25" s="182">
        <v>1</v>
      </c>
      <c r="N25" s="182">
        <f t="shared" si="0"/>
        <v>1</v>
      </c>
      <c r="O25" s="182">
        <f>A41</f>
        <v>29</v>
      </c>
      <c r="P25" s="182">
        <f>G41</f>
        <v>12.4</v>
      </c>
    </row>
    <row r="26" spans="1:18" x14ac:dyDescent="0.25">
      <c r="A26" s="183">
        <v>14</v>
      </c>
      <c r="B26" s="184">
        <v>1</v>
      </c>
      <c r="C26" s="185">
        <v>-1</v>
      </c>
      <c r="D26" s="185">
        <v>1</v>
      </c>
      <c r="E26" s="186">
        <v>1</v>
      </c>
      <c r="F26" s="183">
        <v>-1</v>
      </c>
      <c r="G26" s="183">
        <v>9.6999999999999993</v>
      </c>
      <c r="I26" s="5">
        <v>14</v>
      </c>
      <c r="J26" s="183">
        <v>1</v>
      </c>
      <c r="K26" s="183">
        <v>-1</v>
      </c>
      <c r="L26" s="183">
        <v>1</v>
      </c>
      <c r="M26" s="183">
        <v>1</v>
      </c>
      <c r="N26" s="183">
        <f t="shared" si="0"/>
        <v>-1</v>
      </c>
      <c r="O26" s="183">
        <f>A26</f>
        <v>14</v>
      </c>
      <c r="P26" s="183">
        <f>G26</f>
        <v>9.6999999999999993</v>
      </c>
    </row>
    <row r="27" spans="1:18" x14ac:dyDescent="0.25">
      <c r="A27" s="187">
        <v>15</v>
      </c>
      <c r="B27" s="188">
        <v>-1</v>
      </c>
      <c r="C27" s="189">
        <v>1</v>
      </c>
      <c r="D27" s="189">
        <v>1</v>
      </c>
      <c r="E27" s="190">
        <v>1</v>
      </c>
      <c r="F27" s="187">
        <v>-1</v>
      </c>
      <c r="G27" s="187">
        <v>4.0999999999999996</v>
      </c>
      <c r="I27" s="5">
        <v>15</v>
      </c>
      <c r="J27" s="187">
        <v>-1</v>
      </c>
      <c r="K27" s="187">
        <v>1</v>
      </c>
      <c r="L27" s="187">
        <v>1</v>
      </c>
      <c r="M27" s="187">
        <v>1</v>
      </c>
      <c r="N27" s="187">
        <f t="shared" si="0"/>
        <v>-1</v>
      </c>
      <c r="O27" s="187">
        <f>A27</f>
        <v>15</v>
      </c>
      <c r="P27" s="187">
        <f>G27</f>
        <v>4.0999999999999996</v>
      </c>
    </row>
    <row r="28" spans="1:18" x14ac:dyDescent="0.25">
      <c r="A28" s="191">
        <v>16</v>
      </c>
      <c r="B28" s="192">
        <v>1</v>
      </c>
      <c r="C28" s="193">
        <v>1</v>
      </c>
      <c r="D28" s="193">
        <v>1</v>
      </c>
      <c r="E28" s="194">
        <v>1</v>
      </c>
      <c r="F28" s="191">
        <v>-1</v>
      </c>
      <c r="G28" s="191">
        <v>2.9</v>
      </c>
      <c r="I28" s="5">
        <v>16</v>
      </c>
      <c r="J28" s="2">
        <v>1</v>
      </c>
      <c r="K28" s="2">
        <v>1</v>
      </c>
      <c r="L28" s="2">
        <v>1</v>
      </c>
      <c r="M28" s="2">
        <v>1</v>
      </c>
      <c r="N28" s="2">
        <f t="shared" si="0"/>
        <v>1</v>
      </c>
      <c r="O28" s="2">
        <f>A44</f>
        <v>32</v>
      </c>
      <c r="P28" s="2">
        <f>G44</f>
        <v>4</v>
      </c>
    </row>
    <row r="29" spans="1:18" x14ac:dyDescent="0.25">
      <c r="A29" s="129">
        <v>17</v>
      </c>
      <c r="B29" s="129">
        <v>-1</v>
      </c>
      <c r="C29" s="129">
        <v>-1</v>
      </c>
      <c r="D29" s="129">
        <v>-1</v>
      </c>
      <c r="E29" s="129">
        <v>-1</v>
      </c>
      <c r="F29" s="129">
        <v>1</v>
      </c>
      <c r="G29" s="129">
        <v>6.4</v>
      </c>
      <c r="I29" s="68" t="s">
        <v>366</v>
      </c>
    </row>
    <row r="30" spans="1:18" x14ac:dyDescent="0.25">
      <c r="A30" s="195">
        <v>18</v>
      </c>
      <c r="B30" s="195">
        <v>1</v>
      </c>
      <c r="C30" s="195">
        <v>-1</v>
      </c>
      <c r="D30" s="195">
        <v>-1</v>
      </c>
      <c r="E30" s="195">
        <v>-1</v>
      </c>
      <c r="F30" s="195">
        <v>1</v>
      </c>
      <c r="G30" s="195">
        <v>9.8000000000000007</v>
      </c>
      <c r="I30" s="2" t="s">
        <v>364</v>
      </c>
      <c r="J30" s="2" t="s">
        <v>250</v>
      </c>
      <c r="K30" s="2" t="s">
        <v>251</v>
      </c>
      <c r="L30" s="2" t="s">
        <v>252</v>
      </c>
      <c r="M30" s="2" t="s">
        <v>362</v>
      </c>
      <c r="N30" s="2" t="s">
        <v>367</v>
      </c>
      <c r="O30" s="2" t="s">
        <v>361</v>
      </c>
      <c r="P30" s="2" t="s">
        <v>267</v>
      </c>
    </row>
    <row r="31" spans="1:18" x14ac:dyDescent="0.25">
      <c r="A31" s="196">
        <v>19</v>
      </c>
      <c r="B31" s="196">
        <v>-1</v>
      </c>
      <c r="C31" s="196">
        <v>1</v>
      </c>
      <c r="D31" s="196">
        <v>-1</v>
      </c>
      <c r="E31" s="196">
        <v>-1</v>
      </c>
      <c r="F31" s="196">
        <v>1</v>
      </c>
      <c r="G31" s="196">
        <v>9</v>
      </c>
      <c r="I31" s="5">
        <v>1</v>
      </c>
      <c r="J31" s="126">
        <v>-1</v>
      </c>
      <c r="K31" s="126">
        <v>-1</v>
      </c>
      <c r="L31" s="126">
        <v>-1</v>
      </c>
      <c r="M31" s="126">
        <v>-1</v>
      </c>
      <c r="N31" s="126">
        <f>-J31*K31*L31*M31</f>
        <v>-1</v>
      </c>
      <c r="O31" s="126">
        <f>A13</f>
        <v>1</v>
      </c>
      <c r="P31" s="126">
        <f>G13</f>
        <v>13.1</v>
      </c>
    </row>
    <row r="32" spans="1:18" x14ac:dyDescent="0.25">
      <c r="A32" s="140">
        <v>20</v>
      </c>
      <c r="B32" s="140">
        <v>1</v>
      </c>
      <c r="C32" s="140">
        <v>1</v>
      </c>
      <c r="D32" s="140">
        <v>-1</v>
      </c>
      <c r="E32" s="140">
        <v>-1</v>
      </c>
      <c r="F32" s="140">
        <v>1</v>
      </c>
      <c r="G32" s="140">
        <v>6.6</v>
      </c>
      <c r="I32" s="5">
        <v>2</v>
      </c>
      <c r="J32" s="195">
        <v>1</v>
      </c>
      <c r="K32" s="195">
        <v>-1</v>
      </c>
      <c r="L32" s="195">
        <v>-1</v>
      </c>
      <c r="M32" s="195">
        <v>-1</v>
      </c>
      <c r="N32" s="195">
        <f t="shared" ref="N32:N46" si="1">-J32*K32*L32*M32</f>
        <v>1</v>
      </c>
      <c r="O32" s="195">
        <f>A30</f>
        <v>18</v>
      </c>
      <c r="P32" s="195">
        <f>G30</f>
        <v>9.8000000000000007</v>
      </c>
    </row>
    <row r="33" spans="1:33" x14ac:dyDescent="0.25">
      <c r="A33" s="197">
        <v>21</v>
      </c>
      <c r="B33" s="197">
        <v>-1</v>
      </c>
      <c r="C33" s="197">
        <v>-1</v>
      </c>
      <c r="D33" s="197">
        <v>1</v>
      </c>
      <c r="E33" s="197">
        <v>-1</v>
      </c>
      <c r="F33" s="197">
        <v>1</v>
      </c>
      <c r="G33" s="197">
        <v>4.9000000000000004</v>
      </c>
      <c r="I33" s="5">
        <v>3</v>
      </c>
      <c r="J33" s="196">
        <v>-1</v>
      </c>
      <c r="K33" s="196">
        <v>1</v>
      </c>
      <c r="L33" s="196">
        <v>-1</v>
      </c>
      <c r="M33" s="196">
        <v>-1</v>
      </c>
      <c r="N33" s="196">
        <f t="shared" si="1"/>
        <v>1</v>
      </c>
      <c r="O33" s="196">
        <f>A31</f>
        <v>19</v>
      </c>
      <c r="P33" s="196">
        <f>G31</f>
        <v>9</v>
      </c>
    </row>
    <row r="34" spans="1:33" x14ac:dyDescent="0.25">
      <c r="A34" s="149">
        <v>22</v>
      </c>
      <c r="B34" s="149">
        <v>1</v>
      </c>
      <c r="C34" s="149">
        <v>-1</v>
      </c>
      <c r="D34" s="149">
        <v>1</v>
      </c>
      <c r="E34" s="149">
        <v>-1</v>
      </c>
      <c r="F34" s="149">
        <v>1</v>
      </c>
      <c r="G34" s="149">
        <v>5.3</v>
      </c>
      <c r="I34" s="5">
        <v>4</v>
      </c>
      <c r="J34" s="136">
        <v>1</v>
      </c>
      <c r="K34" s="136">
        <v>1</v>
      </c>
      <c r="L34" s="136">
        <v>-1</v>
      </c>
      <c r="M34" s="136">
        <v>-1</v>
      </c>
      <c r="N34" s="136">
        <f t="shared" si="1"/>
        <v>-1</v>
      </c>
      <c r="O34" s="136">
        <f>A16</f>
        <v>4</v>
      </c>
      <c r="P34" s="136">
        <f>G16</f>
        <v>7.5</v>
      </c>
    </row>
    <row r="35" spans="1:33" x14ac:dyDescent="0.25">
      <c r="A35" s="154">
        <v>23</v>
      </c>
      <c r="B35" s="154">
        <v>-1</v>
      </c>
      <c r="C35" s="154">
        <v>1</v>
      </c>
      <c r="D35" s="154">
        <v>1</v>
      </c>
      <c r="E35" s="154">
        <v>-1</v>
      </c>
      <c r="F35" s="154">
        <v>1</v>
      </c>
      <c r="G35" s="154">
        <v>-5.0999999999999996</v>
      </c>
      <c r="I35" s="5">
        <v>5</v>
      </c>
      <c r="J35" s="197">
        <v>-1</v>
      </c>
      <c r="K35" s="197">
        <v>-1</v>
      </c>
      <c r="L35" s="197">
        <v>1</v>
      </c>
      <c r="M35" s="197">
        <v>-1</v>
      </c>
      <c r="N35" s="197">
        <f t="shared" si="1"/>
        <v>1</v>
      </c>
      <c r="O35" s="197">
        <f>A33</f>
        <v>21</v>
      </c>
      <c r="P35" s="197">
        <f>G33</f>
        <v>4.9000000000000004</v>
      </c>
    </row>
    <row r="36" spans="1:33" x14ac:dyDescent="0.25">
      <c r="A36" s="198">
        <v>24</v>
      </c>
      <c r="B36" s="198">
        <v>1</v>
      </c>
      <c r="C36" s="198">
        <v>1</v>
      </c>
      <c r="D36" s="198">
        <v>1</v>
      </c>
      <c r="E36" s="198">
        <v>-1</v>
      </c>
      <c r="F36" s="198">
        <v>1</v>
      </c>
      <c r="G36" s="198">
        <v>-3.7</v>
      </c>
      <c r="I36" s="5">
        <v>6</v>
      </c>
      <c r="J36" s="145">
        <v>1</v>
      </c>
      <c r="K36" s="145">
        <v>-1</v>
      </c>
      <c r="L36" s="145">
        <v>1</v>
      </c>
      <c r="M36" s="145">
        <v>-1</v>
      </c>
      <c r="N36" s="145">
        <f t="shared" si="1"/>
        <v>-1</v>
      </c>
      <c r="O36" s="145">
        <f>A18</f>
        <v>6</v>
      </c>
      <c r="P36" s="145">
        <f>G18</f>
        <v>9.1999999999999993</v>
      </c>
    </row>
    <row r="37" spans="1:33" x14ac:dyDescent="0.25">
      <c r="A37" s="199">
        <v>25</v>
      </c>
      <c r="B37" s="199">
        <v>-1</v>
      </c>
      <c r="C37" s="199">
        <v>-1</v>
      </c>
      <c r="D37" s="199">
        <v>-1</v>
      </c>
      <c r="E37" s="199">
        <v>1</v>
      </c>
      <c r="F37" s="199">
        <v>1</v>
      </c>
      <c r="G37" s="199">
        <v>17.3</v>
      </c>
      <c r="I37" s="5">
        <v>7</v>
      </c>
      <c r="J37" s="150">
        <v>-1</v>
      </c>
      <c r="K37" s="150">
        <v>1</v>
      </c>
      <c r="L37" s="150">
        <v>1</v>
      </c>
      <c r="M37" s="150">
        <v>-1</v>
      </c>
      <c r="N37" s="150">
        <f t="shared" si="1"/>
        <v>-1</v>
      </c>
      <c r="O37" s="150">
        <f>A19</f>
        <v>7</v>
      </c>
      <c r="P37" s="150">
        <f>G19</f>
        <v>-1</v>
      </c>
    </row>
    <row r="38" spans="1:33" x14ac:dyDescent="0.25">
      <c r="A38" s="168">
        <v>26</v>
      </c>
      <c r="B38" s="168">
        <v>1</v>
      </c>
      <c r="C38" s="168">
        <v>-1</v>
      </c>
      <c r="D38" s="168">
        <v>-1</v>
      </c>
      <c r="E38" s="168">
        <v>1</v>
      </c>
      <c r="F38" s="168">
        <v>1</v>
      </c>
      <c r="G38" s="168">
        <v>12.7</v>
      </c>
      <c r="I38" s="5">
        <v>8</v>
      </c>
      <c r="J38" s="198">
        <v>1</v>
      </c>
      <c r="K38" s="198">
        <v>1</v>
      </c>
      <c r="L38" s="198">
        <v>1</v>
      </c>
      <c r="M38" s="198">
        <v>-1</v>
      </c>
      <c r="N38" s="198">
        <f t="shared" si="1"/>
        <v>1</v>
      </c>
      <c r="O38" s="198">
        <f>A36</f>
        <v>24</v>
      </c>
      <c r="P38" s="198">
        <f>G36</f>
        <v>-3.7</v>
      </c>
    </row>
    <row r="39" spans="1:33" x14ac:dyDescent="0.25">
      <c r="A39" s="173">
        <v>27</v>
      </c>
      <c r="B39" s="173">
        <v>-1</v>
      </c>
      <c r="C39" s="173">
        <v>1</v>
      </c>
      <c r="D39" s="173">
        <v>-1</v>
      </c>
      <c r="E39" s="173">
        <v>1</v>
      </c>
      <c r="F39" s="173">
        <v>1</v>
      </c>
      <c r="G39" s="173">
        <v>12.9</v>
      </c>
      <c r="I39" s="5">
        <v>9</v>
      </c>
      <c r="J39" s="199">
        <v>-1</v>
      </c>
      <c r="K39" s="199">
        <v>-1</v>
      </c>
      <c r="L39" s="199">
        <v>-1</v>
      </c>
      <c r="M39" s="199">
        <v>1</v>
      </c>
      <c r="N39" s="199">
        <f t="shared" si="1"/>
        <v>1</v>
      </c>
      <c r="O39" s="199">
        <f>A37</f>
        <v>25</v>
      </c>
      <c r="P39" s="199">
        <f>G37</f>
        <v>17.3</v>
      </c>
    </row>
    <row r="40" spans="1:33" x14ac:dyDescent="0.25">
      <c r="A40" s="130">
        <v>28</v>
      </c>
      <c r="B40" s="130">
        <v>1</v>
      </c>
      <c r="C40" s="130">
        <v>1</v>
      </c>
      <c r="D40" s="130">
        <v>-1</v>
      </c>
      <c r="E40" s="130">
        <v>1</v>
      </c>
      <c r="F40" s="130">
        <v>1</v>
      </c>
      <c r="G40" s="130">
        <v>13.7</v>
      </c>
      <c r="I40" s="5">
        <v>10</v>
      </c>
      <c r="J40" s="164">
        <v>1</v>
      </c>
      <c r="K40" s="164">
        <v>-1</v>
      </c>
      <c r="L40" s="164">
        <v>-1</v>
      </c>
      <c r="M40" s="164">
        <v>1</v>
      </c>
      <c r="N40" s="164">
        <f t="shared" si="1"/>
        <v>-1</v>
      </c>
      <c r="O40" s="164">
        <f>A22</f>
        <v>10</v>
      </c>
      <c r="P40" s="164">
        <f>G22</f>
        <v>8.1999999999999993</v>
      </c>
    </row>
    <row r="41" spans="1:33" x14ac:dyDescent="0.25">
      <c r="A41" s="182">
        <v>29</v>
      </c>
      <c r="B41" s="182">
        <v>-1</v>
      </c>
      <c r="C41" s="182">
        <v>-1</v>
      </c>
      <c r="D41" s="182">
        <v>1</v>
      </c>
      <c r="E41" s="182">
        <v>1</v>
      </c>
      <c r="F41" s="182">
        <v>1</v>
      </c>
      <c r="G41" s="182">
        <v>12.4</v>
      </c>
      <c r="I41" s="5">
        <v>11</v>
      </c>
      <c r="J41" s="169">
        <v>-1</v>
      </c>
      <c r="K41" s="169">
        <v>1</v>
      </c>
      <c r="L41" s="169">
        <v>-1</v>
      </c>
      <c r="M41" s="169">
        <v>1</v>
      </c>
      <c r="N41" s="169">
        <f t="shared" si="1"/>
        <v>-1</v>
      </c>
      <c r="O41" s="169">
        <f>A23</f>
        <v>11</v>
      </c>
      <c r="P41" s="169">
        <f>G23</f>
        <v>11</v>
      </c>
    </row>
    <row r="42" spans="1:33" x14ac:dyDescent="0.25">
      <c r="A42" s="200">
        <v>30</v>
      </c>
      <c r="B42" s="200">
        <v>1</v>
      </c>
      <c r="C42" s="200">
        <v>-1</v>
      </c>
      <c r="D42" s="200">
        <v>1</v>
      </c>
      <c r="E42" s="200">
        <v>1</v>
      </c>
      <c r="F42" s="200">
        <v>1</v>
      </c>
      <c r="G42" s="200">
        <v>12.4</v>
      </c>
      <c r="I42" s="5">
        <v>12</v>
      </c>
      <c r="J42" s="130">
        <v>1</v>
      </c>
      <c r="K42" s="130">
        <v>1</v>
      </c>
      <c r="L42" s="130">
        <v>-1</v>
      </c>
      <c r="M42" s="130">
        <v>1</v>
      </c>
      <c r="N42" s="130">
        <f t="shared" si="1"/>
        <v>1</v>
      </c>
      <c r="O42" s="130">
        <f>A40</f>
        <v>28</v>
      </c>
      <c r="P42" s="130">
        <f>G40</f>
        <v>13.7</v>
      </c>
    </row>
    <row r="43" spans="1:33" x14ac:dyDescent="0.25">
      <c r="A43" s="201">
        <v>31</v>
      </c>
      <c r="B43" s="201">
        <v>-1</v>
      </c>
      <c r="C43" s="201">
        <v>1</v>
      </c>
      <c r="D43" s="201">
        <v>1</v>
      </c>
      <c r="E43" s="201">
        <v>1</v>
      </c>
      <c r="F43" s="201">
        <v>1</v>
      </c>
      <c r="G43" s="201">
        <v>3.8</v>
      </c>
      <c r="I43" s="5">
        <v>13</v>
      </c>
      <c r="J43" s="178">
        <v>-1</v>
      </c>
      <c r="K43" s="178">
        <v>-1</v>
      </c>
      <c r="L43" s="178">
        <v>1</v>
      </c>
      <c r="M43" s="178">
        <v>1</v>
      </c>
      <c r="N43" s="178">
        <f t="shared" si="1"/>
        <v>-1</v>
      </c>
      <c r="O43" s="178">
        <f>A25</f>
        <v>13</v>
      </c>
      <c r="P43" s="178">
        <f>G25</f>
        <v>5.0999999999999996</v>
      </c>
    </row>
    <row r="44" spans="1:33" x14ac:dyDescent="0.25">
      <c r="A44" s="2">
        <v>32</v>
      </c>
      <c r="B44" s="2">
        <v>1</v>
      </c>
      <c r="C44" s="2">
        <v>1</v>
      </c>
      <c r="D44" s="2">
        <v>1</v>
      </c>
      <c r="E44" s="2">
        <v>1</v>
      </c>
      <c r="F44" s="2">
        <v>1</v>
      </c>
      <c r="G44" s="2">
        <v>4</v>
      </c>
      <c r="I44" s="5">
        <v>14</v>
      </c>
      <c r="J44" s="200">
        <v>1</v>
      </c>
      <c r="K44" s="200">
        <v>-1</v>
      </c>
      <c r="L44" s="200">
        <v>1</v>
      </c>
      <c r="M44" s="200">
        <v>1</v>
      </c>
      <c r="N44" s="200">
        <f t="shared" si="1"/>
        <v>1</v>
      </c>
      <c r="O44" s="200">
        <f>A42</f>
        <v>30</v>
      </c>
      <c r="P44" s="200">
        <f>G42</f>
        <v>12.4</v>
      </c>
    </row>
    <row r="45" spans="1:33" x14ac:dyDescent="0.25">
      <c r="I45" s="5">
        <v>15</v>
      </c>
      <c r="J45" s="201">
        <v>-1</v>
      </c>
      <c r="K45" s="201">
        <v>1</v>
      </c>
      <c r="L45" s="201">
        <v>1</v>
      </c>
      <c r="M45" s="201">
        <v>1</v>
      </c>
      <c r="N45" s="201">
        <f t="shared" si="1"/>
        <v>1</v>
      </c>
      <c r="O45" s="201">
        <f>A43</f>
        <v>31</v>
      </c>
      <c r="P45" s="201">
        <f>G43</f>
        <v>3.8</v>
      </c>
    </row>
    <row r="46" spans="1:33" x14ac:dyDescent="0.25">
      <c r="I46" s="5">
        <v>16</v>
      </c>
      <c r="J46" s="191">
        <v>1</v>
      </c>
      <c r="K46" s="191">
        <v>1</v>
      </c>
      <c r="L46" s="191">
        <v>1</v>
      </c>
      <c r="M46" s="191">
        <v>1</v>
      </c>
      <c r="N46" s="191">
        <f t="shared" si="1"/>
        <v>-1</v>
      </c>
      <c r="O46" s="191">
        <f>A28</f>
        <v>16</v>
      </c>
      <c r="P46" s="191">
        <f>G28</f>
        <v>2.9</v>
      </c>
    </row>
    <row r="47" spans="1:33" ht="15.75" thickBot="1" x14ac:dyDescent="0.3">
      <c r="H47"/>
    </row>
    <row r="48" spans="1:33" x14ac:dyDescent="0.25">
      <c r="A48" s="205" t="s">
        <v>204</v>
      </c>
      <c r="B48" s="206"/>
      <c r="C48" s="206"/>
      <c r="D48" s="206"/>
      <c r="E48" s="206"/>
      <c r="F48" s="206"/>
      <c r="G48" s="207"/>
      <c r="H48"/>
      <c r="I48" s="205" t="s">
        <v>204</v>
      </c>
      <c r="J48" s="206"/>
      <c r="K48" s="206"/>
      <c r="L48" s="206" t="s">
        <v>637</v>
      </c>
      <c r="M48" s="206"/>
      <c r="N48" s="206"/>
      <c r="O48" s="207"/>
      <c r="P48" s="205" t="s">
        <v>204</v>
      </c>
      <c r="Q48" s="206"/>
      <c r="R48" s="206"/>
      <c r="S48" s="206" t="s">
        <v>638</v>
      </c>
      <c r="T48" s="206"/>
      <c r="U48" s="206"/>
      <c r="V48" s="207"/>
      <c r="X48" s="10"/>
      <c r="Y48" s="10"/>
      <c r="Z48" s="10"/>
      <c r="AA48" s="10"/>
      <c r="AB48" s="10"/>
      <c r="AC48" s="10"/>
      <c r="AD48" s="10"/>
      <c r="AE48" s="10"/>
      <c r="AF48" s="10"/>
      <c r="AG48" s="10"/>
    </row>
    <row r="49" spans="1:33" ht="15.75" thickBot="1" x14ac:dyDescent="0.3">
      <c r="A49" s="208"/>
      <c r="B49" s="10"/>
      <c r="C49" s="10"/>
      <c r="D49" s="10"/>
      <c r="E49" s="10"/>
      <c r="F49" s="10"/>
      <c r="G49" s="209"/>
      <c r="H49"/>
      <c r="I49" s="208"/>
      <c r="J49" s="10"/>
      <c r="K49" s="10"/>
      <c r="L49" s="10"/>
      <c r="M49" s="10"/>
      <c r="N49" s="10"/>
      <c r="O49" s="209"/>
      <c r="P49" s="208"/>
      <c r="Q49" s="10"/>
      <c r="R49" s="10"/>
      <c r="S49" s="10"/>
      <c r="T49" s="10"/>
      <c r="U49" s="10"/>
      <c r="V49" s="209"/>
      <c r="X49" s="10"/>
      <c r="Y49" s="10"/>
      <c r="Z49" s="10"/>
      <c r="AA49" s="10"/>
      <c r="AB49" s="10"/>
      <c r="AC49" s="10"/>
      <c r="AD49" s="10"/>
      <c r="AE49" s="10"/>
      <c r="AF49" s="10"/>
      <c r="AG49" s="10"/>
    </row>
    <row r="50" spans="1:33" x14ac:dyDescent="0.25">
      <c r="A50" s="210" t="s">
        <v>368</v>
      </c>
      <c r="B50" s="202"/>
      <c r="C50" s="10"/>
      <c r="D50" s="10"/>
      <c r="E50" s="10"/>
      <c r="F50" s="10"/>
      <c r="G50" s="209"/>
      <c r="H50"/>
      <c r="I50" s="210" t="s">
        <v>368</v>
      </c>
      <c r="J50" s="202"/>
      <c r="K50" s="10"/>
      <c r="L50" s="10"/>
      <c r="M50" s="10"/>
      <c r="N50" s="10"/>
      <c r="O50" s="209"/>
      <c r="P50" s="210" t="s">
        <v>368</v>
      </c>
      <c r="Q50" s="202"/>
      <c r="R50" s="10"/>
      <c r="S50" s="10"/>
      <c r="T50" s="10"/>
      <c r="U50" s="10"/>
      <c r="V50" s="209"/>
      <c r="X50" s="56"/>
      <c r="Y50" s="56"/>
      <c r="Z50" s="10"/>
      <c r="AA50" s="10"/>
      <c r="AB50" s="10"/>
      <c r="AC50" s="10"/>
      <c r="AD50" s="10"/>
      <c r="AE50" s="10"/>
      <c r="AF50" s="10"/>
      <c r="AG50" s="10"/>
    </row>
    <row r="51" spans="1:33" x14ac:dyDescent="0.25">
      <c r="A51" s="211" t="s">
        <v>369</v>
      </c>
      <c r="B51" s="48">
        <v>0.83200608408110355</v>
      </c>
      <c r="C51" s="10"/>
      <c r="D51" s="10"/>
      <c r="E51" s="10"/>
      <c r="F51" s="10"/>
      <c r="G51" s="209"/>
      <c r="H51"/>
      <c r="I51" s="211" t="s">
        <v>369</v>
      </c>
      <c r="J51" s="48">
        <v>0.84879763977698375</v>
      </c>
      <c r="K51" s="10"/>
      <c r="L51" s="10"/>
      <c r="M51" s="10"/>
      <c r="N51" s="10"/>
      <c r="O51" s="209"/>
      <c r="P51" s="211" t="s">
        <v>369</v>
      </c>
      <c r="Q51" s="48">
        <v>0.84945922348748482</v>
      </c>
      <c r="R51" s="10"/>
      <c r="S51" s="10"/>
      <c r="T51" s="10"/>
      <c r="U51" s="10"/>
      <c r="V51" s="209"/>
      <c r="X51" s="48"/>
      <c r="Y51" s="48"/>
      <c r="Z51" s="10"/>
      <c r="AA51" s="10"/>
      <c r="AB51" s="10"/>
      <c r="AC51" s="10"/>
      <c r="AD51" s="10"/>
      <c r="AE51" s="10"/>
      <c r="AF51" s="10"/>
      <c r="AG51" s="10"/>
    </row>
    <row r="52" spans="1:33" x14ac:dyDescent="0.25">
      <c r="A52" s="211" t="s">
        <v>370</v>
      </c>
      <c r="B52" s="48">
        <v>0.69223412394797235</v>
      </c>
      <c r="C52" s="10"/>
      <c r="D52" s="10"/>
      <c r="E52" s="10"/>
      <c r="F52" s="10"/>
      <c r="G52" s="209"/>
      <c r="H52"/>
      <c r="I52" s="211" t="s">
        <v>370</v>
      </c>
      <c r="J52" s="48">
        <v>0.72045743329097833</v>
      </c>
      <c r="K52" s="10"/>
      <c r="L52" s="10"/>
      <c r="M52" s="10"/>
      <c r="N52" s="10"/>
      <c r="O52" s="209"/>
      <c r="P52" s="211" t="s">
        <v>370</v>
      </c>
      <c r="Q52" s="48">
        <v>0.7215809723679607</v>
      </c>
      <c r="R52" s="10"/>
      <c r="S52" s="10"/>
      <c r="T52" s="10"/>
      <c r="U52" s="10"/>
      <c r="V52" s="209"/>
      <c r="X52" s="48"/>
      <c r="Y52" s="48"/>
      <c r="Z52" s="10"/>
      <c r="AA52" s="10"/>
      <c r="AB52" s="10"/>
      <c r="AC52" s="10"/>
      <c r="AD52" s="10"/>
      <c r="AE52" s="10"/>
      <c r="AF52" s="10"/>
      <c r="AG52" s="10"/>
    </row>
    <row r="53" spans="1:33" x14ac:dyDescent="0.25">
      <c r="A53" s="211" t="s">
        <v>371</v>
      </c>
      <c r="B53" s="48">
        <v>0.63304837855335161</v>
      </c>
      <c r="C53" s="10"/>
      <c r="D53" s="10"/>
      <c r="E53" s="10"/>
      <c r="F53" s="10"/>
      <c r="G53" s="209"/>
      <c r="H53"/>
      <c r="I53" s="211" t="s">
        <v>371</v>
      </c>
      <c r="J53" s="48">
        <v>0.5806861499364675</v>
      </c>
      <c r="K53" s="10"/>
      <c r="L53" s="10"/>
      <c r="M53" s="10"/>
      <c r="N53" s="10"/>
      <c r="O53" s="209"/>
      <c r="P53" s="211" t="s">
        <v>371</v>
      </c>
      <c r="Q53" s="48">
        <v>0.58237145855194117</v>
      </c>
      <c r="R53" s="10"/>
      <c r="S53" s="10"/>
      <c r="T53" s="10"/>
      <c r="U53" s="10"/>
      <c r="V53" s="209"/>
      <c r="X53" s="48"/>
      <c r="Y53" s="48"/>
      <c r="Z53" s="10"/>
      <c r="AA53" s="10"/>
      <c r="AB53" s="10"/>
      <c r="AC53" s="10"/>
      <c r="AD53" s="10"/>
      <c r="AE53" s="10"/>
      <c r="AF53" s="10"/>
      <c r="AG53" s="10"/>
    </row>
    <row r="54" spans="1:33" x14ac:dyDescent="0.25">
      <c r="A54" s="211" t="s">
        <v>372</v>
      </c>
      <c r="B54" s="48">
        <v>3.1466710126002146</v>
      </c>
      <c r="C54" s="10"/>
      <c r="D54" s="10"/>
      <c r="E54" s="10"/>
      <c r="F54" s="10"/>
      <c r="G54" s="209"/>
      <c r="H54"/>
      <c r="I54" s="211" t="s">
        <v>372</v>
      </c>
      <c r="J54" s="48">
        <v>3.2496153618543842</v>
      </c>
      <c r="K54" s="10"/>
      <c r="L54" s="10"/>
      <c r="M54" s="10"/>
      <c r="N54" s="10"/>
      <c r="O54" s="209"/>
      <c r="P54" s="211" t="s">
        <v>372</v>
      </c>
      <c r="Q54" s="48">
        <v>3.5687532837112741</v>
      </c>
      <c r="R54" s="10"/>
      <c r="S54" s="10"/>
      <c r="T54" s="10"/>
      <c r="U54" s="10"/>
      <c r="V54" s="209"/>
      <c r="X54" s="48"/>
      <c r="Y54" s="48"/>
      <c r="Z54" s="10"/>
      <c r="AA54" s="10"/>
      <c r="AB54" s="10"/>
      <c r="AC54" s="10"/>
      <c r="AD54" s="10"/>
      <c r="AE54" s="10"/>
      <c r="AF54" s="10"/>
      <c r="AG54" s="10"/>
    </row>
    <row r="55" spans="1:33" ht="15.75" thickBot="1" x14ac:dyDescent="0.3">
      <c r="A55" s="212" t="s">
        <v>373</v>
      </c>
      <c r="B55" s="203">
        <v>32</v>
      </c>
      <c r="C55" s="10"/>
      <c r="D55" s="10"/>
      <c r="E55" s="10"/>
      <c r="F55" s="10"/>
      <c r="G55" s="209"/>
      <c r="H55"/>
      <c r="I55" s="212" t="s">
        <v>373</v>
      </c>
      <c r="J55" s="203">
        <v>16</v>
      </c>
      <c r="K55" s="10"/>
      <c r="L55" s="10"/>
      <c r="M55" s="10"/>
      <c r="N55" s="10"/>
      <c r="O55" s="209"/>
      <c r="P55" s="212" t="s">
        <v>373</v>
      </c>
      <c r="Q55" s="203">
        <v>16</v>
      </c>
      <c r="R55" s="10"/>
      <c r="S55" s="10"/>
      <c r="T55" s="10"/>
      <c r="U55" s="10"/>
      <c r="V55" s="209"/>
      <c r="X55" s="48"/>
      <c r="Y55" s="48"/>
      <c r="Z55" s="10"/>
      <c r="AA55" s="10"/>
      <c r="AB55" s="10"/>
      <c r="AC55" s="10"/>
      <c r="AD55" s="10"/>
      <c r="AE55" s="10"/>
      <c r="AF55" s="10"/>
      <c r="AG55" s="10"/>
    </row>
    <row r="56" spans="1:33" x14ac:dyDescent="0.25">
      <c r="A56" s="208"/>
      <c r="B56" s="10"/>
      <c r="C56" s="10"/>
      <c r="D56" s="10"/>
      <c r="E56" s="10"/>
      <c r="F56" s="10"/>
      <c r="G56" s="209"/>
      <c r="H56"/>
      <c r="I56" s="208"/>
      <c r="J56" s="10"/>
      <c r="K56" s="10"/>
      <c r="L56" s="10"/>
      <c r="M56" s="10"/>
      <c r="N56" s="10"/>
      <c r="O56" s="209"/>
      <c r="P56" s="208"/>
      <c r="Q56" s="10"/>
      <c r="R56" s="10"/>
      <c r="S56" s="10"/>
      <c r="T56" s="10"/>
      <c r="U56" s="10"/>
      <c r="V56" s="209"/>
      <c r="X56" s="10"/>
      <c r="Y56" s="10"/>
      <c r="Z56" s="10"/>
      <c r="AA56" s="10"/>
      <c r="AB56" s="10"/>
      <c r="AC56" s="10"/>
      <c r="AD56" s="10"/>
      <c r="AE56" s="10"/>
      <c r="AF56" s="10"/>
      <c r="AG56" s="10"/>
    </row>
    <row r="57" spans="1:33" ht="15.75" thickBot="1" x14ac:dyDescent="0.3">
      <c r="A57" s="208" t="s">
        <v>374</v>
      </c>
      <c r="B57" s="10"/>
      <c r="C57" s="10"/>
      <c r="D57" s="10"/>
      <c r="E57" s="10"/>
      <c r="F57" s="10"/>
      <c r="G57" s="209"/>
      <c r="H57"/>
      <c r="I57" s="208" t="s">
        <v>374</v>
      </c>
      <c r="J57" s="10"/>
      <c r="K57" s="10"/>
      <c r="L57" s="10"/>
      <c r="M57" s="10"/>
      <c r="N57" s="10"/>
      <c r="O57" s="209"/>
      <c r="P57" s="208" t="s">
        <v>374</v>
      </c>
      <c r="Q57" s="10"/>
      <c r="R57" s="10"/>
      <c r="S57" s="10"/>
      <c r="T57" s="10"/>
      <c r="U57" s="10"/>
      <c r="V57" s="209"/>
      <c r="X57" s="10"/>
      <c r="Y57" s="10"/>
      <c r="Z57" s="10"/>
      <c r="AA57" s="10"/>
      <c r="AB57" s="10"/>
      <c r="AC57" s="10"/>
      <c r="AD57" s="10"/>
      <c r="AE57" s="10"/>
      <c r="AF57" s="10"/>
      <c r="AG57" s="10"/>
    </row>
    <row r="58" spans="1:33" x14ac:dyDescent="0.25">
      <c r="A58" s="213"/>
      <c r="B58" s="204" t="s">
        <v>205</v>
      </c>
      <c r="C58" s="204" t="s">
        <v>206</v>
      </c>
      <c r="D58" s="204" t="s">
        <v>207</v>
      </c>
      <c r="E58" s="204" t="s">
        <v>208</v>
      </c>
      <c r="F58" s="204" t="s">
        <v>375</v>
      </c>
      <c r="G58" s="209"/>
      <c r="H58"/>
      <c r="I58" s="213"/>
      <c r="J58" s="204" t="s">
        <v>205</v>
      </c>
      <c r="K58" s="204" t="s">
        <v>206</v>
      </c>
      <c r="L58" s="204" t="s">
        <v>207</v>
      </c>
      <c r="M58" s="204" t="s">
        <v>208</v>
      </c>
      <c r="N58" s="204" t="s">
        <v>375</v>
      </c>
      <c r="O58" s="209"/>
      <c r="P58" s="213"/>
      <c r="Q58" s="204" t="s">
        <v>205</v>
      </c>
      <c r="R58" s="204" t="s">
        <v>206</v>
      </c>
      <c r="S58" s="204" t="s">
        <v>207</v>
      </c>
      <c r="T58" s="204" t="s">
        <v>208</v>
      </c>
      <c r="U58" s="204" t="s">
        <v>375</v>
      </c>
      <c r="V58" s="209"/>
      <c r="X58" s="57"/>
      <c r="Y58" s="57"/>
      <c r="Z58" s="57"/>
      <c r="AA58" s="57"/>
      <c r="AB58" s="57"/>
      <c r="AC58" s="57"/>
      <c r="AD58" s="10"/>
      <c r="AE58" s="10"/>
      <c r="AF58" s="10"/>
      <c r="AG58" s="10"/>
    </row>
    <row r="59" spans="1:33" x14ac:dyDescent="0.25">
      <c r="A59" s="211" t="s">
        <v>376</v>
      </c>
      <c r="B59" s="48">
        <v>5</v>
      </c>
      <c r="C59" s="48">
        <v>579.04</v>
      </c>
      <c r="D59" s="48">
        <v>115.80799999999999</v>
      </c>
      <c r="E59" s="48">
        <v>11.695960223741453</v>
      </c>
      <c r="F59" s="48">
        <v>5.4282946390301009E-6</v>
      </c>
      <c r="G59" s="209"/>
      <c r="H59"/>
      <c r="I59" s="211" t="s">
        <v>376</v>
      </c>
      <c r="J59" s="48">
        <v>5</v>
      </c>
      <c r="K59" s="48">
        <v>272.15999999999997</v>
      </c>
      <c r="L59" s="48">
        <v>54.431999999999995</v>
      </c>
      <c r="M59" s="48">
        <v>5.1545454545454543</v>
      </c>
      <c r="N59" s="48">
        <v>1.3465227838793318E-2</v>
      </c>
      <c r="O59" s="209"/>
      <c r="P59" s="211" t="s">
        <v>376</v>
      </c>
      <c r="Q59" s="48">
        <v>5</v>
      </c>
      <c r="R59" s="48">
        <v>330.07999999999993</v>
      </c>
      <c r="S59" s="48">
        <v>66.015999999999991</v>
      </c>
      <c r="T59" s="48">
        <v>5.1834170854271351</v>
      </c>
      <c r="U59" s="48">
        <v>1.3220832321391663E-2</v>
      </c>
      <c r="V59" s="209"/>
      <c r="X59" s="48"/>
      <c r="Y59" s="48"/>
      <c r="Z59" s="48"/>
      <c r="AA59" s="48"/>
      <c r="AB59" s="48"/>
      <c r="AC59" s="48"/>
      <c r="AD59" s="10"/>
      <c r="AE59" s="10"/>
      <c r="AF59" s="10"/>
      <c r="AG59" s="10"/>
    </row>
    <row r="60" spans="1:33" x14ac:dyDescent="0.25">
      <c r="A60" s="211" t="s">
        <v>377</v>
      </c>
      <c r="B60" s="48">
        <v>26</v>
      </c>
      <c r="C60" s="48">
        <v>257.44</v>
      </c>
      <c r="D60" s="48">
        <v>9.9015384615384612</v>
      </c>
      <c r="E60" s="48"/>
      <c r="F60" s="48"/>
      <c r="G60" s="209"/>
      <c r="H60"/>
      <c r="I60" s="211" t="s">
        <v>377</v>
      </c>
      <c r="J60" s="48">
        <v>10</v>
      </c>
      <c r="K60" s="48">
        <v>105.6</v>
      </c>
      <c r="L60" s="48">
        <v>10.559999999999999</v>
      </c>
      <c r="M60" s="48"/>
      <c r="N60" s="48"/>
      <c r="O60" s="209"/>
      <c r="P60" s="211" t="s">
        <v>377</v>
      </c>
      <c r="Q60" s="48">
        <v>10</v>
      </c>
      <c r="R60" s="48">
        <v>127.36000000000001</v>
      </c>
      <c r="S60" s="48">
        <v>12.736000000000001</v>
      </c>
      <c r="T60" s="48"/>
      <c r="U60" s="48"/>
      <c r="V60" s="209"/>
      <c r="X60" s="48"/>
      <c r="Y60" s="48"/>
      <c r="Z60" s="48"/>
      <c r="AA60" s="48"/>
      <c r="AB60" s="48"/>
      <c r="AC60" s="48"/>
      <c r="AD60" s="10"/>
      <c r="AE60" s="10"/>
      <c r="AF60" s="10"/>
      <c r="AG60" s="10"/>
    </row>
    <row r="61" spans="1:33" ht="15.75" thickBot="1" x14ac:dyDescent="0.3">
      <c r="A61" s="212" t="s">
        <v>378</v>
      </c>
      <c r="B61" s="203">
        <v>31</v>
      </c>
      <c r="C61" s="203">
        <v>836.48</v>
      </c>
      <c r="D61" s="203"/>
      <c r="E61" s="203"/>
      <c r="F61" s="203"/>
      <c r="G61" s="209"/>
      <c r="H61"/>
      <c r="I61" s="212" t="s">
        <v>378</v>
      </c>
      <c r="J61" s="203">
        <v>15</v>
      </c>
      <c r="K61" s="203">
        <v>377.76</v>
      </c>
      <c r="L61" s="203"/>
      <c r="M61" s="203"/>
      <c r="N61" s="203"/>
      <c r="O61" s="209"/>
      <c r="P61" s="212" t="s">
        <v>378</v>
      </c>
      <c r="Q61" s="203">
        <v>15</v>
      </c>
      <c r="R61" s="203">
        <v>457.43999999999994</v>
      </c>
      <c r="S61" s="203"/>
      <c r="T61" s="203"/>
      <c r="U61" s="203"/>
      <c r="V61" s="209"/>
      <c r="X61" s="48"/>
      <c r="Y61" s="48"/>
      <c r="Z61" s="48"/>
      <c r="AA61" s="48"/>
      <c r="AB61" s="48"/>
      <c r="AC61" s="48"/>
      <c r="AD61" s="10"/>
      <c r="AE61" s="10"/>
      <c r="AF61" s="10"/>
      <c r="AG61" s="10"/>
    </row>
    <row r="62" spans="1:33" ht="15.75" thickBot="1" x14ac:dyDescent="0.3">
      <c r="A62" s="208"/>
      <c r="B62" s="10"/>
      <c r="C62" s="10"/>
      <c r="D62" s="10"/>
      <c r="E62" s="10"/>
      <c r="F62" s="10"/>
      <c r="G62" s="209"/>
      <c r="H62" s="57"/>
      <c r="I62" s="208"/>
      <c r="J62" s="10"/>
      <c r="K62" s="10"/>
      <c r="L62" s="10"/>
      <c r="M62" s="10"/>
      <c r="N62" s="10"/>
      <c r="O62" s="209"/>
      <c r="P62" s="208"/>
      <c r="Q62" s="10"/>
      <c r="R62" s="10"/>
      <c r="S62" s="10"/>
      <c r="T62" s="10"/>
      <c r="U62" s="10"/>
      <c r="V62" s="209"/>
      <c r="X62" s="10"/>
      <c r="Y62" s="10"/>
      <c r="Z62" s="10"/>
      <c r="AA62" s="10"/>
      <c r="AB62" s="10"/>
      <c r="AC62" s="10"/>
      <c r="AD62" s="10"/>
      <c r="AE62" s="10"/>
      <c r="AF62" s="10"/>
      <c r="AG62" s="10"/>
    </row>
    <row r="63" spans="1:33" x14ac:dyDescent="0.25">
      <c r="A63" s="213"/>
      <c r="B63" s="204" t="s">
        <v>379</v>
      </c>
      <c r="C63" s="204" t="s">
        <v>372</v>
      </c>
      <c r="D63" s="204" t="s">
        <v>380</v>
      </c>
      <c r="E63" s="204" t="s">
        <v>381</v>
      </c>
      <c r="F63" s="204" t="s">
        <v>382</v>
      </c>
      <c r="G63" s="214" t="s">
        <v>383</v>
      </c>
      <c r="H63" s="48"/>
      <c r="I63" s="213"/>
      <c r="J63" s="204" t="s">
        <v>379</v>
      </c>
      <c r="K63" s="204" t="s">
        <v>372</v>
      </c>
      <c r="L63" s="204" t="s">
        <v>380</v>
      </c>
      <c r="M63" s="204" t="s">
        <v>381</v>
      </c>
      <c r="N63" s="204" t="s">
        <v>382</v>
      </c>
      <c r="O63" s="214" t="s">
        <v>383</v>
      </c>
      <c r="P63" s="213"/>
      <c r="Q63" s="204" t="s">
        <v>379</v>
      </c>
      <c r="R63" s="204" t="s">
        <v>372</v>
      </c>
      <c r="S63" s="204" t="s">
        <v>380</v>
      </c>
      <c r="T63" s="204" t="s">
        <v>381</v>
      </c>
      <c r="U63" s="204" t="s">
        <v>382</v>
      </c>
      <c r="V63" s="214" t="s">
        <v>383</v>
      </c>
      <c r="X63" s="57"/>
      <c r="Y63" s="57"/>
      <c r="Z63" s="57"/>
      <c r="AA63" s="57"/>
      <c r="AB63" s="57"/>
      <c r="AC63" s="57"/>
      <c r="AD63" s="57"/>
      <c r="AE63" s="57"/>
      <c r="AF63" s="57"/>
      <c r="AG63" s="10"/>
    </row>
    <row r="64" spans="1:33" x14ac:dyDescent="0.25">
      <c r="A64" s="211" t="s">
        <v>384</v>
      </c>
      <c r="B64" s="48">
        <v>7.5000000000000018</v>
      </c>
      <c r="C64" s="48">
        <v>0.55625810279318799</v>
      </c>
      <c r="D64" s="48">
        <v>13.482949663725506</v>
      </c>
      <c r="E64" s="48">
        <v>3.0384215519967003E-13</v>
      </c>
      <c r="F64" s="48">
        <v>6.3565950942249705</v>
      </c>
      <c r="G64" s="215">
        <v>8.6434049057750322</v>
      </c>
      <c r="H64" s="48"/>
      <c r="I64" s="211" t="s">
        <v>384</v>
      </c>
      <c r="J64" s="48">
        <v>7.3000000000000007</v>
      </c>
      <c r="K64" s="48">
        <v>0.81240384046359604</v>
      </c>
      <c r="L64" s="48">
        <v>8.9856788414912909</v>
      </c>
      <c r="M64" s="48">
        <v>4.1977168552481962E-6</v>
      </c>
      <c r="N64" s="48">
        <v>5.4898514395602032</v>
      </c>
      <c r="O64" s="215">
        <v>9.1101485604397983</v>
      </c>
      <c r="P64" s="211" t="s">
        <v>384</v>
      </c>
      <c r="Q64" s="48">
        <v>7.7</v>
      </c>
      <c r="R64" s="48">
        <v>0.89218832092781852</v>
      </c>
      <c r="S64" s="48">
        <v>8.6304649134977414</v>
      </c>
      <c r="T64" s="48">
        <v>6.0229513706796315E-6</v>
      </c>
      <c r="U64" s="48">
        <v>5.7120805388523284</v>
      </c>
      <c r="V64" s="215">
        <v>9.687919461147672</v>
      </c>
      <c r="X64" s="48"/>
      <c r="Y64" s="48"/>
      <c r="Z64" s="48"/>
      <c r="AA64" s="48"/>
      <c r="AB64" s="48"/>
      <c r="AC64" s="48"/>
      <c r="AD64" s="48"/>
      <c r="AE64" s="48"/>
      <c r="AF64" s="48"/>
      <c r="AG64" s="10"/>
    </row>
    <row r="65" spans="1:33" x14ac:dyDescent="0.25">
      <c r="A65" s="211" t="s">
        <v>250</v>
      </c>
      <c r="B65" s="48">
        <v>-9.9999999999999881E-2</v>
      </c>
      <c r="C65" s="48">
        <v>0.55625810279318799</v>
      </c>
      <c r="D65" s="48">
        <v>-0.17977266218300647</v>
      </c>
      <c r="E65" s="67">
        <v>0.85872480431536524</v>
      </c>
      <c r="F65" s="48">
        <v>-1.2434049057750312</v>
      </c>
      <c r="G65" s="215">
        <v>1.0434049057750314</v>
      </c>
      <c r="H65" s="48"/>
      <c r="I65" s="211" t="s">
        <v>250</v>
      </c>
      <c r="J65" s="48">
        <v>3.3306690738754696E-16</v>
      </c>
      <c r="K65" s="48">
        <v>0.81240384046359604</v>
      </c>
      <c r="L65" s="48">
        <v>4.0997702226208488E-16</v>
      </c>
      <c r="M65" s="67">
        <v>1</v>
      </c>
      <c r="N65" s="48">
        <v>-1.8101485604397971</v>
      </c>
      <c r="O65" s="215">
        <v>1.8101485604397975</v>
      </c>
      <c r="P65" s="211" t="s">
        <v>250</v>
      </c>
      <c r="Q65" s="48">
        <v>-0.20000000000000018</v>
      </c>
      <c r="R65" s="48">
        <v>0.89218832092781852</v>
      </c>
      <c r="S65" s="48">
        <v>-0.22416791983111034</v>
      </c>
      <c r="T65" s="67">
        <v>0.82714032961100115</v>
      </c>
      <c r="U65" s="48">
        <v>-2.1879194611476716</v>
      </c>
      <c r="V65" s="215">
        <v>1.7879194611476712</v>
      </c>
      <c r="X65" s="48"/>
      <c r="Y65" s="48"/>
      <c r="Z65" s="48"/>
      <c r="AA65" s="48"/>
      <c r="AB65" s="48"/>
      <c r="AC65" s="48"/>
      <c r="AD65" s="48"/>
      <c r="AE65" s="48"/>
      <c r="AF65" s="48"/>
      <c r="AG65" s="10"/>
    </row>
    <row r="66" spans="1:33" x14ac:dyDescent="0.25">
      <c r="A66" s="211" t="s">
        <v>251</v>
      </c>
      <c r="B66" s="48">
        <v>-2.2500000000000009</v>
      </c>
      <c r="C66" s="48">
        <v>0.5562581027931881</v>
      </c>
      <c r="D66" s="48">
        <v>-4.0448848991176511</v>
      </c>
      <c r="E66" s="67">
        <v>4.1582813173486507E-4</v>
      </c>
      <c r="F66" s="48">
        <v>-3.3934049057750322</v>
      </c>
      <c r="G66" s="215">
        <v>-1.1065950942249694</v>
      </c>
      <c r="H66" s="48"/>
      <c r="I66" s="211" t="s">
        <v>251</v>
      </c>
      <c r="J66" s="48">
        <v>-2.1999999999999993</v>
      </c>
      <c r="K66" s="48">
        <v>0.81240384046359604</v>
      </c>
      <c r="L66" s="48">
        <v>-2.7080128015453191</v>
      </c>
      <c r="M66" s="67">
        <v>2.2008556958211165E-2</v>
      </c>
      <c r="N66" s="48">
        <v>-4.0101485604397968</v>
      </c>
      <c r="O66" s="215">
        <v>-0.38985143956020196</v>
      </c>
      <c r="P66" s="211" t="s">
        <v>251</v>
      </c>
      <c r="Q66" s="48">
        <v>-2.3000000000000003</v>
      </c>
      <c r="R66" s="48">
        <v>0.89218832092781852</v>
      </c>
      <c r="S66" s="48">
        <v>-2.5779310780577669</v>
      </c>
      <c r="T66" s="67">
        <v>2.7513785711309646E-2</v>
      </c>
      <c r="U66" s="48">
        <v>-4.2879194611476716</v>
      </c>
      <c r="V66" s="215">
        <v>-0.31208053885232889</v>
      </c>
      <c r="X66" s="48"/>
      <c r="Y66" s="48"/>
      <c r="Z66" s="48"/>
      <c r="AA66" s="48"/>
      <c r="AB66" s="48"/>
      <c r="AC66" s="48"/>
      <c r="AD66" s="48"/>
      <c r="AE66" s="48"/>
      <c r="AF66" s="48"/>
      <c r="AG66" s="10"/>
    </row>
    <row r="67" spans="1:33" x14ac:dyDescent="0.25">
      <c r="A67" s="211" t="s">
        <v>252</v>
      </c>
      <c r="B67" s="48">
        <v>-2.9999999999999996</v>
      </c>
      <c r="C67" s="48">
        <v>0.55625810279318799</v>
      </c>
      <c r="D67" s="48">
        <v>-5.3931798654902003</v>
      </c>
      <c r="E67" s="67">
        <v>1.1941791301724171E-5</v>
      </c>
      <c r="F67" s="48">
        <v>-4.1434049057750304</v>
      </c>
      <c r="G67" s="215">
        <v>-1.8565950942249683</v>
      </c>
      <c r="H67" s="48"/>
      <c r="I67" s="211" t="s">
        <v>252</v>
      </c>
      <c r="J67" s="48">
        <v>-2.4999999999999991</v>
      </c>
      <c r="K67" s="48">
        <v>0.81240384046359604</v>
      </c>
      <c r="L67" s="48">
        <v>-3.0772872744833171</v>
      </c>
      <c r="M67" s="67">
        <v>1.1694620592273147E-2</v>
      </c>
      <c r="N67" s="48">
        <v>-4.3101485604397967</v>
      </c>
      <c r="O67" s="215">
        <v>-0.68985143956020178</v>
      </c>
      <c r="P67" s="211" t="s">
        <v>252</v>
      </c>
      <c r="Q67" s="48">
        <v>-3.4999999999999996</v>
      </c>
      <c r="R67" s="48">
        <v>0.89218832092781852</v>
      </c>
      <c r="S67" s="48">
        <v>-3.922938597044427</v>
      </c>
      <c r="T67" s="67">
        <v>2.8527224393513507E-3</v>
      </c>
      <c r="U67" s="48">
        <v>-5.4879194611476709</v>
      </c>
      <c r="V67" s="215">
        <v>-1.5120805388523282</v>
      </c>
      <c r="X67" s="48"/>
      <c r="Y67" s="48"/>
      <c r="Z67" s="48"/>
      <c r="AA67" s="48"/>
      <c r="AB67" s="48"/>
      <c r="AC67" s="48"/>
      <c r="AD67" s="48"/>
      <c r="AE67" s="48"/>
      <c r="AF67" s="48"/>
      <c r="AG67" s="10"/>
    </row>
    <row r="68" spans="1:33" x14ac:dyDescent="0.25">
      <c r="A68" s="211" t="s">
        <v>362</v>
      </c>
      <c r="B68" s="48">
        <v>2.0000000000000004</v>
      </c>
      <c r="C68" s="48">
        <v>0.5562581027931881</v>
      </c>
      <c r="D68" s="48">
        <v>3.5954532436601339</v>
      </c>
      <c r="E68" s="67">
        <v>1.329931034845195E-3</v>
      </c>
      <c r="F68" s="48">
        <v>0.85659509422496893</v>
      </c>
      <c r="G68" s="215">
        <v>3.1434049057750322</v>
      </c>
      <c r="H68" s="48"/>
      <c r="I68" s="211" t="s">
        <v>362</v>
      </c>
      <c r="J68" s="48">
        <v>2.3999999999999995</v>
      </c>
      <c r="K68" s="48">
        <v>0.81240384046359604</v>
      </c>
      <c r="L68" s="48">
        <v>2.9541957835039847</v>
      </c>
      <c r="M68" s="67">
        <v>1.4430695603288234E-2</v>
      </c>
      <c r="N68" s="48">
        <v>0.58985143956020214</v>
      </c>
      <c r="O68" s="215">
        <v>4.210148560439797</v>
      </c>
      <c r="P68" s="211" t="s">
        <v>362</v>
      </c>
      <c r="Q68" s="48">
        <v>1.5999999999999994</v>
      </c>
      <c r="R68" s="48">
        <v>0.89218832092781852</v>
      </c>
      <c r="S68" s="48">
        <v>1.7933433586488805</v>
      </c>
      <c r="T68" s="373">
        <v>0.10316431769998131</v>
      </c>
      <c r="U68" s="48">
        <v>-0.38791946114767195</v>
      </c>
      <c r="V68" s="215">
        <v>3.5879194611476706</v>
      </c>
      <c r="X68" s="48"/>
      <c r="Y68" s="48"/>
      <c r="Z68" s="48"/>
      <c r="AA68" s="48"/>
      <c r="AB68" s="48"/>
      <c r="AC68" s="48"/>
      <c r="AD68" s="48"/>
      <c r="AE68" s="48"/>
      <c r="AF68" s="48"/>
      <c r="AG68" s="10"/>
    </row>
    <row r="69" spans="1:33" ht="15.75" thickBot="1" x14ac:dyDescent="0.3">
      <c r="A69" s="212" t="s">
        <v>363</v>
      </c>
      <c r="B69" s="203">
        <v>0.15000000000000019</v>
      </c>
      <c r="C69" s="203">
        <v>0.5562581027931881</v>
      </c>
      <c r="D69" s="203">
        <v>0.26965899327451032</v>
      </c>
      <c r="E69" s="217">
        <v>0.78955129429183502</v>
      </c>
      <c r="F69" s="203">
        <v>-0.99340490577503138</v>
      </c>
      <c r="G69" s="216">
        <v>1.2934049057750316</v>
      </c>
      <c r="H69"/>
      <c r="I69" s="212" t="s">
        <v>365</v>
      </c>
      <c r="J69" s="203">
        <v>-0.39999999999999947</v>
      </c>
      <c r="K69" s="203">
        <v>0.81240384046359604</v>
      </c>
      <c r="L69" s="203">
        <v>-0.49236596391733028</v>
      </c>
      <c r="M69" s="217">
        <v>0.63309068124626211</v>
      </c>
      <c r="N69" s="203">
        <v>-2.210148560439797</v>
      </c>
      <c r="O69" s="216">
        <v>1.4101485604397979</v>
      </c>
      <c r="P69" s="212" t="s">
        <v>367</v>
      </c>
      <c r="Q69" s="203">
        <v>0.69999999999999973</v>
      </c>
      <c r="R69" s="203">
        <v>0.89218832092781852</v>
      </c>
      <c r="S69" s="203">
        <v>0.78458771940888528</v>
      </c>
      <c r="T69" s="217">
        <v>0.45088153445939472</v>
      </c>
      <c r="U69" s="203">
        <v>-1.2879194611476716</v>
      </c>
      <c r="V69" s="216">
        <v>2.6879194611476711</v>
      </c>
      <c r="X69" s="48"/>
      <c r="Y69" s="48"/>
      <c r="Z69" s="48"/>
      <c r="AA69" s="48"/>
      <c r="AB69" s="48"/>
      <c r="AC69" s="48"/>
      <c r="AD69" s="48"/>
      <c r="AE69" s="48"/>
      <c r="AF69" s="48"/>
      <c r="AG69" s="10"/>
    </row>
    <row r="70" spans="1:33" x14ac:dyDescent="0.25">
      <c r="A70"/>
      <c r="B70"/>
      <c r="C70"/>
      <c r="D70"/>
      <c r="E70"/>
      <c r="F70"/>
      <c r="G70"/>
      <c r="H70"/>
      <c r="J70"/>
      <c r="K70"/>
      <c r="L70"/>
      <c r="M70"/>
      <c r="N70"/>
      <c r="O70"/>
      <c r="P70"/>
      <c r="X70" s="10"/>
      <c r="Y70" s="10"/>
      <c r="Z70" s="10"/>
      <c r="AA70" s="10"/>
      <c r="AB70" s="10"/>
      <c r="AC70" s="10"/>
      <c r="AD70" s="10"/>
      <c r="AE70" s="10"/>
      <c r="AF70" s="10"/>
      <c r="AG70" s="10"/>
    </row>
    <row r="71" spans="1:33" x14ac:dyDescent="0.25">
      <c r="A71" s="10"/>
      <c r="B71" s="10"/>
      <c r="C71" s="10"/>
      <c r="D71" s="10"/>
      <c r="E71" s="10"/>
      <c r="F71" s="10"/>
      <c r="G71" s="10"/>
      <c r="H71" s="10"/>
      <c r="J71"/>
      <c r="K71"/>
      <c r="L71"/>
      <c r="M71"/>
      <c r="N71"/>
      <c r="O71"/>
      <c r="P71"/>
    </row>
    <row r="72" spans="1:33" x14ac:dyDescent="0.25">
      <c r="A72" s="10"/>
      <c r="B72" s="10"/>
      <c r="C72" s="10"/>
      <c r="D72" s="10"/>
      <c r="E72" s="10"/>
      <c r="F72" s="10"/>
      <c r="G72" s="10"/>
      <c r="H72" s="10"/>
      <c r="I72" s="10"/>
    </row>
    <row r="73" spans="1:33" x14ac:dyDescent="0.25">
      <c r="A73" s="56"/>
      <c r="B73" s="56"/>
      <c r="C73" s="10"/>
      <c r="D73" s="10"/>
      <c r="E73" s="10"/>
      <c r="F73" s="10"/>
      <c r="G73" s="10"/>
      <c r="H73" s="10"/>
      <c r="I73" s="10"/>
    </row>
    <row r="74" spans="1:33" x14ac:dyDescent="0.25">
      <c r="A74" s="48"/>
      <c r="B74" s="48"/>
      <c r="C74" s="10"/>
      <c r="D74" s="10"/>
      <c r="E74" s="10"/>
      <c r="F74" s="10"/>
      <c r="G74" s="10"/>
      <c r="H74" s="10"/>
      <c r="I74" s="10"/>
    </row>
    <row r="75" spans="1:33" x14ac:dyDescent="0.25">
      <c r="A75" s="48"/>
      <c r="B75" s="48"/>
      <c r="C75" s="10"/>
      <c r="D75" s="10"/>
      <c r="E75" s="10"/>
      <c r="F75" s="10"/>
      <c r="G75" s="10"/>
      <c r="H75" s="10"/>
      <c r="I75" s="10"/>
    </row>
    <row r="76" spans="1:33" x14ac:dyDescent="0.25">
      <c r="A76" s="48"/>
      <c r="B76" s="48"/>
      <c r="C76" s="10"/>
      <c r="D76" s="10"/>
      <c r="E76" s="10"/>
      <c r="F76" s="10"/>
      <c r="G76" s="10"/>
      <c r="H76" s="10"/>
      <c r="I76" s="10"/>
    </row>
    <row r="77" spans="1:33" x14ac:dyDescent="0.25">
      <c r="A77" s="48"/>
      <c r="B77" s="48"/>
      <c r="C77" s="10"/>
      <c r="D77" s="10"/>
      <c r="E77" s="10"/>
      <c r="F77" s="10"/>
      <c r="G77" s="10"/>
      <c r="H77" s="10"/>
      <c r="I77" s="10"/>
    </row>
    <row r="78" spans="1:33" x14ac:dyDescent="0.25">
      <c r="A78" s="48"/>
      <c r="B78" s="48"/>
      <c r="C78" s="10"/>
      <c r="D78" s="10"/>
      <c r="E78" s="10"/>
      <c r="F78" s="10"/>
      <c r="G78" s="10"/>
      <c r="H78" s="10"/>
      <c r="I78" s="10"/>
    </row>
    <row r="79" spans="1:33" x14ac:dyDescent="0.25">
      <c r="A79" s="10"/>
      <c r="B79" s="10"/>
      <c r="C79" s="10"/>
      <c r="D79" s="10"/>
      <c r="E79" s="10"/>
      <c r="F79" s="10"/>
      <c r="G79" s="10"/>
      <c r="H79" s="10"/>
      <c r="I79" s="10"/>
    </row>
    <row r="80" spans="1:33" x14ac:dyDescent="0.25">
      <c r="A80" s="10"/>
      <c r="B80" s="10"/>
      <c r="C80" s="10"/>
      <c r="D80" s="10"/>
      <c r="E80" s="10"/>
      <c r="F80" s="10"/>
      <c r="G80" s="10"/>
      <c r="H80" s="10"/>
      <c r="I80" s="10"/>
    </row>
    <row r="81" spans="1:16" x14ac:dyDescent="0.25">
      <c r="A81" s="57"/>
      <c r="B81" s="57"/>
      <c r="C81" s="57"/>
      <c r="D81" s="57"/>
      <c r="E81" s="57"/>
      <c r="F81" s="57"/>
      <c r="G81" s="10"/>
      <c r="H81" s="10"/>
      <c r="I81" s="10"/>
    </row>
    <row r="82" spans="1:16" x14ac:dyDescent="0.25">
      <c r="A82" s="48"/>
      <c r="B82" s="48"/>
      <c r="C82" s="48"/>
      <c r="D82" s="48"/>
      <c r="E82" s="48"/>
      <c r="F82" s="48"/>
      <c r="G82" s="10"/>
      <c r="H82" s="10"/>
      <c r="I82" s="10"/>
    </row>
    <row r="83" spans="1:16" x14ac:dyDescent="0.25">
      <c r="A83" s="48"/>
      <c r="B83" s="48"/>
      <c r="C83" s="48"/>
      <c r="D83" s="48"/>
      <c r="E83" s="48"/>
      <c r="F83" s="48"/>
      <c r="G83" s="10"/>
      <c r="H83" s="10"/>
      <c r="I83" s="10"/>
    </row>
    <row r="84" spans="1:16" x14ac:dyDescent="0.25">
      <c r="A84" s="48"/>
      <c r="B84" s="48"/>
      <c r="C84" s="48"/>
      <c r="D84" s="48"/>
      <c r="E84" s="48"/>
      <c r="F84" s="48"/>
      <c r="G84" s="10"/>
      <c r="H84" s="10"/>
      <c r="I84" s="10"/>
    </row>
    <row r="85" spans="1:16" x14ac:dyDescent="0.25">
      <c r="A85" s="10"/>
      <c r="B85" s="10"/>
      <c r="C85" s="10"/>
      <c r="D85" s="10"/>
      <c r="E85" s="10"/>
      <c r="F85" s="10"/>
      <c r="G85" s="10"/>
      <c r="H85" s="10"/>
      <c r="I85" s="10"/>
    </row>
    <row r="86" spans="1:16" x14ac:dyDescent="0.25">
      <c r="A86" s="57"/>
      <c r="B86" s="57"/>
      <c r="C86" s="57"/>
      <c r="D86" s="57"/>
      <c r="E86" s="57"/>
      <c r="F86" s="57"/>
      <c r="G86" s="57"/>
      <c r="H86" s="57"/>
      <c r="I86" s="57"/>
    </row>
    <row r="87" spans="1:16" x14ac:dyDescent="0.25">
      <c r="A87" s="48"/>
      <c r="B87" s="48"/>
      <c r="C87" s="48"/>
      <c r="D87" s="48"/>
      <c r="E87" s="48"/>
      <c r="F87" s="48"/>
      <c r="G87" s="48"/>
      <c r="H87" s="48"/>
      <c r="I87" s="48"/>
      <c r="J87"/>
      <c r="K87"/>
      <c r="L87"/>
      <c r="M87"/>
      <c r="N87"/>
      <c r="O87"/>
      <c r="P87"/>
    </row>
    <row r="88" spans="1:16" x14ac:dyDescent="0.25">
      <c r="A88" s="48"/>
      <c r="B88" s="48"/>
      <c r="C88" s="48"/>
      <c r="D88" s="48"/>
      <c r="E88" s="48"/>
      <c r="F88" s="48"/>
      <c r="G88" s="48"/>
      <c r="H88" s="48"/>
      <c r="I88" s="48"/>
      <c r="J88"/>
      <c r="K88"/>
      <c r="L88"/>
      <c r="M88"/>
      <c r="N88"/>
      <c r="O88"/>
      <c r="P88"/>
    </row>
    <row r="89" spans="1:16" x14ac:dyDescent="0.25">
      <c r="A89" s="48"/>
      <c r="B89" s="48"/>
      <c r="C89" s="48"/>
      <c r="D89" s="48"/>
      <c r="E89" s="48"/>
      <c r="F89" s="48"/>
      <c r="G89" s="48"/>
      <c r="H89" s="48"/>
      <c r="I89" s="48"/>
      <c r="J89"/>
      <c r="K89"/>
      <c r="L89"/>
      <c r="M89"/>
      <c r="N89"/>
      <c r="O89"/>
      <c r="P89"/>
    </row>
    <row r="90" spans="1:16" x14ac:dyDescent="0.25">
      <c r="A90" s="48"/>
      <c r="B90" s="48"/>
      <c r="C90" s="48"/>
      <c r="D90" s="48"/>
      <c r="E90" s="48"/>
      <c r="F90" s="48"/>
      <c r="G90" s="48"/>
      <c r="H90" s="48"/>
      <c r="I90" s="48"/>
      <c r="J90"/>
      <c r="K90"/>
      <c r="L90"/>
      <c r="M90"/>
      <c r="N90"/>
      <c r="O90"/>
      <c r="P90"/>
    </row>
    <row r="91" spans="1:16" x14ac:dyDescent="0.25">
      <c r="A91" s="48"/>
      <c r="B91" s="48"/>
      <c r="C91" s="48"/>
      <c r="D91" s="48"/>
      <c r="E91" s="48"/>
      <c r="F91" s="48"/>
      <c r="G91" s="48"/>
      <c r="H91" s="48"/>
      <c r="I91" s="48"/>
      <c r="J91"/>
      <c r="K91"/>
      <c r="L91"/>
      <c r="M91"/>
      <c r="N91"/>
      <c r="O91"/>
      <c r="P91"/>
    </row>
    <row r="92" spans="1:16" x14ac:dyDescent="0.25">
      <c r="A92" s="48"/>
      <c r="B92" s="48"/>
      <c r="C92" s="48"/>
      <c r="D92" s="48"/>
      <c r="E92" s="48"/>
      <c r="F92" s="48"/>
      <c r="G92" s="48"/>
      <c r="H92" s="48"/>
      <c r="I92" s="48"/>
      <c r="J92"/>
      <c r="K92"/>
      <c r="L92"/>
      <c r="M92"/>
      <c r="N92"/>
      <c r="O92"/>
      <c r="P92"/>
    </row>
    <row r="93" spans="1:16" x14ac:dyDescent="0.25">
      <c r="A93" s="10"/>
      <c r="B93" s="10"/>
      <c r="C93" s="10"/>
      <c r="D93" s="10"/>
      <c r="E93" s="10"/>
      <c r="F93" s="10"/>
      <c r="G93" s="10"/>
      <c r="H93" s="10"/>
      <c r="I93" s="10"/>
      <c r="J93"/>
      <c r="K93"/>
      <c r="L93"/>
      <c r="M93"/>
      <c r="N93"/>
      <c r="O93"/>
      <c r="P93"/>
    </row>
    <row r="94" spans="1:16" x14ac:dyDescent="0.25">
      <c r="A94" s="10"/>
      <c r="B94" s="10"/>
      <c r="C94" s="10"/>
      <c r="D94" s="10"/>
      <c r="E94" s="10"/>
      <c r="F94" s="10"/>
      <c r="G94" s="10"/>
      <c r="H94" s="10"/>
      <c r="I94" s="10"/>
      <c r="J94"/>
      <c r="K94"/>
      <c r="L94"/>
      <c r="M94"/>
      <c r="N94"/>
      <c r="O94"/>
      <c r="P94"/>
    </row>
    <row r="95" spans="1:16" x14ac:dyDescent="0.25">
      <c r="A95" s="10"/>
      <c r="B95" s="10"/>
      <c r="C95" s="10"/>
      <c r="D95" s="10"/>
      <c r="E95" s="10"/>
      <c r="F95" s="10"/>
      <c r="G95" s="10"/>
      <c r="H95" s="10"/>
      <c r="I95" s="10"/>
      <c r="J95"/>
      <c r="K95"/>
      <c r="L95"/>
      <c r="M95"/>
      <c r="N95"/>
      <c r="O95"/>
      <c r="P95"/>
    </row>
    <row r="99" spans="9:10" x14ac:dyDescent="0.25">
      <c r="I99" t="s">
        <v>595</v>
      </c>
    </row>
    <row r="100" spans="9:10" x14ac:dyDescent="0.25">
      <c r="I100" t="s">
        <v>639</v>
      </c>
      <c r="J100" s="2" t="s">
        <v>640</v>
      </c>
    </row>
    <row r="101" spans="9:10" x14ac:dyDescent="0.25">
      <c r="I101" t="s">
        <v>250</v>
      </c>
      <c r="J101" s="2" t="s">
        <v>250</v>
      </c>
    </row>
    <row r="102" spans="9:10" x14ac:dyDescent="0.25">
      <c r="I102" t="s">
        <v>251</v>
      </c>
      <c r="J102" s="2" t="s">
        <v>251</v>
      </c>
    </row>
    <row r="103" spans="9:10" x14ac:dyDescent="0.25">
      <c r="I103" t="s">
        <v>252</v>
      </c>
      <c r="J103" s="2" t="s">
        <v>252</v>
      </c>
    </row>
    <row r="104" spans="9:10" x14ac:dyDescent="0.25">
      <c r="I104" t="s">
        <v>362</v>
      </c>
      <c r="J104" s="2" t="s">
        <v>362</v>
      </c>
    </row>
    <row r="105" spans="9:10" x14ac:dyDescent="0.25">
      <c r="I105" t="s">
        <v>363</v>
      </c>
      <c r="J105" s="2" t="s">
        <v>363</v>
      </c>
    </row>
    <row r="106" spans="9:10" x14ac:dyDescent="0.25">
      <c r="I106" t="s">
        <v>641</v>
      </c>
    </row>
    <row r="107" spans="9:10" x14ac:dyDescent="0.25">
      <c r="I107" t="s">
        <v>596</v>
      </c>
    </row>
    <row r="108" spans="9:10" x14ac:dyDescent="0.25">
      <c r="I108" t="s">
        <v>597</v>
      </c>
    </row>
    <row r="109" spans="9:10" x14ac:dyDescent="0.25">
      <c r="I109" t="s">
        <v>598</v>
      </c>
    </row>
    <row r="110" spans="9:10" x14ac:dyDescent="0.25">
      <c r="I110" t="s">
        <v>601</v>
      </c>
    </row>
    <row r="111" spans="9:10" x14ac:dyDescent="0.25">
      <c r="I111" t="s">
        <v>603</v>
      </c>
    </row>
    <row r="112" spans="9:10" x14ac:dyDescent="0.25">
      <c r="I112" t="s">
        <v>605</v>
      </c>
    </row>
    <row r="134" spans="3:5" x14ac:dyDescent="0.25">
      <c r="C134" s="374" t="s">
        <v>653</v>
      </c>
      <c r="D134" s="367"/>
      <c r="E134" s="367"/>
    </row>
    <row r="152" spans="1:15" x14ac:dyDescent="0.25">
      <c r="M152" s="2" t="s">
        <v>657</v>
      </c>
      <c r="O152" s="2" t="s">
        <v>365</v>
      </c>
    </row>
    <row r="153" spans="1:15" x14ac:dyDescent="0.25">
      <c r="A153" s="367" t="s">
        <v>655</v>
      </c>
    </row>
    <row r="155" spans="1:15" x14ac:dyDescent="0.25">
      <c r="B155" s="2" t="s">
        <v>656</v>
      </c>
    </row>
    <row r="174" spans="13:15" x14ac:dyDescent="0.25">
      <c r="M174" s="2" t="s">
        <v>657</v>
      </c>
      <c r="O174" s="2" t="s">
        <v>367</v>
      </c>
    </row>
  </sheetData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E113"/>
  <sheetViews>
    <sheetView topLeftCell="B1" zoomScale="85" zoomScaleNormal="85" workbookViewId="0">
      <selection activeCell="R116" sqref="R116"/>
    </sheetView>
  </sheetViews>
  <sheetFormatPr defaultRowHeight="15" x14ac:dyDescent="0.25"/>
  <cols>
    <col min="1" max="1" width="12.85546875" customWidth="1"/>
    <col min="6" max="6" width="13.42578125" customWidth="1"/>
  </cols>
  <sheetData>
    <row r="1" spans="1:23" x14ac:dyDescent="0.25">
      <c r="A1" t="s">
        <v>0</v>
      </c>
      <c r="B1" t="s">
        <v>1</v>
      </c>
    </row>
    <row r="2" spans="1:23" ht="18" x14ac:dyDescent="0.35">
      <c r="B2" t="s">
        <v>72</v>
      </c>
      <c r="N2" s="10"/>
      <c r="O2" s="10"/>
      <c r="P2" s="10"/>
      <c r="Q2" s="10"/>
      <c r="R2" s="10"/>
      <c r="S2" s="10"/>
      <c r="T2" s="10"/>
      <c r="U2" s="10"/>
      <c r="V2" s="10"/>
      <c r="W2" s="10"/>
    </row>
    <row r="3" spans="1:23" x14ac:dyDescent="0.25">
      <c r="B3" t="s">
        <v>34</v>
      </c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17.25" x14ac:dyDescent="0.25">
      <c r="B4" t="s">
        <v>2</v>
      </c>
      <c r="N4" s="10"/>
      <c r="O4" s="10"/>
      <c r="P4" s="10"/>
      <c r="Q4" s="10"/>
      <c r="R4" s="10"/>
      <c r="S4" s="10"/>
      <c r="T4" s="10"/>
      <c r="U4" s="10"/>
      <c r="V4" s="10"/>
      <c r="W4" s="10"/>
    </row>
    <row r="5" spans="1:23" x14ac:dyDescent="0.25">
      <c r="B5" t="s">
        <v>3</v>
      </c>
      <c r="N5" s="10"/>
      <c r="O5" s="10"/>
      <c r="P5" s="10"/>
      <c r="Q5" s="10"/>
      <c r="R5" s="10"/>
      <c r="S5" s="10"/>
      <c r="T5" s="10"/>
      <c r="U5" s="10"/>
      <c r="V5" s="10"/>
      <c r="W5" s="10"/>
    </row>
    <row r="6" spans="1:23" x14ac:dyDescent="0.25">
      <c r="B6" t="s">
        <v>4</v>
      </c>
      <c r="E6" s="1">
        <v>0.05</v>
      </c>
      <c r="F6" t="s">
        <v>5</v>
      </c>
      <c r="G6" s="24"/>
      <c r="N6" s="56"/>
      <c r="O6" s="56"/>
      <c r="P6" s="10"/>
      <c r="Q6" s="10"/>
      <c r="R6" s="10"/>
      <c r="S6" s="10"/>
      <c r="T6" s="10"/>
      <c r="U6" s="10"/>
      <c r="V6" s="10"/>
      <c r="W6" s="10"/>
    </row>
    <row r="7" spans="1:23" x14ac:dyDescent="0.25">
      <c r="B7" t="s">
        <v>33</v>
      </c>
      <c r="N7" s="48"/>
      <c r="O7" s="48"/>
      <c r="P7" s="10"/>
      <c r="Q7" s="10"/>
      <c r="R7" s="10"/>
      <c r="S7" s="10"/>
      <c r="T7" s="10"/>
      <c r="U7" s="10"/>
      <c r="V7" s="10"/>
      <c r="W7" s="10"/>
    </row>
    <row r="8" spans="1:23" x14ac:dyDescent="0.25">
      <c r="A8" s="3"/>
      <c r="B8" s="4" t="s">
        <v>6</v>
      </c>
      <c r="C8" s="4" t="s">
        <v>7</v>
      </c>
      <c r="D8" s="4" t="s">
        <v>8</v>
      </c>
      <c r="E8" s="4" t="s">
        <v>9</v>
      </c>
      <c r="F8" s="13"/>
      <c r="G8" s="13"/>
      <c r="N8" s="48"/>
      <c r="O8" s="48"/>
      <c r="P8" s="10"/>
      <c r="Q8" s="10"/>
      <c r="R8" s="10"/>
      <c r="S8" s="10"/>
      <c r="T8" s="10"/>
      <c r="U8" s="10"/>
      <c r="V8" s="10"/>
      <c r="W8" s="10"/>
    </row>
    <row r="9" spans="1:23" x14ac:dyDescent="0.25">
      <c r="B9" s="4">
        <v>77</v>
      </c>
      <c r="C9" s="4">
        <v>98</v>
      </c>
      <c r="D9" s="4">
        <v>50</v>
      </c>
      <c r="E9" s="4">
        <v>69</v>
      </c>
      <c r="F9" s="13"/>
      <c r="G9" s="13"/>
      <c r="N9" s="48"/>
      <c r="O9" s="48"/>
      <c r="P9" s="10"/>
      <c r="Q9" s="10"/>
      <c r="R9" s="10"/>
      <c r="S9" s="10"/>
      <c r="T9" s="10"/>
      <c r="U9" s="10"/>
      <c r="V9" s="10"/>
      <c r="W9" s="10"/>
    </row>
    <row r="10" spans="1:23" x14ac:dyDescent="0.25">
      <c r="B10" s="6">
        <v>63</v>
      </c>
      <c r="C10" s="6">
        <v>82</v>
      </c>
      <c r="D10" s="6">
        <v>52</v>
      </c>
      <c r="E10" s="6">
        <v>61</v>
      </c>
      <c r="F10" s="13"/>
      <c r="G10" s="13"/>
      <c r="N10" s="48"/>
      <c r="O10" s="48"/>
      <c r="P10" s="10"/>
      <c r="Q10" s="10"/>
      <c r="R10" s="10"/>
      <c r="S10" s="10"/>
      <c r="T10" s="10"/>
      <c r="U10" s="10"/>
      <c r="V10" s="10"/>
      <c r="W10" s="10"/>
    </row>
    <row r="11" spans="1:23" x14ac:dyDescent="0.25">
      <c r="B11" s="97" t="s">
        <v>235</v>
      </c>
      <c r="C11" s="13"/>
      <c r="D11" s="13"/>
      <c r="E11" s="13"/>
      <c r="F11" s="13"/>
      <c r="G11" s="13"/>
      <c r="N11" s="48"/>
      <c r="O11" s="48"/>
      <c r="P11" s="10"/>
      <c r="Q11" s="10"/>
      <c r="R11" s="10"/>
      <c r="S11" s="10"/>
      <c r="T11" s="10"/>
      <c r="U11" s="10"/>
      <c r="V11" s="10"/>
      <c r="W11" s="10"/>
    </row>
    <row r="12" spans="1:23" x14ac:dyDescent="0.25">
      <c r="N12" s="10"/>
      <c r="O12" s="10"/>
      <c r="P12" s="10"/>
      <c r="Q12" s="10"/>
      <c r="R12" s="10"/>
      <c r="S12" s="10"/>
      <c r="T12" s="10"/>
      <c r="U12" s="10"/>
      <c r="V12" s="10"/>
      <c r="W12" s="10"/>
    </row>
    <row r="13" spans="1:23" x14ac:dyDescent="0.25">
      <c r="A13" s="49" t="s">
        <v>73</v>
      </c>
      <c r="N13" s="10"/>
      <c r="O13" s="10"/>
      <c r="P13" s="10"/>
      <c r="Q13" s="10"/>
      <c r="R13" s="10"/>
      <c r="S13" s="10"/>
      <c r="T13" s="10"/>
      <c r="U13" s="10"/>
      <c r="V13" s="10"/>
      <c r="W13" s="10"/>
    </row>
    <row r="14" spans="1:23" ht="18" x14ac:dyDescent="0.35">
      <c r="B14" s="4" t="s">
        <v>12</v>
      </c>
      <c r="C14" s="11" t="s">
        <v>35</v>
      </c>
      <c r="D14" s="47" t="s">
        <v>36</v>
      </c>
      <c r="E14" s="222" t="s">
        <v>74</v>
      </c>
      <c r="N14" s="57"/>
      <c r="O14" s="57"/>
      <c r="P14" s="57"/>
      <c r="Q14" s="57"/>
      <c r="R14" s="57"/>
      <c r="S14" s="57"/>
      <c r="T14" s="10"/>
      <c r="U14" s="10"/>
      <c r="V14" s="10"/>
      <c r="W14" s="10"/>
    </row>
    <row r="15" spans="1:23" x14ac:dyDescent="0.25">
      <c r="A15" s="3" t="s">
        <v>75</v>
      </c>
      <c r="B15" s="223">
        <v>77</v>
      </c>
      <c r="C15" s="18">
        <v>-1</v>
      </c>
      <c r="D15" s="32">
        <v>-1</v>
      </c>
      <c r="E15" s="19">
        <f>C15*D15</f>
        <v>1</v>
      </c>
      <c r="H15" s="10"/>
      <c r="I15" s="10"/>
      <c r="J15" s="10"/>
      <c r="K15" s="10"/>
      <c r="L15" s="10"/>
      <c r="M15" s="10"/>
      <c r="N15" s="48"/>
      <c r="O15" s="48"/>
      <c r="P15" s="48"/>
      <c r="Q15" s="48"/>
      <c r="R15" s="48"/>
      <c r="S15" s="48"/>
      <c r="T15" s="10"/>
      <c r="U15" s="10"/>
      <c r="V15" s="10"/>
      <c r="W15" s="10"/>
    </row>
    <row r="16" spans="1:23" x14ac:dyDescent="0.25">
      <c r="A16" s="3"/>
      <c r="B16" s="224">
        <v>63</v>
      </c>
      <c r="C16" s="20">
        <v>-1</v>
      </c>
      <c r="D16" s="23">
        <v>-1</v>
      </c>
      <c r="E16" s="21">
        <f t="shared" ref="E16:E22" si="0">C16*D16</f>
        <v>1</v>
      </c>
      <c r="H16" s="10"/>
      <c r="I16" s="10"/>
      <c r="J16" s="10"/>
      <c r="K16" s="10"/>
      <c r="L16" s="10"/>
      <c r="M16" s="10"/>
      <c r="N16" s="48"/>
      <c r="O16" s="48"/>
      <c r="P16" s="48"/>
      <c r="Q16" s="48"/>
      <c r="R16" s="48"/>
      <c r="S16" s="48"/>
      <c r="T16" s="10"/>
      <c r="U16" s="10"/>
      <c r="V16" s="10"/>
      <c r="W16" s="10"/>
    </row>
    <row r="17" spans="1:23" x14ac:dyDescent="0.25">
      <c r="A17" s="3" t="s">
        <v>76</v>
      </c>
      <c r="B17" s="223">
        <v>98</v>
      </c>
      <c r="C17" s="20">
        <v>-1</v>
      </c>
      <c r="D17" s="23">
        <v>1</v>
      </c>
      <c r="E17" s="21">
        <f t="shared" si="0"/>
        <v>-1</v>
      </c>
      <c r="H17" s="10"/>
      <c r="I17" s="10"/>
      <c r="J17" s="10"/>
      <c r="K17" s="10"/>
      <c r="L17" s="10"/>
      <c r="M17" s="10"/>
      <c r="N17" s="48"/>
      <c r="O17" s="48"/>
      <c r="P17" s="48"/>
      <c r="Q17" s="48"/>
      <c r="R17" s="48"/>
      <c r="S17" s="48"/>
      <c r="T17" s="10"/>
      <c r="U17" s="10"/>
      <c r="V17" s="10"/>
      <c r="W17" s="10"/>
    </row>
    <row r="18" spans="1:23" x14ac:dyDescent="0.25">
      <c r="A18" s="3"/>
      <c r="B18" s="224">
        <v>82</v>
      </c>
      <c r="C18" s="20">
        <v>-1</v>
      </c>
      <c r="D18" s="23">
        <v>1</v>
      </c>
      <c r="E18" s="21">
        <f t="shared" si="0"/>
        <v>-1</v>
      </c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</row>
    <row r="19" spans="1:23" x14ac:dyDescent="0.25">
      <c r="A19" s="3" t="s">
        <v>77</v>
      </c>
      <c r="B19" s="223">
        <v>50</v>
      </c>
      <c r="C19" s="20">
        <v>1</v>
      </c>
      <c r="D19" s="23">
        <v>-1</v>
      </c>
      <c r="E19" s="21">
        <f t="shared" si="0"/>
        <v>-1</v>
      </c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</row>
    <row r="20" spans="1:23" x14ac:dyDescent="0.25">
      <c r="A20" s="3"/>
      <c r="B20" s="224">
        <v>52</v>
      </c>
      <c r="C20" s="20">
        <v>1</v>
      </c>
      <c r="D20" s="23">
        <v>-1</v>
      </c>
      <c r="E20" s="21">
        <f t="shared" si="0"/>
        <v>-1</v>
      </c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</row>
    <row r="21" spans="1:23" x14ac:dyDescent="0.25">
      <c r="A21" s="3" t="s">
        <v>78</v>
      </c>
      <c r="B21" s="223">
        <v>69</v>
      </c>
      <c r="C21" s="20">
        <v>1</v>
      </c>
      <c r="D21" s="23">
        <v>1</v>
      </c>
      <c r="E21" s="21">
        <f t="shared" si="0"/>
        <v>1</v>
      </c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</row>
    <row r="22" spans="1:23" x14ac:dyDescent="0.25">
      <c r="B22" s="224">
        <v>61</v>
      </c>
      <c r="C22" s="22">
        <v>1</v>
      </c>
      <c r="D22" s="35">
        <v>1</v>
      </c>
      <c r="E22" s="232">
        <f t="shared" si="0"/>
        <v>1</v>
      </c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</row>
    <row r="23" spans="1:23" x14ac:dyDescent="0.25">
      <c r="N23" s="10"/>
      <c r="O23" s="10"/>
      <c r="P23" s="10"/>
      <c r="Q23" s="10"/>
      <c r="R23" s="10"/>
      <c r="S23" s="10"/>
      <c r="T23" s="10"/>
      <c r="U23" s="10"/>
      <c r="V23" s="10"/>
      <c r="W23" s="10"/>
    </row>
    <row r="24" spans="1:23" x14ac:dyDescent="0.25">
      <c r="A24" t="s">
        <v>204</v>
      </c>
      <c r="J24" s="10"/>
      <c r="K24" s="10"/>
      <c r="N24" s="10"/>
      <c r="O24" s="10"/>
      <c r="P24" s="10"/>
      <c r="Q24" s="10"/>
      <c r="R24" s="10"/>
      <c r="S24" s="10"/>
      <c r="T24" s="10"/>
      <c r="U24" s="10"/>
      <c r="V24" s="10"/>
      <c r="W24" s="10"/>
    </row>
    <row r="25" spans="1:23" ht="15.75" thickBot="1" x14ac:dyDescent="0.3">
      <c r="J25" s="10"/>
      <c r="K25" s="10"/>
    </row>
    <row r="26" spans="1:23" x14ac:dyDescent="0.25">
      <c r="A26" s="202" t="s">
        <v>368</v>
      </c>
      <c r="B26" s="202"/>
      <c r="J26" s="10"/>
      <c r="K26" s="10"/>
    </row>
    <row r="27" spans="1:23" x14ac:dyDescent="0.25">
      <c r="A27" s="48" t="s">
        <v>369</v>
      </c>
      <c r="B27" s="48">
        <v>0.92598927658525132</v>
      </c>
      <c r="J27" s="10"/>
      <c r="K27" s="10"/>
    </row>
    <row r="28" spans="1:23" x14ac:dyDescent="0.25">
      <c r="A28" s="48" t="s">
        <v>370</v>
      </c>
      <c r="B28" s="48">
        <v>0.85745614035087714</v>
      </c>
      <c r="J28" s="10"/>
      <c r="K28" s="10"/>
    </row>
    <row r="29" spans="1:23" x14ac:dyDescent="0.25">
      <c r="A29" s="48" t="s">
        <v>371</v>
      </c>
      <c r="B29" s="48">
        <v>0.7505482456140351</v>
      </c>
      <c r="J29" s="10"/>
      <c r="K29" s="10"/>
    </row>
    <row r="30" spans="1:23" x14ac:dyDescent="0.25">
      <c r="A30" s="48" t="s">
        <v>372</v>
      </c>
      <c r="B30" s="48">
        <v>8.0622577482985491</v>
      </c>
      <c r="J30" s="10"/>
      <c r="K30" s="10"/>
    </row>
    <row r="31" spans="1:23" ht="15.75" thickBot="1" x14ac:dyDescent="0.3">
      <c r="A31" s="203" t="s">
        <v>373</v>
      </c>
      <c r="B31" s="203">
        <v>8</v>
      </c>
      <c r="J31" s="10"/>
      <c r="K31" s="10"/>
    </row>
    <row r="32" spans="1:23" x14ac:dyDescent="0.25">
      <c r="J32" s="10"/>
      <c r="K32" s="10"/>
    </row>
    <row r="33" spans="1:22" ht="15.75" thickBot="1" x14ac:dyDescent="0.3">
      <c r="A33" t="s">
        <v>374</v>
      </c>
      <c r="J33" s="10"/>
      <c r="K33" s="10"/>
    </row>
    <row r="34" spans="1:22" x14ac:dyDescent="0.25">
      <c r="A34" s="204"/>
      <c r="B34" s="204" t="s">
        <v>205</v>
      </c>
      <c r="C34" s="204" t="s">
        <v>206</v>
      </c>
      <c r="D34" s="204" t="s">
        <v>207</v>
      </c>
      <c r="E34" s="204" t="s">
        <v>208</v>
      </c>
      <c r="F34" s="204" t="s">
        <v>375</v>
      </c>
      <c r="H34" s="242" t="s">
        <v>455</v>
      </c>
      <c r="J34" s="10"/>
      <c r="K34" s="10"/>
    </row>
    <row r="35" spans="1:22" x14ac:dyDescent="0.25">
      <c r="A35" s="48" t="s">
        <v>376</v>
      </c>
      <c r="B35" s="48">
        <v>3</v>
      </c>
      <c r="C35" s="48">
        <v>1564</v>
      </c>
      <c r="D35" s="48">
        <v>521.33333333333337</v>
      </c>
      <c r="E35" s="48">
        <v>8.0205128205128204</v>
      </c>
      <c r="F35" s="272">
        <v>3.6236100268038099E-2</v>
      </c>
      <c r="H35">
        <f>_xlfn.F.INV(0.95,B35,B36)</f>
        <v>6.5913821164255779</v>
      </c>
      <c r="J35" s="10"/>
      <c r="K35" s="10"/>
    </row>
    <row r="36" spans="1:22" x14ac:dyDescent="0.25">
      <c r="A36" s="48" t="s">
        <v>377</v>
      </c>
      <c r="B36" s="48">
        <v>4</v>
      </c>
      <c r="C36" s="48">
        <v>260</v>
      </c>
      <c r="D36" s="48">
        <v>65</v>
      </c>
      <c r="E36" s="48"/>
      <c r="F36" s="48"/>
      <c r="J36" s="10"/>
      <c r="K36" s="10"/>
    </row>
    <row r="37" spans="1:22" ht="15.75" thickBot="1" x14ac:dyDescent="0.3">
      <c r="A37" s="203" t="s">
        <v>378</v>
      </c>
      <c r="B37" s="203">
        <v>7</v>
      </c>
      <c r="C37" s="203">
        <v>1824</v>
      </c>
      <c r="D37" s="203"/>
      <c r="E37" s="203"/>
      <c r="F37" s="203"/>
      <c r="J37" s="10"/>
      <c r="K37" s="10"/>
    </row>
    <row r="38" spans="1:22" ht="15.75" thickBot="1" x14ac:dyDescent="0.3">
      <c r="J38" s="10"/>
      <c r="K38" s="10"/>
      <c r="L38" s="265"/>
      <c r="M38" s="265"/>
      <c r="N38" s="265"/>
      <c r="O38" s="265"/>
      <c r="P38" s="265"/>
      <c r="Q38" s="265"/>
      <c r="R38" s="265"/>
      <c r="S38" s="265"/>
      <c r="T38" s="265"/>
      <c r="U38" s="265"/>
      <c r="V38" s="265"/>
    </row>
    <row r="39" spans="1:22" x14ac:dyDescent="0.25">
      <c r="A39" s="204"/>
      <c r="B39" s="204" t="s">
        <v>379</v>
      </c>
      <c r="C39" s="204" t="s">
        <v>372</v>
      </c>
      <c r="D39" s="204" t="s">
        <v>380</v>
      </c>
      <c r="E39" s="204" t="s">
        <v>381</v>
      </c>
      <c r="F39" s="204" t="s">
        <v>382</v>
      </c>
      <c r="G39" s="204" t="s">
        <v>383</v>
      </c>
      <c r="H39" s="204" t="s">
        <v>431</v>
      </c>
      <c r="I39" s="204" t="s">
        <v>432</v>
      </c>
      <c r="J39" s="10"/>
      <c r="K39" s="263"/>
      <c r="L39" s="10"/>
      <c r="M39" s="121" t="s">
        <v>475</v>
      </c>
      <c r="N39" s="10"/>
      <c r="O39" s="10"/>
      <c r="P39" s="10"/>
      <c r="Q39" s="10"/>
      <c r="R39" s="10"/>
      <c r="S39" s="10"/>
      <c r="T39" s="10"/>
      <c r="U39" s="10"/>
      <c r="V39" s="263"/>
    </row>
    <row r="40" spans="1:22" x14ac:dyDescent="0.25">
      <c r="A40" s="48" t="s">
        <v>384</v>
      </c>
      <c r="B40" s="48">
        <v>69</v>
      </c>
      <c r="C40" s="48">
        <v>2.8504385627478448</v>
      </c>
      <c r="D40" s="48">
        <v>24.206801332874008</v>
      </c>
      <c r="E40" s="48">
        <v>1.7277331980717365E-5</v>
      </c>
      <c r="F40" s="48">
        <v>61.085913804791716</v>
      </c>
      <c r="G40" s="48">
        <v>76.914086195208284</v>
      </c>
      <c r="H40" s="48">
        <v>58.319556672716786</v>
      </c>
      <c r="I40" s="48">
        <v>79.680443327283214</v>
      </c>
      <c r="J40" s="10"/>
      <c r="K40" s="263"/>
      <c r="L40" s="10"/>
      <c r="M40" s="121"/>
      <c r="N40" s="10"/>
      <c r="O40" s="10"/>
      <c r="P40" s="10"/>
      <c r="Q40" s="10"/>
      <c r="R40" s="10"/>
      <c r="S40" s="10"/>
      <c r="T40" s="10"/>
      <c r="U40" s="10"/>
      <c r="V40" s="263"/>
    </row>
    <row r="41" spans="1:22" x14ac:dyDescent="0.25">
      <c r="A41" s="241" t="s">
        <v>13</v>
      </c>
      <c r="B41" s="241">
        <v>-10.999999999999998</v>
      </c>
      <c r="C41" s="241">
        <v>2.8504385627478448</v>
      </c>
      <c r="D41" s="241">
        <v>-3.8590552849509283</v>
      </c>
      <c r="E41" s="241">
        <v>1.8161860202922861E-2</v>
      </c>
      <c r="F41" s="241">
        <v>-18.914086195208284</v>
      </c>
      <c r="G41" s="241">
        <v>-3.0859138047917112</v>
      </c>
      <c r="H41" s="241">
        <v>-21.680443327283211</v>
      </c>
      <c r="I41" s="241">
        <v>-0.31955667271678578</v>
      </c>
      <c r="J41" s="10"/>
      <c r="K41" s="263"/>
      <c r="L41" s="10"/>
      <c r="M41" s="67" t="s">
        <v>446</v>
      </c>
      <c r="N41" s="10"/>
      <c r="O41" s="10"/>
      <c r="P41" s="10"/>
      <c r="Q41" s="10"/>
      <c r="R41" s="10"/>
      <c r="S41" s="10"/>
      <c r="T41" s="10"/>
      <c r="U41" s="10"/>
      <c r="V41" s="263"/>
    </row>
    <row r="42" spans="1:22" x14ac:dyDescent="0.25">
      <c r="A42" s="48" t="s">
        <v>14</v>
      </c>
      <c r="B42" s="48">
        <v>8.5000000000000036</v>
      </c>
      <c r="C42" s="48">
        <v>2.8504385627478448</v>
      </c>
      <c r="D42" s="48">
        <v>2.9819972656439009</v>
      </c>
      <c r="E42" s="48">
        <v>4.0658463283449256E-2</v>
      </c>
      <c r="F42" s="48">
        <v>0.58591380479171651</v>
      </c>
      <c r="G42" s="48">
        <v>16.414086195208291</v>
      </c>
      <c r="H42" s="48">
        <v>-2.1804433272832089</v>
      </c>
      <c r="I42" s="48">
        <v>19.180443327283214</v>
      </c>
      <c r="J42" s="10"/>
      <c r="K42" s="263"/>
      <c r="L42" s="10"/>
      <c r="M42" s="67" t="s">
        <v>447</v>
      </c>
      <c r="N42" s="10"/>
      <c r="O42" s="10"/>
      <c r="P42" s="10"/>
      <c r="Q42" s="10"/>
      <c r="R42" s="10"/>
      <c r="S42" s="10"/>
      <c r="T42" s="10"/>
      <c r="U42" s="10"/>
      <c r="V42" s="263"/>
    </row>
    <row r="43" spans="1:22" ht="15.75" thickBot="1" x14ac:dyDescent="0.3">
      <c r="A43" s="203" t="s">
        <v>202</v>
      </c>
      <c r="B43" s="203">
        <v>-1.5000000000000024</v>
      </c>
      <c r="C43" s="203">
        <v>2.8504385627478452</v>
      </c>
      <c r="D43" s="203">
        <v>-0.52623481158421836</v>
      </c>
      <c r="E43" s="203">
        <v>0.62655278779558055</v>
      </c>
      <c r="F43" s="203">
        <v>-9.4140861952082897</v>
      </c>
      <c r="G43" s="203">
        <v>6.4140861952082853</v>
      </c>
      <c r="H43" s="203">
        <v>-12.180443327283216</v>
      </c>
      <c r="I43" s="203">
        <v>9.1804433272832124</v>
      </c>
      <c r="J43" s="10"/>
      <c r="K43" s="263"/>
      <c r="L43" s="10"/>
      <c r="M43" s="121" t="s">
        <v>448</v>
      </c>
      <c r="N43" s="10"/>
      <c r="O43" s="10"/>
      <c r="P43" s="10"/>
      <c r="Q43" s="10"/>
      <c r="R43" s="10"/>
      <c r="S43" s="10"/>
      <c r="T43" s="10"/>
      <c r="U43" s="10"/>
      <c r="V43" s="263"/>
    </row>
    <row r="44" spans="1:22" x14ac:dyDescent="0.25">
      <c r="A44" s="48"/>
      <c r="B44" s="48"/>
      <c r="C44" s="48"/>
      <c r="D44" s="241">
        <f>B41/C41</f>
        <v>-3.8590552849509283</v>
      </c>
      <c r="E44" s="241">
        <f>2*D48</f>
        <v>1.8161860202922861E-2</v>
      </c>
      <c r="F44" s="241">
        <f>B41-D47</f>
        <v>-18.914086195208284</v>
      </c>
      <c r="G44" s="241">
        <f>B41+D47</f>
        <v>-3.0859138047917121</v>
      </c>
      <c r="H44" s="48"/>
      <c r="I44" s="48"/>
      <c r="J44" s="10"/>
      <c r="K44" s="263"/>
      <c r="L44" s="10"/>
      <c r="M44" s="121"/>
      <c r="N44" s="121"/>
      <c r="O44" s="121"/>
      <c r="P44" s="121"/>
      <c r="Q44" s="121"/>
      <c r="R44" s="121"/>
      <c r="S44" s="121"/>
      <c r="T44" s="121"/>
      <c r="U44" s="121"/>
      <c r="V44" s="267"/>
    </row>
    <row r="45" spans="1:22" x14ac:dyDescent="0.25">
      <c r="A45" s="48"/>
      <c r="B45" s="48"/>
      <c r="C45" s="98" t="s">
        <v>441</v>
      </c>
      <c r="D45" s="48">
        <f>_xlfn.T.INV(0.025,4)</f>
        <v>-2.7764451051977934</v>
      </c>
      <c r="E45" s="48"/>
      <c r="F45" s="48"/>
      <c r="G45" s="48"/>
      <c r="H45" s="48"/>
      <c r="I45" s="48"/>
      <c r="J45" s="10"/>
      <c r="K45" s="263"/>
      <c r="L45" s="10"/>
      <c r="M45" s="121"/>
      <c r="N45" s="121"/>
      <c r="O45" s="121"/>
      <c r="P45" s="121"/>
      <c r="Q45" s="121"/>
      <c r="R45" s="121"/>
      <c r="S45" s="121"/>
      <c r="T45" s="121"/>
      <c r="U45" s="121"/>
      <c r="V45" s="267"/>
    </row>
    <row r="46" spans="1:22" x14ac:dyDescent="0.25">
      <c r="A46" s="48"/>
      <c r="B46" s="48"/>
      <c r="C46" s="98" t="s">
        <v>442</v>
      </c>
      <c r="D46" s="48">
        <f>_xlfn.T.INV(0.975,4)</f>
        <v>2.776445105197793</v>
      </c>
      <c r="E46" s="48"/>
      <c r="F46" s="48"/>
      <c r="H46" s="48"/>
      <c r="K46" s="263"/>
      <c r="L46" s="10"/>
      <c r="M46" s="67" t="s">
        <v>449</v>
      </c>
      <c r="N46" s="121"/>
      <c r="O46" s="121"/>
      <c r="P46" s="121"/>
      <c r="Q46" s="121"/>
      <c r="R46" s="121"/>
      <c r="S46" s="121"/>
      <c r="T46" s="121"/>
      <c r="U46" s="121"/>
      <c r="V46" s="267"/>
    </row>
    <row r="47" spans="1:22" x14ac:dyDescent="0.25">
      <c r="A47" s="48"/>
      <c r="B47" s="48"/>
      <c r="C47" s="98" t="s">
        <v>443</v>
      </c>
      <c r="D47" s="48">
        <f>C41*D46</f>
        <v>7.9140861952082862</v>
      </c>
      <c r="E47" s="48"/>
      <c r="F47" s="48"/>
      <c r="H47" s="48"/>
      <c r="K47" s="263"/>
      <c r="L47" s="10"/>
      <c r="M47" s="67" t="s">
        <v>450</v>
      </c>
      <c r="N47" s="121"/>
      <c r="O47" s="121"/>
      <c r="P47" s="121"/>
      <c r="Q47" s="121"/>
      <c r="R47" s="121"/>
      <c r="S47" s="121"/>
      <c r="T47" s="121"/>
      <c r="U47" s="121"/>
      <c r="V47" s="267"/>
    </row>
    <row r="48" spans="1:22" x14ac:dyDescent="0.25">
      <c r="C48" s="3" t="s">
        <v>444</v>
      </c>
      <c r="D48">
        <f>_xlfn.T.DIST(D41,4,1)</f>
        <v>9.0809301014614305E-3</v>
      </c>
      <c r="K48" s="263"/>
      <c r="L48" s="10"/>
      <c r="M48" s="121" t="s">
        <v>451</v>
      </c>
      <c r="N48" s="121"/>
      <c r="O48" s="121"/>
      <c r="P48" s="121"/>
      <c r="Q48" s="121"/>
      <c r="R48" s="121"/>
      <c r="S48" s="121"/>
      <c r="T48" s="121"/>
      <c r="U48" s="121"/>
      <c r="V48" s="267"/>
    </row>
    <row r="49" spans="1:22" x14ac:dyDescent="0.25">
      <c r="C49" s="3" t="s">
        <v>445</v>
      </c>
      <c r="D49">
        <f>1-D48</f>
        <v>0.99091906989853862</v>
      </c>
      <c r="K49" s="263"/>
      <c r="L49" s="10"/>
      <c r="M49" s="121"/>
      <c r="N49" s="121"/>
      <c r="O49" s="121"/>
      <c r="P49" s="121"/>
      <c r="Q49" s="121"/>
      <c r="R49" s="121"/>
      <c r="S49" s="121"/>
      <c r="T49" s="121"/>
      <c r="U49" s="121"/>
      <c r="V49" s="267"/>
    </row>
    <row r="50" spans="1:22" x14ac:dyDescent="0.25">
      <c r="K50" s="263"/>
      <c r="L50" s="10"/>
      <c r="M50" s="67" t="s">
        <v>452</v>
      </c>
      <c r="N50" s="121"/>
      <c r="O50" s="121"/>
      <c r="P50" s="121"/>
      <c r="Q50" s="121"/>
      <c r="R50" s="121"/>
      <c r="S50" s="121"/>
      <c r="T50" s="121"/>
      <c r="U50" s="121"/>
      <c r="V50" s="267"/>
    </row>
    <row r="51" spans="1:22" x14ac:dyDescent="0.25">
      <c r="A51" t="s">
        <v>433</v>
      </c>
      <c r="F51" t="s">
        <v>438</v>
      </c>
      <c r="K51" s="263"/>
      <c r="L51" s="10"/>
      <c r="M51" s="67" t="s">
        <v>453</v>
      </c>
      <c r="N51" s="121"/>
      <c r="O51" s="121"/>
      <c r="P51" s="121"/>
      <c r="Q51" s="121"/>
      <c r="R51" s="121"/>
      <c r="S51" s="121"/>
      <c r="T51" s="121"/>
      <c r="U51" s="121"/>
      <c r="V51" s="267"/>
    </row>
    <row r="52" spans="1:22" ht="15.75" thickBot="1" x14ac:dyDescent="0.3">
      <c r="K52" s="263"/>
      <c r="L52" s="10"/>
      <c r="M52" s="121" t="s">
        <v>454</v>
      </c>
      <c r="N52" s="121"/>
      <c r="O52" s="121"/>
      <c r="P52" s="121"/>
      <c r="Q52" s="121"/>
      <c r="R52" s="121"/>
      <c r="S52" s="121"/>
      <c r="T52" s="121"/>
      <c r="U52" s="121"/>
      <c r="V52" s="267"/>
    </row>
    <row r="53" spans="1:22" x14ac:dyDescent="0.25">
      <c r="A53" s="204" t="s">
        <v>434</v>
      </c>
      <c r="B53" s="204" t="s">
        <v>435</v>
      </c>
      <c r="C53" s="204" t="s">
        <v>436</v>
      </c>
      <c r="D53" s="204" t="s">
        <v>437</v>
      </c>
      <c r="F53" s="204" t="s">
        <v>439</v>
      </c>
      <c r="G53" s="204" t="s">
        <v>440</v>
      </c>
      <c r="K53" s="263"/>
      <c r="L53" s="264"/>
      <c r="M53" s="265"/>
      <c r="N53" s="266"/>
      <c r="O53" s="266"/>
      <c r="P53" s="266"/>
      <c r="Q53" s="266"/>
      <c r="R53" s="266"/>
      <c r="S53" s="266"/>
      <c r="T53" s="266"/>
      <c r="U53" s="266"/>
      <c r="V53" s="268"/>
    </row>
    <row r="54" spans="1:22" x14ac:dyDescent="0.25">
      <c r="A54" s="48">
        <v>1</v>
      </c>
      <c r="B54" s="48">
        <v>70</v>
      </c>
      <c r="C54" s="48">
        <v>7</v>
      </c>
      <c r="D54" s="48">
        <v>1.1485777157993138</v>
      </c>
      <c r="F54" s="48">
        <v>6.25</v>
      </c>
      <c r="G54" s="48">
        <v>50</v>
      </c>
      <c r="N54" s="121"/>
      <c r="O54" s="121"/>
      <c r="P54" s="85"/>
      <c r="Q54" s="85"/>
      <c r="R54" s="85"/>
      <c r="S54" s="85"/>
      <c r="T54" s="85"/>
      <c r="U54" s="85"/>
      <c r="V54" s="85"/>
    </row>
    <row r="55" spans="1:22" x14ac:dyDescent="0.25">
      <c r="A55" s="48">
        <v>2</v>
      </c>
      <c r="B55" s="48">
        <v>70</v>
      </c>
      <c r="C55" s="48">
        <v>-7</v>
      </c>
      <c r="D55" s="48">
        <v>-1.1485777157993138</v>
      </c>
      <c r="F55" s="48">
        <v>18.75</v>
      </c>
      <c r="G55" s="48">
        <v>52</v>
      </c>
      <c r="N55" s="121"/>
      <c r="O55" s="121"/>
      <c r="P55" s="85"/>
      <c r="Q55" s="85"/>
      <c r="R55" s="85"/>
      <c r="S55" s="85"/>
      <c r="T55" s="85"/>
      <c r="U55" s="85"/>
      <c r="V55" s="85"/>
    </row>
    <row r="56" spans="1:22" x14ac:dyDescent="0.25">
      <c r="A56" s="48">
        <v>3</v>
      </c>
      <c r="B56" s="48">
        <v>90</v>
      </c>
      <c r="C56" s="48">
        <v>8</v>
      </c>
      <c r="D56" s="48">
        <v>1.312660246627787</v>
      </c>
      <c r="F56" s="48">
        <v>31.25</v>
      </c>
      <c r="G56" s="48">
        <v>61</v>
      </c>
      <c r="N56" s="121"/>
      <c r="O56" s="121"/>
      <c r="P56" s="85"/>
      <c r="Q56" s="85"/>
      <c r="R56" s="85"/>
      <c r="S56" s="85"/>
      <c r="T56" s="85"/>
      <c r="U56" s="85"/>
      <c r="V56" s="85"/>
    </row>
    <row r="57" spans="1:22" x14ac:dyDescent="0.25">
      <c r="A57" s="48">
        <v>4</v>
      </c>
      <c r="B57" s="48">
        <v>90</v>
      </c>
      <c r="C57" s="48">
        <v>-8</v>
      </c>
      <c r="D57" s="48">
        <v>-1.312660246627787</v>
      </c>
      <c r="F57" s="48">
        <v>43.75</v>
      </c>
      <c r="G57" s="48">
        <v>63</v>
      </c>
      <c r="N57" s="121"/>
      <c r="O57" s="121"/>
      <c r="P57" s="85"/>
      <c r="Q57" s="85"/>
      <c r="R57" s="85"/>
      <c r="S57" s="85"/>
      <c r="T57" s="85"/>
      <c r="U57" s="85"/>
      <c r="V57" s="85"/>
    </row>
    <row r="58" spans="1:22" x14ac:dyDescent="0.25">
      <c r="A58" s="48">
        <v>5</v>
      </c>
      <c r="B58" s="48">
        <v>51</v>
      </c>
      <c r="C58" s="48">
        <v>-1</v>
      </c>
      <c r="D58" s="48">
        <v>-0.16408253082847338</v>
      </c>
      <c r="F58" s="48">
        <v>56.25</v>
      </c>
      <c r="G58" s="48">
        <v>69</v>
      </c>
      <c r="J58" s="10"/>
      <c r="K58" s="10"/>
      <c r="M58" s="85"/>
      <c r="N58" s="85"/>
      <c r="O58" s="85"/>
      <c r="P58" s="85"/>
      <c r="Q58" s="85"/>
      <c r="R58" s="85"/>
      <c r="S58" s="85"/>
      <c r="T58" s="85"/>
      <c r="U58" s="85"/>
      <c r="V58" s="85"/>
    </row>
    <row r="59" spans="1:22" x14ac:dyDescent="0.25">
      <c r="A59" s="48">
        <v>6</v>
      </c>
      <c r="B59" s="48">
        <v>51</v>
      </c>
      <c r="C59" s="48">
        <v>1</v>
      </c>
      <c r="D59" s="48">
        <v>0.16408253082847338</v>
      </c>
      <c r="F59" s="48">
        <v>68.75</v>
      </c>
      <c r="G59" s="48">
        <v>77</v>
      </c>
      <c r="J59" s="10"/>
    </row>
    <row r="60" spans="1:22" x14ac:dyDescent="0.25">
      <c r="A60" s="48">
        <v>7</v>
      </c>
      <c r="B60" s="48">
        <v>65</v>
      </c>
      <c r="C60" s="48">
        <v>4</v>
      </c>
      <c r="D60" s="48">
        <v>0.65633012331389351</v>
      </c>
      <c r="F60" s="48">
        <v>81.25</v>
      </c>
      <c r="G60" s="48">
        <v>82</v>
      </c>
      <c r="J60" s="10"/>
    </row>
    <row r="61" spans="1:22" ht="15.75" thickBot="1" x14ac:dyDescent="0.3">
      <c r="A61" s="203">
        <v>8</v>
      </c>
      <c r="B61" s="203">
        <v>65</v>
      </c>
      <c r="C61" s="203">
        <v>-4</v>
      </c>
      <c r="D61" s="203">
        <v>-0.65633012331389351</v>
      </c>
      <c r="F61" s="203">
        <v>93.75</v>
      </c>
      <c r="G61" s="203">
        <v>98</v>
      </c>
      <c r="J61" s="10"/>
    </row>
    <row r="62" spans="1:22" x14ac:dyDescent="0.25">
      <c r="A62" s="48"/>
      <c r="B62" s="48"/>
      <c r="C62" s="48"/>
      <c r="D62" s="10"/>
      <c r="E62" s="10"/>
      <c r="F62" s="10"/>
      <c r="G62" s="10"/>
      <c r="H62" s="10"/>
      <c r="J62" s="10"/>
    </row>
    <row r="66" spans="1:9" x14ac:dyDescent="0.25">
      <c r="A66" s="49" t="s">
        <v>96</v>
      </c>
    </row>
    <row r="67" spans="1:9" ht="18" x14ac:dyDescent="0.35">
      <c r="A67" t="s">
        <v>231</v>
      </c>
    </row>
    <row r="68" spans="1:9" x14ac:dyDescent="0.25">
      <c r="A68" s="7" t="s">
        <v>16</v>
      </c>
    </row>
    <row r="69" spans="1:9" x14ac:dyDescent="0.25">
      <c r="A69" s="7" t="s">
        <v>17</v>
      </c>
      <c r="E69" t="s">
        <v>234</v>
      </c>
      <c r="I69" t="s">
        <v>478</v>
      </c>
    </row>
    <row r="70" spans="1:9" x14ac:dyDescent="0.25">
      <c r="A70" s="8" t="s">
        <v>18</v>
      </c>
      <c r="B70" s="53">
        <f>D41</f>
        <v>-3.8590552849509283</v>
      </c>
      <c r="C70" t="s">
        <v>460</v>
      </c>
      <c r="E70" s="7" t="s">
        <v>87</v>
      </c>
      <c r="F70" s="96" t="s">
        <v>458</v>
      </c>
      <c r="G70" s="7"/>
      <c r="I70" t="s">
        <v>477</v>
      </c>
    </row>
    <row r="71" spans="1:9" ht="18.75" x14ac:dyDescent="0.35">
      <c r="A71" s="9" t="s">
        <v>467</v>
      </c>
      <c r="B71" s="53">
        <f>D46</f>
        <v>2.776445105197793</v>
      </c>
      <c r="E71" t="s">
        <v>88</v>
      </c>
      <c r="F71" t="s">
        <v>459</v>
      </c>
      <c r="I71" t="s">
        <v>476</v>
      </c>
    </row>
    <row r="72" spans="1:9" x14ac:dyDescent="0.25">
      <c r="A72" s="8" t="s">
        <v>19</v>
      </c>
      <c r="B72">
        <f>E41</f>
        <v>1.8161860202922861E-2</v>
      </c>
      <c r="C72" t="s">
        <v>456</v>
      </c>
      <c r="E72" s="7" t="s">
        <v>89</v>
      </c>
      <c r="F72" s="96" t="s">
        <v>458</v>
      </c>
      <c r="G72" s="7"/>
    </row>
    <row r="73" spans="1:9" x14ac:dyDescent="0.25">
      <c r="A73" s="8">
        <v>0</v>
      </c>
      <c r="B73" t="s">
        <v>457</v>
      </c>
      <c r="E73" s="7" t="s">
        <v>89</v>
      </c>
      <c r="F73" s="96" t="s">
        <v>458</v>
      </c>
      <c r="G73" s="7"/>
    </row>
    <row r="75" spans="1:9" ht="18" x14ac:dyDescent="0.35">
      <c r="A75" t="s">
        <v>232</v>
      </c>
    </row>
    <row r="76" spans="1:9" x14ac:dyDescent="0.25">
      <c r="A76" s="7" t="s">
        <v>16</v>
      </c>
      <c r="I76" t="s">
        <v>479</v>
      </c>
    </row>
    <row r="77" spans="1:9" x14ac:dyDescent="0.25">
      <c r="A77" s="7" t="s">
        <v>20</v>
      </c>
      <c r="F77" s="7"/>
      <c r="G77" s="7"/>
      <c r="I77" t="s">
        <v>21</v>
      </c>
    </row>
    <row r="78" spans="1:9" x14ac:dyDescent="0.25">
      <c r="A78" s="8" t="s">
        <v>22</v>
      </c>
      <c r="B78" s="53">
        <f>D42</f>
        <v>2.9819972656439009</v>
      </c>
      <c r="C78" t="s">
        <v>460</v>
      </c>
      <c r="E78" s="7" t="s">
        <v>91</v>
      </c>
      <c r="F78" s="96" t="s">
        <v>458</v>
      </c>
      <c r="G78" s="7"/>
      <c r="I78" t="s">
        <v>23</v>
      </c>
    </row>
    <row r="79" spans="1:9" x14ac:dyDescent="0.25">
      <c r="A79" s="8"/>
      <c r="B79" s="54"/>
      <c r="E79" s="7" t="s">
        <v>92</v>
      </c>
      <c r="F79" t="s">
        <v>459</v>
      </c>
      <c r="G79" s="7"/>
    </row>
    <row r="80" spans="1:9" x14ac:dyDescent="0.25">
      <c r="A80" s="8" t="s">
        <v>24</v>
      </c>
      <c r="B80" s="53">
        <f>E42</f>
        <v>4.0658463283449256E-2</v>
      </c>
      <c r="C80" t="s">
        <v>463</v>
      </c>
      <c r="E80" s="7" t="s">
        <v>91</v>
      </c>
      <c r="F80" s="96" t="s">
        <v>458</v>
      </c>
      <c r="G80" s="7"/>
    </row>
    <row r="81" spans="1:9" x14ac:dyDescent="0.25">
      <c r="A81" s="8">
        <v>0</v>
      </c>
      <c r="B81" t="s">
        <v>457</v>
      </c>
      <c r="E81" s="7" t="s">
        <v>90</v>
      </c>
      <c r="F81" s="96" t="s">
        <v>458</v>
      </c>
      <c r="G81" s="7"/>
    </row>
    <row r="83" spans="1:9" ht="18" x14ac:dyDescent="0.35">
      <c r="A83" t="s">
        <v>233</v>
      </c>
    </row>
    <row r="84" spans="1:9" x14ac:dyDescent="0.25">
      <c r="A84" s="7" t="s">
        <v>16</v>
      </c>
    </row>
    <row r="85" spans="1:9" x14ac:dyDescent="0.25">
      <c r="A85" s="7" t="s">
        <v>25</v>
      </c>
      <c r="I85" t="s">
        <v>480</v>
      </c>
    </row>
    <row r="86" spans="1:9" x14ac:dyDescent="0.25">
      <c r="A86" s="8" t="s">
        <v>26</v>
      </c>
      <c r="B86" s="53">
        <f>D43</f>
        <v>-0.52623481158421836</v>
      </c>
      <c r="C86" t="s">
        <v>461</v>
      </c>
      <c r="E86" s="7" t="s">
        <v>93</v>
      </c>
      <c r="F86" s="96" t="s">
        <v>459</v>
      </c>
      <c r="G86" s="7"/>
      <c r="I86" t="s">
        <v>27</v>
      </c>
    </row>
    <row r="87" spans="1:9" x14ac:dyDescent="0.25">
      <c r="E87" t="s">
        <v>94</v>
      </c>
      <c r="F87" t="s">
        <v>458</v>
      </c>
      <c r="I87" t="s">
        <v>29</v>
      </c>
    </row>
    <row r="88" spans="1:9" x14ac:dyDescent="0.25">
      <c r="A88" s="8" t="s">
        <v>28</v>
      </c>
      <c r="B88" s="53">
        <f>E43</f>
        <v>0.62655278779558055</v>
      </c>
      <c r="C88" t="s">
        <v>462</v>
      </c>
      <c r="E88" s="7" t="s">
        <v>95</v>
      </c>
      <c r="F88" s="96" t="s">
        <v>459</v>
      </c>
    </row>
    <row r="89" spans="1:9" x14ac:dyDescent="0.25">
      <c r="A89" s="8">
        <v>0</v>
      </c>
      <c r="B89" t="s">
        <v>464</v>
      </c>
      <c r="E89" s="7" t="s">
        <v>95</v>
      </c>
      <c r="F89" s="96" t="s">
        <v>459</v>
      </c>
    </row>
    <row r="91" spans="1:9" x14ac:dyDescent="0.25">
      <c r="A91" s="49" t="s">
        <v>101</v>
      </c>
    </row>
    <row r="93" spans="1:9" x14ac:dyDescent="0.25">
      <c r="A93" s="3" t="s">
        <v>98</v>
      </c>
      <c r="D93" t="s">
        <v>99</v>
      </c>
    </row>
    <row r="95" spans="1:9" x14ac:dyDescent="0.25">
      <c r="A95" s="3" t="s">
        <v>100</v>
      </c>
      <c r="E95" t="s">
        <v>97</v>
      </c>
    </row>
    <row r="97" spans="1:31" x14ac:dyDescent="0.25">
      <c r="A97" t="s">
        <v>83</v>
      </c>
    </row>
    <row r="99" spans="1:31" x14ac:dyDescent="0.25">
      <c r="B99" s="3" t="s">
        <v>465</v>
      </c>
      <c r="C99" s="28">
        <f>D107/D108</f>
        <v>8.0205128205128204</v>
      </c>
      <c r="D99" t="s">
        <v>470</v>
      </c>
      <c r="F99" s="235" t="s">
        <v>98</v>
      </c>
      <c r="H99" t="s">
        <v>458</v>
      </c>
    </row>
    <row r="100" spans="1:31" ht="18.75" x14ac:dyDescent="0.35">
      <c r="B100" s="3" t="s">
        <v>466</v>
      </c>
      <c r="C100">
        <f>_xlfn.F.INV(0.95,B107,B108)</f>
        <v>6.5913821164255779</v>
      </c>
      <c r="F100" t="s">
        <v>471</v>
      </c>
      <c r="J100" t="s">
        <v>459</v>
      </c>
    </row>
    <row r="101" spans="1:31" x14ac:dyDescent="0.25">
      <c r="B101" t="s">
        <v>469</v>
      </c>
    </row>
    <row r="103" spans="1:31" x14ac:dyDescent="0.25">
      <c r="B103" s="3" t="s">
        <v>472</v>
      </c>
      <c r="C103" s="271">
        <f>1-_xlfn.F.DIST(E107,B107,B108,1)</f>
        <v>3.623610026803803E-2</v>
      </c>
      <c r="D103" t="s">
        <v>473</v>
      </c>
    </row>
    <row r="105" spans="1:31" ht="15.75" thickBot="1" x14ac:dyDescent="0.3">
      <c r="A105" t="s">
        <v>374</v>
      </c>
    </row>
    <row r="106" spans="1:31" x14ac:dyDescent="0.25">
      <c r="A106" s="204"/>
      <c r="B106" s="204" t="s">
        <v>205</v>
      </c>
      <c r="C106" s="204" t="s">
        <v>206</v>
      </c>
      <c r="D106" s="204" t="s">
        <v>207</v>
      </c>
      <c r="E106" s="204" t="s">
        <v>208</v>
      </c>
      <c r="F106" s="204" t="s">
        <v>375</v>
      </c>
      <c r="H106" s="242" t="s">
        <v>455</v>
      </c>
    </row>
    <row r="107" spans="1:31" x14ac:dyDescent="0.25">
      <c r="A107" s="48" t="s">
        <v>376</v>
      </c>
      <c r="B107" s="48">
        <v>3</v>
      </c>
      <c r="C107" s="48">
        <v>1564</v>
      </c>
      <c r="D107" s="48">
        <v>521.33333333333337</v>
      </c>
      <c r="E107" s="273">
        <v>8.0205128205128204</v>
      </c>
      <c r="F107" s="272">
        <v>3.6236100268038099E-2</v>
      </c>
      <c r="H107">
        <f>_xlfn.F.INV(0.95,B107,B108)</f>
        <v>6.5913821164255779</v>
      </c>
    </row>
    <row r="108" spans="1:31" ht="15.75" thickBot="1" x14ac:dyDescent="0.3">
      <c r="A108" s="48" t="s">
        <v>377</v>
      </c>
      <c r="B108" s="48">
        <v>4</v>
      </c>
      <c r="C108" s="48">
        <v>260</v>
      </c>
      <c r="D108" s="48">
        <v>65</v>
      </c>
      <c r="E108" s="48"/>
      <c r="F108" s="48"/>
    </row>
    <row r="109" spans="1:31" ht="15.75" thickBot="1" x14ac:dyDescent="0.3">
      <c r="A109" s="203" t="s">
        <v>378</v>
      </c>
      <c r="B109" s="203">
        <v>7</v>
      </c>
      <c r="C109" s="203">
        <v>1824</v>
      </c>
      <c r="D109" s="203"/>
      <c r="E109" s="203"/>
      <c r="F109" s="203"/>
      <c r="Y109" s="204" t="s">
        <v>379</v>
      </c>
      <c r="AA109" s="109" t="s">
        <v>760</v>
      </c>
      <c r="AB109" s="109"/>
      <c r="AC109" s="109"/>
      <c r="AD109" s="109"/>
      <c r="AE109" s="109"/>
    </row>
    <row r="110" spans="1:31" x14ac:dyDescent="0.25">
      <c r="Y110" s="48">
        <v>69</v>
      </c>
      <c r="AA110" s="109" t="s">
        <v>761</v>
      </c>
      <c r="AB110" s="109"/>
      <c r="AC110" s="109"/>
      <c r="AD110" s="109"/>
      <c r="AE110" s="109"/>
    </row>
    <row r="111" spans="1:31" x14ac:dyDescent="0.25">
      <c r="B111" t="s">
        <v>616</v>
      </c>
      <c r="C111" t="s">
        <v>474</v>
      </c>
      <c r="Y111" s="241">
        <v>-10.999999999999998</v>
      </c>
    </row>
    <row r="112" spans="1:31" x14ac:dyDescent="0.25">
      <c r="Y112" s="48">
        <v>8.5000000000000036</v>
      </c>
      <c r="AA112" s="109" t="s">
        <v>774</v>
      </c>
    </row>
    <row r="113" spans="25:27" ht="15.75" thickBot="1" x14ac:dyDescent="0.3">
      <c r="Y113" s="203">
        <v>-1.5000000000000024</v>
      </c>
      <c r="AA113" s="109" t="s">
        <v>762</v>
      </c>
    </row>
  </sheetData>
  <sortState ref="G50:G57">
    <sortCondition ref="G50"/>
  </sortState>
  <pageMargins left="0.7" right="0.7" top="0.75" bottom="0.75" header="0.3" footer="0.3"/>
  <pageSetup paperSize="9" orientation="portrait" horizontalDpi="300" verticalDpi="300" r:id="rId1"/>
  <drawing r:id="rId2"/>
  <legacyDrawing r:id="rId3"/>
  <oleObjects>
    <mc:AlternateContent xmlns:mc="http://schemas.openxmlformats.org/markup-compatibility/2006">
      <mc:Choice Requires="x14">
        <oleObject progId="Word.Document.12" shapeId="3073" r:id="rId4">
          <objectPr defaultSize="0" r:id="rId5">
            <anchor moveWithCells="1">
              <from>
                <xdr:col>12</xdr:col>
                <xdr:colOff>447675</xdr:colOff>
                <xdr:row>55</xdr:row>
                <xdr:rowOff>161925</xdr:rowOff>
              </from>
              <to>
                <xdr:col>22</xdr:col>
                <xdr:colOff>104775</xdr:colOff>
                <xdr:row>67</xdr:row>
                <xdr:rowOff>114300</xdr:rowOff>
              </to>
            </anchor>
          </objectPr>
        </oleObject>
      </mc:Choice>
      <mc:Fallback>
        <oleObject progId="Word.Document.12" shapeId="307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workbookViewId="0">
      <selection activeCell="H30" sqref="H30"/>
    </sheetView>
  </sheetViews>
  <sheetFormatPr defaultRowHeight="15" x14ac:dyDescent="0.25"/>
  <sheetData>
    <row r="1" spans="1:6" x14ac:dyDescent="0.25">
      <c r="A1" t="s">
        <v>109</v>
      </c>
      <c r="B1" t="s">
        <v>108</v>
      </c>
    </row>
    <row r="2" spans="1:6" ht="18" x14ac:dyDescent="0.35">
      <c r="B2" t="s">
        <v>107</v>
      </c>
    </row>
    <row r="3" spans="1:6" ht="18" x14ac:dyDescent="0.35">
      <c r="B3" t="s">
        <v>106</v>
      </c>
    </row>
    <row r="4" spans="1:6" ht="17.25" x14ac:dyDescent="0.25">
      <c r="B4" t="s">
        <v>105</v>
      </c>
    </row>
    <row r="5" spans="1:6" x14ac:dyDescent="0.25">
      <c r="B5" t="s">
        <v>3</v>
      </c>
    </row>
    <row r="6" spans="1:6" x14ac:dyDescent="0.25">
      <c r="B6" t="s">
        <v>4</v>
      </c>
      <c r="E6" s="61">
        <v>0.05</v>
      </c>
      <c r="F6" t="s">
        <v>5</v>
      </c>
    </row>
    <row r="7" spans="1:6" x14ac:dyDescent="0.25">
      <c r="A7" t="s">
        <v>104</v>
      </c>
      <c r="C7" s="2" t="s">
        <v>6</v>
      </c>
      <c r="D7" s="2" t="s">
        <v>7</v>
      </c>
      <c r="E7" s="2" t="s">
        <v>8</v>
      </c>
      <c r="F7" s="2" t="s">
        <v>9</v>
      </c>
    </row>
    <row r="8" spans="1:6" x14ac:dyDescent="0.25">
      <c r="C8" s="2">
        <v>3</v>
      </c>
      <c r="D8" s="2">
        <v>2.4</v>
      </c>
      <c r="E8" s="2">
        <v>2.25</v>
      </c>
      <c r="F8" s="2">
        <v>1.95</v>
      </c>
    </row>
    <row r="9" spans="1:6" x14ac:dyDescent="0.25">
      <c r="C9" s="2">
        <v>3.27</v>
      </c>
      <c r="D9" s="2">
        <v>3.09</v>
      </c>
      <c r="E9" s="2">
        <v>2.0099999999999998</v>
      </c>
      <c r="F9" s="2">
        <v>1.85</v>
      </c>
    </row>
    <row r="10" spans="1:6" x14ac:dyDescent="0.25">
      <c r="C10" s="2">
        <v>3.5</v>
      </c>
      <c r="D10" s="2">
        <v>3.0249999999999999</v>
      </c>
      <c r="E10" s="2">
        <v>2</v>
      </c>
      <c r="F10" s="2">
        <v>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workbookViewId="0">
      <selection activeCell="K17" sqref="K17"/>
    </sheetView>
  </sheetViews>
  <sheetFormatPr defaultRowHeight="15" x14ac:dyDescent="0.25"/>
  <sheetData>
    <row r="1" spans="1:6" x14ac:dyDescent="0.25">
      <c r="A1" t="s">
        <v>109</v>
      </c>
      <c r="B1" t="s">
        <v>110</v>
      </c>
    </row>
    <row r="2" spans="1:6" ht="18" x14ac:dyDescent="0.35">
      <c r="B2" t="s">
        <v>111</v>
      </c>
    </row>
    <row r="3" spans="1:6" ht="18" x14ac:dyDescent="0.35">
      <c r="B3" t="s">
        <v>112</v>
      </c>
    </row>
    <row r="4" spans="1:6" ht="17.25" x14ac:dyDescent="0.25">
      <c r="B4" t="s">
        <v>113</v>
      </c>
    </row>
    <row r="5" spans="1:6" x14ac:dyDescent="0.25">
      <c r="B5" t="s">
        <v>3</v>
      </c>
    </row>
    <row r="6" spans="1:6" x14ac:dyDescent="0.25">
      <c r="B6" t="s">
        <v>4</v>
      </c>
      <c r="E6" s="61">
        <v>0.05</v>
      </c>
      <c r="F6" t="s">
        <v>5</v>
      </c>
    </row>
    <row r="7" spans="1:6" x14ac:dyDescent="0.25">
      <c r="A7" t="s">
        <v>114</v>
      </c>
      <c r="C7" s="2" t="s">
        <v>6</v>
      </c>
      <c r="D7" s="2" t="s">
        <v>7</v>
      </c>
      <c r="E7" s="2" t="s">
        <v>8</v>
      </c>
      <c r="F7" s="2" t="s">
        <v>9</v>
      </c>
    </row>
    <row r="8" spans="1:6" x14ac:dyDescent="0.25">
      <c r="C8" s="2">
        <v>10</v>
      </c>
      <c r="D8" s="2">
        <v>9</v>
      </c>
      <c r="E8" s="2">
        <v>14</v>
      </c>
      <c r="F8" s="2">
        <v>19</v>
      </c>
    </row>
    <row r="9" spans="1:6" x14ac:dyDescent="0.25">
      <c r="C9" s="2">
        <v>11</v>
      </c>
      <c r="D9" s="2">
        <v>8</v>
      </c>
      <c r="E9" s="2">
        <v>15</v>
      </c>
      <c r="F9" s="2">
        <v>18</v>
      </c>
    </row>
    <row r="10" spans="1:6" x14ac:dyDescent="0.25">
      <c r="C10" s="2">
        <v>12</v>
      </c>
      <c r="D10" s="2">
        <v>7</v>
      </c>
      <c r="E10" s="2">
        <v>13</v>
      </c>
      <c r="F10" s="2">
        <v>17</v>
      </c>
    </row>
    <row r="11" spans="1:6" x14ac:dyDescent="0.25">
      <c r="C11" s="2">
        <v>13</v>
      </c>
      <c r="D11" s="2">
        <v>6</v>
      </c>
      <c r="E11" s="2">
        <v>15</v>
      </c>
      <c r="F11" s="2">
        <v>19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workbookViewId="0">
      <selection activeCell="D15" sqref="D15"/>
    </sheetView>
  </sheetViews>
  <sheetFormatPr defaultRowHeight="15" x14ac:dyDescent="0.25"/>
  <sheetData>
    <row r="1" spans="1:6" x14ac:dyDescent="0.25">
      <c r="A1" t="s">
        <v>109</v>
      </c>
      <c r="B1" t="s">
        <v>119</v>
      </c>
    </row>
    <row r="2" spans="1:6" ht="18" x14ac:dyDescent="0.35">
      <c r="B2" t="s">
        <v>115</v>
      </c>
    </row>
    <row r="3" spans="1:6" ht="18.75" x14ac:dyDescent="0.35">
      <c r="B3" t="s">
        <v>116</v>
      </c>
    </row>
    <row r="4" spans="1:6" ht="17.25" x14ac:dyDescent="0.25">
      <c r="B4" t="s">
        <v>117</v>
      </c>
    </row>
    <row r="5" spans="1:6" x14ac:dyDescent="0.25">
      <c r="B5" t="s">
        <v>3</v>
      </c>
    </row>
    <row r="6" spans="1:6" x14ac:dyDescent="0.25">
      <c r="B6" t="s">
        <v>4</v>
      </c>
      <c r="E6" s="61">
        <v>0.05</v>
      </c>
      <c r="F6" t="s">
        <v>5</v>
      </c>
    </row>
    <row r="7" spans="1:6" x14ac:dyDescent="0.25">
      <c r="C7" s="2" t="s">
        <v>6</v>
      </c>
      <c r="D7" s="2" t="s">
        <v>7</v>
      </c>
      <c r="E7" s="2" t="s">
        <v>8</v>
      </c>
      <c r="F7" s="2" t="s">
        <v>9</v>
      </c>
    </row>
    <row r="8" spans="1:6" x14ac:dyDescent="0.25">
      <c r="A8" t="s">
        <v>118</v>
      </c>
      <c r="C8" s="2">
        <v>26</v>
      </c>
      <c r="D8" s="2">
        <v>29</v>
      </c>
      <c r="E8" s="2">
        <v>27</v>
      </c>
      <c r="F8" s="2">
        <v>35</v>
      </c>
    </row>
    <row r="9" spans="1:6" x14ac:dyDescent="0.25">
      <c r="C9" s="2">
        <v>23</v>
      </c>
      <c r="D9" s="2">
        <v>30</v>
      </c>
      <c r="E9" s="2">
        <v>29</v>
      </c>
      <c r="F9" s="2">
        <v>34</v>
      </c>
    </row>
    <row r="10" spans="1:6" x14ac:dyDescent="0.25">
      <c r="C10" s="2">
        <v>25</v>
      </c>
      <c r="D10" s="2">
        <v>27</v>
      </c>
      <c r="E10" s="2">
        <v>31</v>
      </c>
      <c r="F10" s="2">
        <v>32</v>
      </c>
    </row>
    <row r="11" spans="1:6" x14ac:dyDescent="0.25">
      <c r="C11" s="2">
        <v>23</v>
      </c>
      <c r="D11" s="2">
        <v>28</v>
      </c>
      <c r="E11" s="2">
        <v>29</v>
      </c>
      <c r="F11" s="2">
        <v>35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"/>
  <sheetViews>
    <sheetView workbookViewId="0">
      <selection activeCell="F30" sqref="F30"/>
    </sheetView>
  </sheetViews>
  <sheetFormatPr defaultRowHeight="15" x14ac:dyDescent="0.25"/>
  <sheetData>
    <row r="1" spans="1:6" x14ac:dyDescent="0.25">
      <c r="A1" t="s">
        <v>0</v>
      </c>
      <c r="B1" t="s">
        <v>120</v>
      </c>
    </row>
    <row r="2" spans="1:6" x14ac:dyDescent="0.25">
      <c r="B2" t="s">
        <v>121</v>
      </c>
    </row>
    <row r="3" spans="1:6" ht="18" x14ac:dyDescent="0.35">
      <c r="B3" t="s">
        <v>122</v>
      </c>
    </row>
    <row r="4" spans="1:6" ht="18" x14ac:dyDescent="0.35">
      <c r="B4" t="s">
        <v>123</v>
      </c>
    </row>
    <row r="5" spans="1:6" ht="17.25" x14ac:dyDescent="0.25">
      <c r="B5" t="s">
        <v>124</v>
      </c>
    </row>
    <row r="6" spans="1:6" x14ac:dyDescent="0.25">
      <c r="B6" t="s">
        <v>3</v>
      </c>
    </row>
    <row r="7" spans="1:6" x14ac:dyDescent="0.25">
      <c r="B7" t="s">
        <v>4</v>
      </c>
      <c r="E7" s="61">
        <v>0.1</v>
      </c>
      <c r="F7" t="s">
        <v>5</v>
      </c>
    </row>
    <row r="8" spans="1:6" x14ac:dyDescent="0.25">
      <c r="A8" t="s">
        <v>118</v>
      </c>
      <c r="C8" s="2" t="s">
        <v>6</v>
      </c>
      <c r="D8" s="2" t="s">
        <v>7</v>
      </c>
      <c r="E8" s="2" t="s">
        <v>8</v>
      </c>
      <c r="F8" s="2" t="s">
        <v>9</v>
      </c>
    </row>
    <row r="9" spans="1:6" x14ac:dyDescent="0.25">
      <c r="C9" s="2">
        <v>1.5</v>
      </c>
      <c r="D9" s="2">
        <v>4.2</v>
      </c>
      <c r="E9" s="2">
        <v>4.9000000000000004</v>
      </c>
      <c r="F9" s="2">
        <v>8.4</v>
      </c>
    </row>
    <row r="10" spans="1:6" x14ac:dyDescent="0.25">
      <c r="C10" s="2">
        <v>2</v>
      </c>
      <c r="D10" s="2">
        <v>4.3</v>
      </c>
      <c r="E10" s="2">
        <v>5</v>
      </c>
      <c r="F10" s="2">
        <v>9.1</v>
      </c>
    </row>
    <row r="11" spans="1:6" x14ac:dyDescent="0.25">
      <c r="C11" s="2">
        <v>1.7</v>
      </c>
      <c r="D11" s="2">
        <v>4.0999999999999996</v>
      </c>
      <c r="E11" s="2">
        <v>5.0999999999999996</v>
      </c>
      <c r="F11" s="2">
        <v>8.1999999999999993</v>
      </c>
    </row>
    <row r="12" spans="1:6" x14ac:dyDescent="0.25">
      <c r="C12" s="2">
        <v>2.1</v>
      </c>
      <c r="D12" s="2">
        <v>4</v>
      </c>
      <c r="E12" s="2">
        <v>5.2</v>
      </c>
      <c r="F12" s="2">
        <v>8.9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"/>
  <sheetViews>
    <sheetView topLeftCell="A10" workbookViewId="0">
      <selection activeCell="E20" sqref="E20"/>
    </sheetView>
  </sheetViews>
  <sheetFormatPr defaultRowHeight="15" x14ac:dyDescent="0.25"/>
  <sheetData>
    <row r="1" spans="1:12" x14ac:dyDescent="0.25">
      <c r="A1" t="s">
        <v>109</v>
      </c>
      <c r="B1" t="s">
        <v>125</v>
      </c>
    </row>
    <row r="2" spans="1:12" x14ac:dyDescent="0.25">
      <c r="B2" t="s">
        <v>126</v>
      </c>
    </row>
    <row r="3" spans="1:12" ht="18" x14ac:dyDescent="0.35">
      <c r="B3" t="s">
        <v>142</v>
      </c>
    </row>
    <row r="4" spans="1:12" ht="18" x14ac:dyDescent="0.35">
      <c r="B4" t="s">
        <v>127</v>
      </c>
    </row>
    <row r="5" spans="1:12" x14ac:dyDescent="0.25">
      <c r="B5" t="s">
        <v>3</v>
      </c>
    </row>
    <row r="6" spans="1:12" x14ac:dyDescent="0.25">
      <c r="B6" t="s">
        <v>4</v>
      </c>
      <c r="E6" s="61">
        <v>0.05</v>
      </c>
      <c r="F6" t="s">
        <v>5</v>
      </c>
    </row>
    <row r="7" spans="1:12" x14ac:dyDescent="0.25">
      <c r="A7" t="s">
        <v>128</v>
      </c>
      <c r="C7" t="s">
        <v>337</v>
      </c>
      <c r="I7" s="2"/>
      <c r="J7" s="2"/>
      <c r="K7" s="2"/>
      <c r="L7" s="2"/>
    </row>
    <row r="8" spans="1:12" x14ac:dyDescent="0.25">
      <c r="C8" t="s">
        <v>339</v>
      </c>
      <c r="I8" s="2"/>
      <c r="J8" s="2"/>
      <c r="K8" s="2"/>
      <c r="L8" s="2"/>
    </row>
    <row r="9" spans="1:12" x14ac:dyDescent="0.25">
      <c r="C9" t="s">
        <v>340</v>
      </c>
      <c r="I9" s="2"/>
      <c r="J9" s="2"/>
      <c r="K9" s="2"/>
      <c r="L9" s="2"/>
    </row>
    <row r="10" spans="1:12" x14ac:dyDescent="0.25">
      <c r="C10" t="s">
        <v>338</v>
      </c>
      <c r="I10" s="2"/>
      <c r="J10" s="2"/>
      <c r="K10" s="2"/>
      <c r="L10" s="2"/>
    </row>
    <row r="11" spans="1:12" x14ac:dyDescent="0.25">
      <c r="I11" s="2"/>
      <c r="J11" s="2"/>
      <c r="K11" s="2"/>
      <c r="L11" s="2"/>
    </row>
  </sheetData>
  <pageMargins left="0.7" right="0.7" top="0.75" bottom="0.75" header="0.3" footer="0.3"/>
  <pageSetup paperSize="9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"/>
  <sheetViews>
    <sheetView workbookViewId="0">
      <selection activeCell="G18" sqref="G18"/>
    </sheetView>
  </sheetViews>
  <sheetFormatPr defaultRowHeight="15" x14ac:dyDescent="0.25"/>
  <sheetData>
    <row r="1" spans="1:6" x14ac:dyDescent="0.25">
      <c r="A1" t="s">
        <v>0</v>
      </c>
      <c r="B1" t="s">
        <v>129</v>
      </c>
    </row>
    <row r="2" spans="1:6" ht="18" x14ac:dyDescent="0.35">
      <c r="B2" t="s">
        <v>130</v>
      </c>
    </row>
    <row r="3" spans="1:6" ht="18" x14ac:dyDescent="0.35">
      <c r="B3" t="s">
        <v>131</v>
      </c>
    </row>
    <row r="4" spans="1:6" ht="17.25" x14ac:dyDescent="0.25">
      <c r="B4" t="s">
        <v>132</v>
      </c>
    </row>
    <row r="5" spans="1:6" x14ac:dyDescent="0.25">
      <c r="B5" t="s">
        <v>3</v>
      </c>
    </row>
    <row r="6" spans="1:6" x14ac:dyDescent="0.25">
      <c r="B6" t="s">
        <v>4</v>
      </c>
      <c r="E6" s="62">
        <v>0.1</v>
      </c>
      <c r="F6" t="s">
        <v>5</v>
      </c>
    </row>
    <row r="7" spans="1:6" x14ac:dyDescent="0.25">
      <c r="C7" s="2"/>
      <c r="D7" s="2"/>
      <c r="E7" s="2"/>
      <c r="F7" s="2"/>
    </row>
    <row r="8" spans="1:6" x14ac:dyDescent="0.25">
      <c r="A8" t="s">
        <v>118</v>
      </c>
      <c r="C8" s="2"/>
      <c r="D8" s="2"/>
      <c r="E8" s="2"/>
      <c r="F8" s="2"/>
    </row>
    <row r="9" spans="1:6" x14ac:dyDescent="0.25">
      <c r="B9" t="s">
        <v>341</v>
      </c>
      <c r="E9" t="s">
        <v>343</v>
      </c>
    </row>
    <row r="10" spans="1:6" x14ac:dyDescent="0.25">
      <c r="B10" t="s">
        <v>342</v>
      </c>
      <c r="E10" t="s">
        <v>344</v>
      </c>
    </row>
    <row r="11" spans="1:6" x14ac:dyDescent="0.25">
      <c r="B11" t="s">
        <v>349</v>
      </c>
      <c r="E11" t="s">
        <v>351</v>
      </c>
    </row>
    <row r="12" spans="1:6" x14ac:dyDescent="0.25">
      <c r="B12" t="s">
        <v>350</v>
      </c>
      <c r="E12" t="s">
        <v>346</v>
      </c>
    </row>
    <row r="13" spans="1:6" x14ac:dyDescent="0.25">
      <c r="B13" t="s">
        <v>345</v>
      </c>
      <c r="E13" t="s">
        <v>347</v>
      </c>
    </row>
    <row r="14" spans="1:6" x14ac:dyDescent="0.25">
      <c r="B14" t="s">
        <v>346</v>
      </c>
      <c r="E14" t="s">
        <v>348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25</vt:i4>
      </vt:variant>
    </vt:vector>
  </HeadingPairs>
  <TitlesOfParts>
    <vt:vector size="25" baseType="lpstr">
      <vt:lpstr>pruzina_ vypocet cez vzorec</vt:lpstr>
      <vt:lpstr>pruzina_vyp cez rozsirenu matic</vt:lpstr>
      <vt:lpstr>pruzina_vypocet cez analyzu dat</vt:lpstr>
      <vt:lpstr>pneumatiky</vt:lpstr>
      <vt:lpstr>lietadlo</vt:lpstr>
      <vt:lpstr>vynosy</vt:lpstr>
      <vt:lpstr>lana1</vt:lpstr>
      <vt:lpstr>lana2</vt:lpstr>
      <vt:lpstr>mzda</vt:lpstr>
      <vt:lpstr>drevo</vt:lpstr>
      <vt:lpstr>efekt </vt:lpstr>
      <vt:lpstr>odozvova tabulka_efekty</vt:lpstr>
      <vt:lpstr>spinky</vt:lpstr>
      <vt:lpstr>ucinnost prania</vt:lpstr>
      <vt:lpstr>ucinnost prania_efekty</vt:lpstr>
      <vt:lpstr>ucinnost prania_CP</vt:lpstr>
      <vt:lpstr>efekt</vt:lpstr>
      <vt:lpstr>tri faktory</vt:lpstr>
      <vt:lpstr>test krivosti</vt:lpstr>
      <vt:lpstr>uplny kvadraticky model</vt:lpstr>
      <vt:lpstr>lack of fit_cb</vt:lpstr>
      <vt:lpstr>lack of fit_ab_cb</vt:lpstr>
      <vt:lpstr>hierarchicky model</vt:lpstr>
      <vt:lpstr>pät faktorov</vt:lpstr>
      <vt:lpstr>ciastocny plan exp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Janette Kotianova</dc:creator>
  <cp:lastModifiedBy>Janette Kotianová</cp:lastModifiedBy>
  <cp:lastPrinted>2025-11-25T11:03:19Z</cp:lastPrinted>
  <dcterms:created xsi:type="dcterms:W3CDTF">2015-12-01T18:58:57Z</dcterms:created>
  <dcterms:modified xsi:type="dcterms:W3CDTF">2025-12-02T11:12:40Z</dcterms:modified>
</cp:coreProperties>
</file>