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charts/chart1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xl/charts/chart20.xml" ContentType="application/vnd.openxmlformats-officedocument.drawingml.chart+xml"/>
  <Override PartName="/xl/drawings/drawing14.xml" ContentType="application/vnd.openxmlformats-officedocument.drawing+xml"/>
  <Override PartName="/xl/comments9.xml" ContentType="application/vnd.openxmlformats-officedocument.spreadsheetml.comments+xml"/>
  <Override PartName="/xl/charts/chart21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tianova\Desktop\stranka mmpve\"/>
    </mc:Choice>
  </mc:AlternateContent>
  <bookViews>
    <workbookView xWindow="0" yWindow="0" windowWidth="28800" windowHeight="12330" activeTab="2"/>
  </bookViews>
  <sheets>
    <sheet name="Pr 1" sheetId="2" r:id="rId1"/>
    <sheet name="Pr.2neriešený" sheetId="3" r:id="rId2"/>
    <sheet name="Pr.2riešený" sheetId="1" r:id="rId3"/>
    <sheet name="Pr.3" sheetId="4" r:id="rId4"/>
    <sheet name="Pr.4_test LOF" sheetId="5" r:id="rId5"/>
    <sheet name="Pr.5" sheetId="6" r:id="rId6"/>
    <sheet name="Pr.6" sheetId="7" r:id="rId7"/>
    <sheet name="Pr.8" sheetId="9" r:id="rId8"/>
    <sheet name="Pr.9." sheetId="10" r:id="rId9"/>
    <sheet name="kvadraticka regresia" sheetId="11" r:id="rId10"/>
    <sheet name="linearna regresia" sheetId="12" r:id="rId11"/>
    <sheet name="porovnanie" sheetId="13" r:id="rId12"/>
    <sheet name="transformacia" sheetId="14" r:id="rId13"/>
    <sheet name="Lack of fit" sheetId="15" r:id="rId14"/>
    <sheet name="Lack of fit (2 merania) " sheetId="16" r:id="rId15"/>
    <sheet name="lack of fit (4 merania)" sheetId="17" r:id="rId16"/>
  </sheets>
  <externalReferences>
    <externalReference r:id="rId17"/>
    <externalReference r:id="rId18"/>
    <externalReference r:id="rId19"/>
    <externalReference r:id="rId20"/>
  </externalReferenc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8" i="6" l="1"/>
  <c r="L18" i="6"/>
  <c r="N19" i="6"/>
  <c r="L19" i="6"/>
  <c r="I19" i="6"/>
  <c r="G19" i="6"/>
  <c r="I18" i="6"/>
  <c r="G18" i="6"/>
  <c r="N34" i="14" l="1"/>
  <c r="C35" i="12"/>
  <c r="J45" i="1"/>
  <c r="J44" i="1"/>
  <c r="J53" i="1"/>
  <c r="I53" i="1"/>
  <c r="J52" i="1"/>
  <c r="J42" i="1" l="1"/>
  <c r="J41" i="1"/>
  <c r="J40" i="1"/>
  <c r="D32" i="12" l="1"/>
  <c r="B32" i="12"/>
  <c r="E36" i="14" l="1"/>
  <c r="C36" i="14"/>
  <c r="K71" i="11"/>
  <c r="I71" i="11"/>
  <c r="G71" i="11"/>
  <c r="D34" i="5" l="1"/>
  <c r="B34" i="5"/>
  <c r="L69" i="5"/>
  <c r="H68" i="5"/>
  <c r="B78" i="5"/>
  <c r="F78" i="5" s="1"/>
  <c r="C88" i="5" s="1"/>
  <c r="H76" i="5"/>
  <c r="F76" i="5"/>
  <c r="F67" i="5"/>
  <c r="L65" i="5" s="1"/>
  <c r="I66" i="5"/>
  <c r="G65" i="5"/>
  <c r="H65" i="5" s="1"/>
  <c r="G64" i="5"/>
  <c r="H64" i="5" s="1"/>
  <c r="G62" i="5"/>
  <c r="H63" i="5" s="1"/>
  <c r="G60" i="5"/>
  <c r="H61" i="5" s="1"/>
  <c r="B53" i="5"/>
  <c r="B52" i="5"/>
  <c r="C52" i="5" s="1"/>
  <c r="B51" i="5"/>
  <c r="C51" i="5" s="1"/>
  <c r="B50" i="5"/>
  <c r="B49" i="5"/>
  <c r="B48" i="5"/>
  <c r="C48" i="5" s="1"/>
  <c r="D46" i="5"/>
  <c r="D45" i="5"/>
  <c r="D33" i="5"/>
  <c r="F33" i="5" s="1"/>
  <c r="E32" i="5"/>
  <c r="D32" i="5"/>
  <c r="D18" i="5"/>
  <c r="B34" i="12"/>
  <c r="C33" i="12"/>
  <c r="B33" i="12"/>
  <c r="L60" i="5" l="1"/>
  <c r="L61" i="5"/>
  <c r="M61" i="5"/>
  <c r="M62" i="5"/>
  <c r="L62" i="5"/>
  <c r="L63" i="5"/>
  <c r="L64" i="5"/>
  <c r="H60" i="5"/>
  <c r="J60" i="5"/>
  <c r="K60" i="5"/>
  <c r="M65" i="5"/>
  <c r="M60" i="5"/>
  <c r="K64" i="5"/>
  <c r="M64" i="5"/>
  <c r="K63" i="5"/>
  <c r="M63" i="5"/>
  <c r="G32" i="5"/>
  <c r="F32" i="5"/>
  <c r="K65" i="5"/>
  <c r="J63" i="5"/>
  <c r="J65" i="5"/>
  <c r="H62" i="5"/>
  <c r="J64" i="5"/>
  <c r="C49" i="5"/>
  <c r="C55" i="5" s="1"/>
  <c r="C53" i="5"/>
  <c r="K61" i="5"/>
  <c r="K62" i="5"/>
  <c r="J61" i="5"/>
  <c r="C50" i="5"/>
  <c r="J62" i="5"/>
  <c r="D31" i="12"/>
  <c r="B31" i="12"/>
  <c r="H66" i="5" l="1"/>
  <c r="L66" i="5"/>
  <c r="K66" i="5"/>
  <c r="M66" i="5"/>
  <c r="L68" i="5" s="1"/>
  <c r="J66" i="5"/>
  <c r="C78" i="5" s="1"/>
  <c r="D78" i="5" s="1"/>
  <c r="C79" i="5"/>
  <c r="D79" i="5" s="1"/>
  <c r="C54" i="5"/>
  <c r="H3" i="3"/>
  <c r="E78" i="5" l="1"/>
  <c r="D87" i="5" s="1"/>
  <c r="J68" i="5"/>
  <c r="G78" i="5"/>
  <c r="C92" i="5" s="1"/>
  <c r="D52" i="5"/>
  <c r="D48" i="5"/>
  <c r="D51" i="5"/>
  <c r="D49" i="5"/>
  <c r="D53" i="5"/>
  <c r="D50" i="5"/>
  <c r="H78" i="5" l="1"/>
  <c r="I83" i="17"/>
  <c r="B93" i="17" s="1"/>
  <c r="B92" i="17" s="1"/>
  <c r="F92" i="17" s="1"/>
  <c r="D103" i="17" s="1"/>
  <c r="G90" i="17"/>
  <c r="B91" i="17"/>
  <c r="C91" i="17"/>
  <c r="D91" i="17"/>
  <c r="C90" i="17"/>
  <c r="D90" i="17"/>
  <c r="E90" i="17"/>
  <c r="B90" i="17"/>
  <c r="H80" i="17"/>
  <c r="H81" i="17"/>
  <c r="H75" i="17"/>
  <c r="H73" i="17"/>
  <c r="H67" i="17"/>
  <c r="F84" i="17"/>
  <c r="F83" i="17"/>
  <c r="G79" i="17"/>
  <c r="H82" i="17" s="1"/>
  <c r="G75" i="17"/>
  <c r="H76" i="17" s="1"/>
  <c r="G71" i="17"/>
  <c r="H74" i="17" s="1"/>
  <c r="G67" i="17"/>
  <c r="H68" i="17" s="1"/>
  <c r="H72" i="17" l="1"/>
  <c r="H70" i="17"/>
  <c r="H78" i="17"/>
  <c r="H69" i="17"/>
  <c r="H83" i="17" s="1"/>
  <c r="C93" i="17" s="1"/>
  <c r="H77" i="17"/>
  <c r="H71" i="17"/>
  <c r="H79" i="17"/>
  <c r="D22" i="14"/>
  <c r="H22" i="14" s="1"/>
  <c r="N35" i="14"/>
  <c r="F15" i="14"/>
  <c r="E15" i="14"/>
  <c r="F14" i="14"/>
  <c r="E14" i="14"/>
  <c r="F13" i="14"/>
  <c r="E13" i="14"/>
  <c r="F12" i="14"/>
  <c r="E12" i="14"/>
  <c r="F11" i="14"/>
  <c r="E11" i="14"/>
  <c r="F10" i="14"/>
  <c r="E10" i="14"/>
  <c r="Q26" i="11"/>
  <c r="C62" i="11"/>
  <c r="C61" i="11"/>
  <c r="C60" i="11"/>
  <c r="C59" i="11"/>
  <c r="C58" i="11"/>
  <c r="C57" i="11"/>
  <c r="C56" i="11"/>
  <c r="C55" i="11"/>
  <c r="C54" i="11"/>
  <c r="C53" i="11"/>
  <c r="L26" i="11"/>
  <c r="B23" i="11"/>
  <c r="C18" i="11"/>
  <c r="G24" i="11" s="1"/>
  <c r="C17" i="11"/>
  <c r="G23" i="11" s="1"/>
  <c r="C14" i="11"/>
  <c r="D23" i="11" s="1"/>
  <c r="C13" i="11"/>
  <c r="B24" i="11" s="1"/>
  <c r="L7" i="11"/>
  <c r="K7" i="11"/>
  <c r="J7" i="11"/>
  <c r="I7" i="11"/>
  <c r="H7" i="11"/>
  <c r="G7" i="11"/>
  <c r="F7" i="11"/>
  <c r="E7" i="11"/>
  <c r="D7" i="11"/>
  <c r="C7" i="11"/>
  <c r="L6" i="11"/>
  <c r="K6" i="11"/>
  <c r="J6" i="11"/>
  <c r="I6" i="11"/>
  <c r="H6" i="11"/>
  <c r="G6" i="11"/>
  <c r="F6" i="11"/>
  <c r="E6" i="11"/>
  <c r="D6" i="11"/>
  <c r="C6" i="11"/>
  <c r="L5" i="11"/>
  <c r="K5" i="11"/>
  <c r="J5" i="11"/>
  <c r="I5" i="11"/>
  <c r="H5" i="11"/>
  <c r="G5" i="11"/>
  <c r="F5" i="11"/>
  <c r="E5" i="11"/>
  <c r="D5" i="11"/>
  <c r="C5" i="11"/>
  <c r="D20" i="1"/>
  <c r="L54" i="1"/>
  <c r="B40" i="13"/>
  <c r="E33" i="13"/>
  <c r="E32" i="13"/>
  <c r="E29" i="13"/>
  <c r="E28" i="13"/>
  <c r="C24" i="13"/>
  <c r="C23" i="13"/>
  <c r="D93" i="17" l="1"/>
  <c r="C92" i="17"/>
  <c r="D92" i="17" s="1"/>
  <c r="E92" i="17" s="1"/>
  <c r="C16" i="11"/>
  <c r="D25" i="11" s="1"/>
  <c r="C19" i="11"/>
  <c r="G25" i="11" s="1"/>
  <c r="G26" i="11" s="1"/>
  <c r="C15" i="11"/>
  <c r="D24" i="11" s="1"/>
  <c r="H23" i="14"/>
  <c r="B25" i="11"/>
  <c r="C24" i="11"/>
  <c r="C23" i="11"/>
  <c r="K95" i="2"/>
  <c r="J95" i="2"/>
  <c r="J96" i="2"/>
  <c r="D116" i="2"/>
  <c r="E114" i="2"/>
  <c r="I113" i="2"/>
  <c r="H113" i="2"/>
  <c r="G113" i="2"/>
  <c r="I112" i="2"/>
  <c r="H112" i="2"/>
  <c r="G112" i="2"/>
  <c r="I111" i="2"/>
  <c r="H111" i="2"/>
  <c r="G111" i="2"/>
  <c r="I110" i="2"/>
  <c r="H110" i="2"/>
  <c r="G110" i="2"/>
  <c r="I109" i="2"/>
  <c r="H109" i="2"/>
  <c r="G109" i="2"/>
  <c r="I108" i="2"/>
  <c r="H108" i="2"/>
  <c r="G108" i="2"/>
  <c r="F108" i="2"/>
  <c r="H89" i="2"/>
  <c r="H88" i="2"/>
  <c r="F88" i="2"/>
  <c r="H86" i="2"/>
  <c r="N49" i="1"/>
  <c r="M49" i="1"/>
  <c r="J28" i="1"/>
  <c r="J27" i="1"/>
  <c r="H114" i="2" l="1"/>
  <c r="I114" i="2"/>
  <c r="C25" i="11"/>
  <c r="G92" i="17"/>
  <c r="B107" i="17" s="1"/>
  <c r="B103" i="17"/>
  <c r="B26" i="11"/>
  <c r="B27" i="11"/>
  <c r="B32" i="11" s="1"/>
  <c r="F45" i="2"/>
  <c r="F43" i="2"/>
  <c r="F42" i="2"/>
  <c r="F44" i="2" s="1"/>
  <c r="J46" i="2"/>
  <c r="G46" i="2"/>
  <c r="G45" i="2"/>
  <c r="G44" i="2"/>
  <c r="F81" i="2"/>
  <c r="B79" i="2"/>
  <c r="G43" i="2"/>
  <c r="G42" i="2"/>
  <c r="B74" i="2"/>
  <c r="B76" i="2" s="1"/>
  <c r="B72" i="2"/>
  <c r="C42" i="2"/>
  <c r="D6" i="2"/>
  <c r="D7" i="2"/>
  <c r="D8" i="2"/>
  <c r="D9" i="2"/>
  <c r="D10" i="2"/>
  <c r="D5" i="2"/>
  <c r="B42" i="2" s="1"/>
  <c r="B41" i="2" s="1"/>
  <c r="B49" i="2" s="1"/>
  <c r="B48" i="2" s="1"/>
  <c r="B44" i="2"/>
  <c r="B43" i="2"/>
  <c r="C44" i="2"/>
  <c r="C43" i="2"/>
  <c r="C41" i="2"/>
  <c r="J49" i="1"/>
  <c r="J50" i="1" s="1"/>
  <c r="J46" i="1"/>
  <c r="J43" i="1"/>
  <c r="J39" i="1"/>
  <c r="E39" i="1"/>
  <c r="C39" i="1"/>
  <c r="J31" i="1"/>
  <c r="L34" i="1" s="1"/>
  <c r="J30" i="1"/>
  <c r="N29" i="1" s="1"/>
  <c r="J29" i="1"/>
  <c r="L29" i="1" s="1"/>
  <c r="E19" i="1"/>
  <c r="D19" i="1"/>
  <c r="D18" i="1"/>
  <c r="F7" i="1"/>
  <c r="F6" i="1"/>
  <c r="F46" i="2" l="1"/>
  <c r="B29" i="11"/>
  <c r="G32" i="11" s="1"/>
  <c r="B28" i="11"/>
  <c r="D32" i="11" s="1"/>
  <c r="N45" i="1"/>
  <c r="L45" i="1"/>
  <c r="J48" i="1"/>
  <c r="M76" i="16" l="1"/>
  <c r="M77" i="16"/>
  <c r="M84" i="16"/>
  <c r="M85" i="16"/>
  <c r="G67" i="16"/>
  <c r="L78" i="16"/>
  <c r="L79" i="16"/>
  <c r="L86" i="16"/>
  <c r="L87" i="16"/>
  <c r="K72" i="16"/>
  <c r="K73" i="16"/>
  <c r="K74" i="16"/>
  <c r="K75" i="16"/>
  <c r="K76" i="16"/>
  <c r="K77" i="16"/>
  <c r="K78" i="16"/>
  <c r="K79" i="16"/>
  <c r="K80" i="16"/>
  <c r="K81" i="16"/>
  <c r="K82" i="16"/>
  <c r="K83" i="16"/>
  <c r="K84" i="16"/>
  <c r="K85" i="16"/>
  <c r="K86" i="16"/>
  <c r="K87" i="16"/>
  <c r="K88" i="16"/>
  <c r="K89" i="16"/>
  <c r="K90" i="16"/>
  <c r="K71" i="16"/>
  <c r="K91" i="16" s="1"/>
  <c r="F92" i="16"/>
  <c r="M79" i="16" s="1"/>
  <c r="F91" i="16"/>
  <c r="B100" i="16"/>
  <c r="F100" i="16" s="1"/>
  <c r="D111" i="16" s="1"/>
  <c r="G89" i="16"/>
  <c r="H89" i="16" s="1"/>
  <c r="G87" i="16"/>
  <c r="J88" i="16" s="1"/>
  <c r="G85" i="16"/>
  <c r="J86" i="16" s="1"/>
  <c r="G83" i="16"/>
  <c r="J84" i="16" s="1"/>
  <c r="I81" i="16"/>
  <c r="I91" i="16" s="1"/>
  <c r="G81" i="16"/>
  <c r="J81" i="16" s="1"/>
  <c r="G79" i="16"/>
  <c r="H80" i="16" s="1"/>
  <c r="H78" i="16"/>
  <c r="J77" i="16"/>
  <c r="G77" i="16"/>
  <c r="H77" i="16" s="1"/>
  <c r="G75" i="16"/>
  <c r="J75" i="16" s="1"/>
  <c r="G73" i="16"/>
  <c r="J73" i="16" s="1"/>
  <c r="G71" i="16"/>
  <c r="J72" i="16" s="1"/>
  <c r="H47" i="16"/>
  <c r="J82" i="16" l="1"/>
  <c r="L88" i="16"/>
  <c r="L80" i="16"/>
  <c r="L72" i="16"/>
  <c r="M86" i="16"/>
  <c r="M78" i="16"/>
  <c r="L85" i="16"/>
  <c r="L77" i="16"/>
  <c r="M71" i="16"/>
  <c r="M83" i="16"/>
  <c r="M75" i="16"/>
  <c r="J78" i="16"/>
  <c r="L84" i="16"/>
  <c r="L76" i="16"/>
  <c r="M90" i="16"/>
  <c r="M82" i="16"/>
  <c r="M74" i="16"/>
  <c r="L71" i="16"/>
  <c r="L83" i="16"/>
  <c r="L75" i="16"/>
  <c r="M89" i="16"/>
  <c r="M81" i="16"/>
  <c r="M73" i="16"/>
  <c r="L90" i="16"/>
  <c r="L82" i="16"/>
  <c r="L74" i="16"/>
  <c r="M88" i="16"/>
  <c r="M80" i="16"/>
  <c r="M72" i="16"/>
  <c r="H82" i="16"/>
  <c r="L89" i="16"/>
  <c r="L81" i="16"/>
  <c r="L73" i="16"/>
  <c r="M87" i="16"/>
  <c r="H87" i="16"/>
  <c r="H83" i="16"/>
  <c r="H88" i="16"/>
  <c r="J87" i="16"/>
  <c r="H74" i="16"/>
  <c r="H79" i="16"/>
  <c r="J83" i="16"/>
  <c r="J79" i="16"/>
  <c r="H75" i="16"/>
  <c r="J80" i="16"/>
  <c r="H85" i="16"/>
  <c r="H90" i="16"/>
  <c r="H73" i="16"/>
  <c r="J89" i="16"/>
  <c r="H71" i="16"/>
  <c r="H76" i="16"/>
  <c r="J71" i="16"/>
  <c r="J76" i="16"/>
  <c r="H81" i="16"/>
  <c r="J85" i="16"/>
  <c r="J90" i="16"/>
  <c r="J74" i="16"/>
  <c r="H84" i="16"/>
  <c r="H72" i="16"/>
  <c r="H86" i="16"/>
  <c r="L91" i="16" l="1"/>
  <c r="J91" i="16"/>
  <c r="M91" i="16"/>
  <c r="H91" i="16"/>
  <c r="C101" i="16" s="1"/>
  <c r="D101" i="16" l="1"/>
  <c r="C100" i="16"/>
  <c r="D100" i="16" s="1"/>
  <c r="E100" i="16" s="1"/>
  <c r="B111" i="16" l="1"/>
  <c r="G100" i="16"/>
  <c r="B115" i="16" s="1"/>
  <c r="B60" i="2" l="1" a="1"/>
  <c r="D61" i="2" s="1"/>
  <c r="C34" i="2" a="1"/>
  <c r="D34" i="2" s="1"/>
  <c r="D28" i="2"/>
  <c r="D26" i="2"/>
  <c r="E16" i="2"/>
  <c r="C16" i="2"/>
  <c r="B17" i="2"/>
  <c r="B16" i="2"/>
  <c r="H11" i="2"/>
  <c r="I17" i="2" s="1"/>
  <c r="H10" i="2"/>
  <c r="I16" i="2" s="1"/>
  <c r="H9" i="2"/>
  <c r="C17" i="2" s="1"/>
  <c r="H8" i="2"/>
  <c r="H7" i="2"/>
  <c r="B18" i="2" l="1"/>
  <c r="E18" i="2"/>
  <c r="B19" i="2" s="1"/>
  <c r="H18" i="2"/>
  <c r="B20" i="2" s="1"/>
  <c r="E17" i="2"/>
  <c r="F60" i="2"/>
  <c r="B60" i="2"/>
  <c r="G61" i="2"/>
  <c r="C61" i="2"/>
  <c r="E60" i="2"/>
  <c r="D60" i="2"/>
  <c r="F61" i="2"/>
  <c r="B61" i="2"/>
  <c r="E61" i="2"/>
  <c r="G60" i="2"/>
  <c r="C60" i="2"/>
  <c r="C34" i="2"/>
  <c r="D35" i="2"/>
  <c r="C35" i="2"/>
  <c r="B63" i="2" l="1" a="1"/>
  <c r="G34" i="2" a="1"/>
  <c r="H60" i="15"/>
  <c r="G64" i="15"/>
  <c r="H65" i="15" s="1"/>
  <c r="G60" i="15"/>
  <c r="H61" i="15" s="1"/>
  <c r="G57" i="15"/>
  <c r="H57" i="15" s="1"/>
  <c r="G54" i="15"/>
  <c r="H56" i="15" s="1"/>
  <c r="G52" i="15"/>
  <c r="H52" i="15" s="1"/>
  <c r="G50" i="15"/>
  <c r="H50" i="15" s="1"/>
  <c r="G47" i="15"/>
  <c r="H47" i="15" s="1"/>
  <c r="G45" i="15"/>
  <c r="H45" i="15" s="1"/>
  <c r="H51" i="15" l="1"/>
  <c r="H62" i="15"/>
  <c r="H64" i="15"/>
  <c r="H46" i="15"/>
  <c r="H48" i="15"/>
  <c r="H54" i="15"/>
  <c r="G35" i="2"/>
  <c r="G34" i="2"/>
  <c r="H53" i="15"/>
  <c r="H55" i="15"/>
  <c r="B63" i="2"/>
  <c r="C63" i="2"/>
  <c r="C64" i="2"/>
  <c r="B64" i="2"/>
  <c r="H58" i="15"/>
  <c r="B70" i="2"/>
  <c r="F63" i="2" l="1" a="1"/>
  <c r="F63" i="2" s="1"/>
  <c r="C87" i="17"/>
  <c r="F64" i="2" l="1"/>
  <c r="G64" i="2"/>
  <c r="G63" i="2"/>
  <c r="J63" i="2" a="1"/>
  <c r="J63" i="2" l="1"/>
  <c r="K63" i="2"/>
  <c r="M64" i="2"/>
  <c r="O63" i="2"/>
  <c r="L64" i="2"/>
  <c r="N63" i="2"/>
  <c r="O64" i="2"/>
  <c r="K64" i="2"/>
  <c r="J64" i="2"/>
  <c r="L63" i="2"/>
  <c r="M63" i="2"/>
  <c r="N64" i="2"/>
  <c r="C66" i="2" l="1" a="1"/>
  <c r="I66" i="15"/>
  <c r="M48" i="15" s="1"/>
  <c r="L49" i="15"/>
  <c r="M46" i="15"/>
  <c r="L46" i="15"/>
  <c r="L45" i="15"/>
  <c r="N45" i="15" s="1"/>
  <c r="H66" i="15"/>
  <c r="L48" i="15" s="1"/>
  <c r="N48" i="15" l="1"/>
  <c r="L47" i="15"/>
  <c r="M47" i="15"/>
  <c r="P47" i="15" s="1"/>
  <c r="C66" i="2"/>
  <c r="C67" i="2"/>
  <c r="N46" i="15"/>
  <c r="N47" i="15" l="1"/>
  <c r="O47" i="15" s="1"/>
  <c r="Q47" i="15" s="1"/>
</calcChain>
</file>

<file path=xl/comments1.xml><?xml version="1.0" encoding="utf-8"?>
<comments xmlns="http://schemas.openxmlformats.org/spreadsheetml/2006/main">
  <authors>
    <author>kotianova</author>
    <author>Janette Kotianova</author>
    <author>Maria Tothova</author>
    <author>Ucitel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vlozit symbol - arial - grectina a koptcina</t>
        </r>
      </text>
    </comment>
    <comment ref="A53" authorId="1" shapeId="0">
      <text>
        <r>
          <rPr>
            <b/>
            <sz val="9"/>
            <color indexed="81"/>
            <rFont val="Tahoma"/>
            <family val="2"/>
            <charset val="238"/>
          </rPr>
          <t>matica planu experimentu</t>
        </r>
      </text>
    </comment>
    <comment ref="A70" authorId="2" shapeId="0">
      <text>
        <r>
          <rPr>
            <b/>
            <sz val="8"/>
            <color indexed="81"/>
            <rFont val="Tahoma"/>
            <family val="2"/>
            <charset val="238"/>
          </rPr>
          <t>INTERCEPT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72" authorId="2" shapeId="0">
      <text>
        <r>
          <rPr>
            <b/>
            <sz val="8"/>
            <color indexed="81"/>
            <rFont val="Tahoma"/>
            <family val="2"/>
            <charset val="238"/>
          </rPr>
          <t>SLOPE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74" authorId="2" shapeId="0">
      <text>
        <r>
          <rPr>
            <b/>
            <sz val="8"/>
            <color indexed="81"/>
            <rFont val="Tahoma"/>
            <family val="2"/>
            <charset val="238"/>
          </rPr>
          <t>CORREL
(označuje sa aj R)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76" authorId="2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index determinácie = R^2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79" authorId="2" shapeId="0">
      <text>
        <r>
          <rPr>
            <b/>
            <sz val="8"/>
            <color indexed="81"/>
            <rFont val="Tahoma"/>
            <family val="2"/>
            <charset val="238"/>
          </rPr>
          <t>COVARIANCE.P</t>
        </r>
      </text>
    </comment>
    <comment ref="E81" authorId="2" shapeId="0">
      <text>
        <r>
          <rPr>
            <b/>
            <sz val="8"/>
            <color indexed="81"/>
            <rFont val="Tahoma"/>
            <family val="2"/>
            <charset val="238"/>
          </rPr>
          <t>FORECAST.LINEAR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95" authorId="3" shapeId="0">
      <text>
        <r>
          <rPr>
            <sz val="9"/>
            <color indexed="81"/>
            <rFont val="Tahoma"/>
            <family val="2"/>
            <charset val="238"/>
          </rPr>
          <t xml:space="preserve">pocet prem
</t>
        </r>
      </text>
    </comment>
    <comment ref="D97" authorId="3" shapeId="0">
      <text>
        <r>
          <rPr>
            <sz val="9"/>
            <color indexed="81"/>
            <rFont val="Tahoma"/>
            <family val="2"/>
            <charset val="238"/>
          </rPr>
          <t xml:space="preserve">n-1
</t>
        </r>
      </text>
    </comment>
  </commentList>
</comments>
</file>

<file path=xl/comments2.xml><?xml version="1.0" encoding="utf-8"?>
<comments xmlns="http://schemas.openxmlformats.org/spreadsheetml/2006/main">
  <authors>
    <author>Maria Tothova</author>
  </authors>
  <commentList>
    <comment ref="C4" authorId="0" shapeId="0">
      <text>
        <r>
          <rPr>
            <b/>
            <sz val="8"/>
            <color indexed="81"/>
            <rFont val="Tahoma"/>
            <family val="2"/>
            <charset val="238"/>
          </rPr>
          <t>nameraná hodnota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Maria Tothova</author>
    <author>Janette Kotianova</author>
    <author>tc={491B44EE-DFC3-4BD2-9354-15170551FCD9}</author>
    <author>tc={B7CF1084-6837-4FF7-A96A-6C83A07D01BF}</author>
  </authors>
  <commentList>
    <comment ref="C4" authorId="0" shapeId="0">
      <text>
        <r>
          <rPr>
            <b/>
            <sz val="8"/>
            <color indexed="81"/>
            <rFont val="Tahoma"/>
            <family val="2"/>
            <charset val="238"/>
          </rPr>
          <t>nameraná hodnota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8" authorId="0" shapeId="0">
      <text>
        <r>
          <rPr>
            <b/>
            <sz val="8"/>
            <color indexed="81"/>
            <rFont val="Tahoma"/>
            <family val="2"/>
            <charset val="238"/>
          </rPr>
          <t>absolutna hodnota (velkost) korelacneho koeficientu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19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Index determinacie= R^2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9" authorId="1" shapeId="0">
      <text>
        <r>
          <rPr>
            <b/>
            <sz val="9"/>
            <color indexed="81"/>
            <rFont val="Tahoma"/>
            <family val="2"/>
            <charset val="238"/>
          </rPr>
          <t>SSR/SSY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  <charset val="238"/>
          </rPr>
          <t>=RSQ</t>
        </r>
      </text>
    </comment>
    <comment ref="B20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korigovany index determinácie- služi na odhad koef.korelácie v ZS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0" authorId="1" shapeId="0">
      <text>
        <r>
          <rPr>
            <b/>
            <sz val="9"/>
            <color indexed="81"/>
            <rFont val="Tahoma"/>
            <family val="2"/>
            <charset val="238"/>
          </rPr>
          <t>1-(1-r^2)*(n-1)/(n-2)</t>
        </r>
      </text>
    </comment>
    <comment ref="B22" authorId="0" shapeId="0">
      <text>
        <r>
          <rPr>
            <b/>
            <sz val="8"/>
            <color indexed="81"/>
            <rFont val="Tahoma"/>
            <family val="2"/>
            <charset val="238"/>
          </rPr>
          <t>pocet pozorovani(merani)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L24" authorId="2" shapeId="0">
      <text>
        <r>
          <rPr>
            <sz val="11"/>
            <color theme="1"/>
            <rFont val="Calibri"/>
            <family val="2"/>
            <charset val="238"/>
            <scheme val="minor"/>
          </rPr>
          <t>Testujeme štatistickú významnosť regresného modelu ako celku - test je pravostranný</t>
        </r>
      </text>
    </comment>
    <comment ref="C27" authorId="0" shapeId="0">
      <text>
        <r>
          <rPr>
            <b/>
            <sz val="8"/>
            <color indexed="81"/>
            <rFont val="Tahoma"/>
            <family val="2"/>
            <charset val="238"/>
          </rPr>
          <t>stupen volnosti
(degree od freedom)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7" authorId="0" shapeId="0">
      <text>
        <r>
          <rPr>
            <b/>
            <sz val="8"/>
            <color indexed="81"/>
            <rFont val="Tahoma"/>
            <family val="2"/>
            <charset val="238"/>
          </rPr>
          <t>suma štvorcov odchýlok
 (Sum of Square)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7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priemerný štvorec odchýlok (Mean of Square) = SS/df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7" authorId="0" shapeId="0">
      <text>
        <r>
          <rPr>
            <b/>
            <sz val="8"/>
            <color indexed="81"/>
            <rFont val="Tahoma"/>
            <family val="2"/>
            <charset val="238"/>
          </rPr>
          <t>hodnota (realizacia) testovacej statistiky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7" authorId="0" shapeId="0">
      <text>
        <r>
          <rPr>
            <b/>
            <sz val="8"/>
            <color indexed="81"/>
            <rFont val="Tahoma"/>
            <family val="2"/>
            <charset val="238"/>
          </rPr>
          <t>p-hodnota</t>
        </r>
        <r>
          <rPr>
            <sz val="8"/>
            <color indexed="81"/>
            <rFont val="Tahoma"/>
            <family val="2"/>
            <charset val="238"/>
          </rPr>
          <t xml:space="preserve">
Signifikance F</t>
        </r>
      </text>
    </comment>
    <comment ref="B28" authorId="0" shapeId="0">
      <text>
        <r>
          <rPr>
            <b/>
            <sz val="8"/>
            <color indexed="81"/>
            <rFont val="Tahoma"/>
            <family val="2"/>
            <charset val="238"/>
          </rPr>
          <t>variabilita vysvetlená regresným modelom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11"/>
            <color indexed="81"/>
            <rFont val="Tahoma"/>
            <family val="2"/>
            <charset val="238"/>
          </rPr>
          <t>R</t>
        </r>
      </text>
    </comment>
    <comment ref="C28" authorId="1" shapeId="0">
      <text>
        <r>
          <rPr>
            <b/>
            <sz val="9"/>
            <color indexed="81"/>
            <rFont val="Tahoma"/>
            <family val="2"/>
            <charset val="238"/>
          </rPr>
          <t>k  - počet nezávislých premenných (faktorov)</t>
        </r>
      </text>
    </comment>
    <comment ref="D28" authorId="1" shapeId="0">
      <text>
        <r>
          <rPr>
            <b/>
            <sz val="9"/>
            <color indexed="81"/>
            <rFont val="Tahoma"/>
            <family val="2"/>
            <charset val="238"/>
          </rPr>
          <t>SSR</t>
        </r>
      </text>
    </comment>
    <comment ref="F28" authorId="1" shapeId="0">
      <text>
        <r>
          <rPr>
            <b/>
            <sz val="9"/>
            <color indexed="81"/>
            <rFont val="Tahoma"/>
            <family val="2"/>
            <charset val="238"/>
          </rPr>
          <t>F=
MSR/MSE</t>
        </r>
      </text>
    </comment>
    <comment ref="B29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variabilita nevysvetlená regresným modelom (reziduá)   </t>
        </r>
        <r>
          <rPr>
            <b/>
            <sz val="12"/>
            <color indexed="81"/>
            <rFont val="Tahoma"/>
            <family val="2"/>
            <charset val="238"/>
          </rPr>
          <t>E</t>
        </r>
      </text>
    </comment>
    <comment ref="D29" authorId="1" shapeId="0">
      <text>
        <r>
          <rPr>
            <b/>
            <sz val="9"/>
            <color indexed="81"/>
            <rFont val="Tahoma"/>
            <family val="2"/>
            <charset val="238"/>
          </rPr>
          <t>SSE</t>
        </r>
      </text>
    </comment>
    <comment ref="I29" authorId="1" shapeId="0">
      <text>
        <r>
          <rPr>
            <b/>
            <sz val="9"/>
            <color indexed="81"/>
            <rFont val="Tahoma"/>
            <family val="2"/>
            <charset val="238"/>
          </rPr>
          <t>testovacia statistika ma F rozdelenie s 1 a n-2 stupnami volnosti</t>
        </r>
      </text>
    </comment>
    <comment ref="L29" authorId="1" shapeId="0">
      <text>
        <r>
          <rPr>
            <b/>
            <sz val="9"/>
            <color indexed="81"/>
            <rFont val="Tahoma"/>
            <family val="2"/>
            <charset val="238"/>
          </rPr>
          <t>hodnota (realizacia) testovacej statistiky</t>
        </r>
      </text>
    </comment>
    <comment ref="N29" authorId="1" shapeId="0">
      <text>
        <r>
          <rPr>
            <b/>
            <sz val="9"/>
            <color indexed="81"/>
            <rFont val="Tahoma"/>
            <family val="2"/>
            <charset val="238"/>
          </rPr>
          <t>F kvantil</t>
        </r>
      </text>
    </comment>
    <comment ref="B30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celková variabilita premennej </t>
        </r>
        <r>
          <rPr>
            <b/>
            <sz val="12"/>
            <color indexed="81"/>
            <rFont val="Tahoma"/>
            <family val="2"/>
            <charset val="238"/>
          </rPr>
          <t>Y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30" authorId="1" shapeId="0">
      <text>
        <r>
          <rPr>
            <b/>
            <sz val="9"/>
            <color indexed="81"/>
            <rFont val="Tahoma"/>
            <family val="2"/>
            <charset val="238"/>
          </rPr>
          <t>n = rozsah VS-1</t>
        </r>
      </text>
    </comment>
    <comment ref="D30" authorId="1" shapeId="0">
      <text>
        <r>
          <rPr>
            <b/>
            <sz val="9"/>
            <color indexed="81"/>
            <rFont val="Tahoma"/>
            <family val="2"/>
            <charset val="238"/>
          </rPr>
          <t>SSY</t>
        </r>
      </text>
    </comment>
    <comment ref="I30" authorId="1" shapeId="0">
      <text>
        <r>
          <rPr>
            <b/>
            <sz val="9"/>
            <color indexed="81"/>
            <rFont val="Tahoma"/>
            <family val="2"/>
            <charset val="238"/>
          </rPr>
          <t>F kvantil</t>
        </r>
      </text>
    </comment>
    <comment ref="I31" authorId="1" shapeId="0">
      <text>
        <r>
          <rPr>
            <b/>
            <sz val="9"/>
            <color indexed="81"/>
            <rFont val="Tahoma"/>
            <family val="2"/>
            <charset val="238"/>
          </rPr>
          <t>1-F(F0), kde F0 je realizácia testovacej statistiky na VS
ak p =&gt;alfa, potom H0 nezamietame</t>
        </r>
      </text>
    </comment>
    <comment ref="L34" authorId="1" shapeId="0">
      <text>
        <r>
          <rPr>
            <b/>
            <sz val="9"/>
            <color indexed="81"/>
            <rFont val="Tahoma"/>
            <family val="2"/>
            <charset val="238"/>
          </rPr>
          <t>p hodnota</t>
        </r>
      </text>
    </comment>
    <comment ref="N34" authorId="1" shapeId="0">
      <text>
        <r>
          <rPr>
            <b/>
            <sz val="9"/>
            <color indexed="81"/>
            <rFont val="Tahoma"/>
            <family val="2"/>
            <charset val="238"/>
          </rPr>
          <t>alfa volime väcsinou rovne 0,05 alebo 0,01</t>
        </r>
      </text>
    </comment>
    <comment ref="G35" authorId="0" shapeId="0">
      <text>
        <r>
          <rPr>
            <b/>
            <sz val="8"/>
            <color indexed="81"/>
            <rFont val="Tahoma"/>
            <family val="2"/>
            <charset val="238"/>
          </rPr>
          <t>dolná hranica 95%-neho intervalu spoľahlivosti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35" authorId="0" shapeId="0">
      <text>
        <r>
          <rPr>
            <b/>
            <sz val="8"/>
            <color indexed="81"/>
            <rFont val="Tahoma"/>
            <family val="2"/>
            <charset val="238"/>
          </rPr>
          <t xml:space="preserve">horná hranica 95%-neho intervalu spoľahlivosti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6" authorId="0" shapeId="0">
      <text>
        <r>
          <rPr>
            <b/>
            <sz val="8"/>
            <color indexed="81"/>
            <rFont val="Tahoma"/>
            <family val="2"/>
            <charset val="238"/>
          </rPr>
          <t>lokujúca konštanta b0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37" authorId="0" shapeId="0">
      <text>
        <r>
          <rPr>
            <b/>
            <sz val="8"/>
            <color indexed="81"/>
            <rFont val="Tahoma"/>
            <family val="2"/>
            <charset val="238"/>
          </rPr>
          <t>regresný koeficient b1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40" authorId="1" shapeId="0">
      <text>
        <r>
          <rPr>
            <b/>
            <sz val="9"/>
            <color indexed="81"/>
            <rFont val="Tahoma"/>
            <family val="2"/>
            <charset val="238"/>
          </rPr>
          <t>MSE</t>
        </r>
      </text>
    </comment>
    <comment ref="L41" authorId="3" shapeId="0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Testujeme štatistickú významnosť regresného koeficientu b1 </t>
        </r>
      </text>
    </comment>
    <comment ref="C43" authorId="0" shapeId="0">
      <text>
        <r>
          <rPr>
            <b/>
            <sz val="8"/>
            <color indexed="81"/>
            <rFont val="Tahoma"/>
            <family val="2"/>
            <charset val="238"/>
          </rPr>
          <t>modelované hodnoty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3" authorId="0" shapeId="0">
      <text>
        <r>
          <rPr>
            <b/>
            <sz val="8"/>
            <color indexed="81"/>
            <rFont val="Tahoma"/>
            <family val="2"/>
            <charset val="238"/>
          </rPr>
          <t>reziduálne odchýlky (nameraná hodnota - modelovaná hodnota)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" authorId="1" shapeId="0">
      <text>
        <r>
          <rPr>
            <b/>
            <sz val="9"/>
            <color indexed="81"/>
            <rFont val="Tahoma"/>
            <family val="2"/>
            <charset val="238"/>
          </rPr>
          <t>testovacia statistika ma t rozdelenie s n-2 stupnami volnosti</t>
        </r>
      </text>
    </comment>
    <comment ref="M49" authorId="1" shapeId="0">
      <text>
        <r>
          <rPr>
            <b/>
            <sz val="9"/>
            <color indexed="81"/>
            <rFont val="Tahoma"/>
            <family val="2"/>
            <charset val="238"/>
          </rPr>
          <t>dolna hranica IS</t>
        </r>
      </text>
    </comment>
    <comment ref="N49" authorId="1" shapeId="0">
      <text>
        <r>
          <rPr>
            <b/>
            <sz val="9"/>
            <color indexed="81"/>
            <rFont val="Tahoma"/>
            <family val="2"/>
            <charset val="238"/>
          </rPr>
          <t>horna hranica IS</t>
        </r>
      </text>
    </comment>
    <comment ref="D52" authorId="1" shapeId="0">
      <text>
        <r>
          <rPr>
            <b/>
            <sz val="9"/>
            <color indexed="81"/>
            <rFont val="Tahoma"/>
            <family val="2"/>
            <charset val="238"/>
          </rPr>
          <t>=SUMSQ</t>
        </r>
      </text>
    </comment>
    <comment ref="E52" authorId="1" shapeId="0">
      <text>
        <r>
          <rPr>
            <b/>
            <sz val="9"/>
            <color indexed="81"/>
            <rFont val="Tahoma"/>
            <family val="2"/>
            <charset val="238"/>
          </rPr>
          <t>=DEVSQ</t>
        </r>
      </text>
    </comment>
    <comment ref="L54" authorId="1" shapeId="0">
      <text>
        <r>
          <rPr>
            <b/>
            <sz val="9"/>
            <color indexed="81"/>
            <rFont val="Tahoma"/>
            <family val="2"/>
            <charset val="238"/>
          </rPr>
          <t>p hodnota</t>
        </r>
      </text>
    </comment>
    <comment ref="N54" authorId="1" shapeId="0">
      <text>
        <r>
          <rPr>
            <b/>
            <sz val="9"/>
            <color indexed="81"/>
            <rFont val="Tahoma"/>
            <family val="2"/>
            <charset val="238"/>
          </rPr>
          <t>alfa volime väcsinou rovne 0,05 alebo 0,01</t>
        </r>
      </text>
    </comment>
  </commentList>
</comments>
</file>

<file path=xl/comments4.xml><?xml version="1.0" encoding="utf-8"?>
<comments xmlns="http://schemas.openxmlformats.org/spreadsheetml/2006/main">
  <authors>
    <author>Janette Kotianová</author>
    <author>Janette Kotianova</author>
    <author>tc={A37776AC-DC54-4732-BC53-A5A88C979135}</author>
  </authors>
  <commentList>
    <comment ref="H59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SSPE</t>
        </r>
      </text>
    </comment>
    <comment ref="J59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SSLF</t>
        </r>
      </text>
    </comment>
    <comment ref="K59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SSE</t>
        </r>
      </text>
    </comment>
    <comment ref="L59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SSY - Total</t>
        </r>
      </text>
    </comment>
    <comment ref="M59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SSR</t>
        </r>
      </text>
    </comment>
    <comment ref="H66" authorId="0" shapeId="0">
      <text>
        <r>
          <rPr>
            <b/>
            <sz val="8"/>
            <color indexed="81"/>
            <rFont val="Segoe UI"/>
            <family val="2"/>
            <charset val="238"/>
          </rPr>
          <t>SSPE</t>
        </r>
      </text>
    </comment>
    <comment ref="I66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dfP- meriame v 10 roznych bodoch xi </t>
        </r>
      </text>
    </comment>
    <comment ref="J66" authorId="0" shapeId="0">
      <text>
        <r>
          <rPr>
            <b/>
            <sz val="8"/>
            <color indexed="81"/>
            <rFont val="Segoe UI"/>
            <family val="2"/>
            <charset val="238"/>
          </rPr>
          <t>SSLF</t>
        </r>
      </text>
    </comment>
    <comment ref="K66" authorId="0" shapeId="0">
      <text>
        <r>
          <rPr>
            <b/>
            <sz val="8"/>
            <color indexed="81"/>
            <rFont val="Segoe UI"/>
            <family val="2"/>
            <charset val="238"/>
          </rPr>
          <t>SSE</t>
        </r>
      </text>
    </comment>
    <comment ref="L66" authorId="0" shapeId="0">
      <text>
        <r>
          <rPr>
            <b/>
            <sz val="8"/>
            <color indexed="81"/>
            <rFont val="Segoe UI"/>
            <family val="2"/>
            <charset val="238"/>
          </rPr>
          <t>SSY - Total</t>
        </r>
      </text>
    </comment>
    <comment ref="M66" authorId="0" shapeId="0">
      <text>
        <r>
          <rPr>
            <b/>
            <sz val="8"/>
            <color indexed="81"/>
            <rFont val="Segoe UI"/>
            <family val="2"/>
            <charset val="238"/>
          </rPr>
          <t>SSR</t>
        </r>
      </text>
    </comment>
    <comment ref="F67" authorId="0" shapeId="0">
      <text>
        <r>
          <rPr>
            <b/>
            <sz val="8"/>
            <color indexed="81"/>
            <rFont val="Segoe UI"/>
            <family val="2"/>
            <charset val="238"/>
          </rPr>
          <t>y priem</t>
        </r>
      </text>
    </comment>
    <comment ref="C78" authorId="0" shapeId="0">
      <text>
        <r>
          <rPr>
            <b/>
            <sz val="8"/>
            <color indexed="81"/>
            <rFont val="Segoe UI"/>
            <family val="2"/>
            <charset val="238"/>
          </rPr>
          <t>Lack of fit</t>
        </r>
      </text>
    </comment>
    <comment ref="D78" authorId="1" shapeId="0">
      <text>
        <r>
          <rPr>
            <b/>
            <sz val="9"/>
            <color indexed="81"/>
            <rFont val="Tahoma"/>
            <family val="2"/>
            <charset val="238"/>
          </rPr>
          <t>sL^2</t>
        </r>
      </text>
    </comment>
    <comment ref="C79" authorId="1" shapeId="0">
      <text>
        <r>
          <rPr>
            <b/>
            <sz val="9"/>
            <color indexed="81"/>
            <rFont val="Tahoma"/>
            <family val="2"/>
            <charset val="238"/>
          </rPr>
          <t>chyba pri merani</t>
        </r>
      </text>
    </comment>
    <comment ref="D79" authorId="1" shapeId="0">
      <text>
        <r>
          <rPr>
            <b/>
            <sz val="9"/>
            <color indexed="81"/>
            <rFont val="Tahoma"/>
            <family val="2"/>
            <charset val="238"/>
          </rPr>
          <t>sP^2</t>
        </r>
      </text>
    </comment>
    <comment ref="B83" authorId="2" shapeId="0">
      <text>
        <r>
          <rPr>
            <sz val="11"/>
            <color theme="1"/>
            <rFont val="Calibri"/>
            <family val="2"/>
            <charset val="238"/>
            <scheme val="minor"/>
          </rPr>
          <t>[Zreťazený komentár]
Vaša verzia programu Excel vám umožňuje čítať tento zreťazený komentár, avšak akékoľvek jeho zmeny sa odstránia, ak sa súbor otvorí v novšej verzii programu Excel. Ďalšie informácie: https://go.microsoft.com/fwlink/?linkid=870924
Komentár:
    Testujeme adekvátnosť regresného modelu - či je model dostatočný</t>
        </r>
      </text>
    </comment>
    <comment ref="B84" authorId="1" shapeId="0">
      <text>
        <r>
          <rPr>
            <b/>
            <sz val="9"/>
            <color indexed="81"/>
            <rFont val="Tahoma"/>
            <family val="2"/>
            <charset val="238"/>
          </rPr>
          <t>H0: model je dostatocny
H1: model nie je dostatocny</t>
        </r>
      </text>
    </comment>
  </commentList>
</comments>
</file>

<file path=xl/comments5.xml><?xml version="1.0" encoding="utf-8"?>
<comments xmlns="http://schemas.openxmlformats.org/spreadsheetml/2006/main">
  <authors>
    <author>Janette Kotianová</author>
  </authors>
  <commentList>
    <comment ref="B15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podla znamienka regresneho koeficientu b1 vieme, ze zavislost bude nepriama, t.j. koeficient korelacie r= -0,890804</t>
        </r>
      </text>
    </comment>
  </commentList>
</comments>
</file>

<file path=xl/comments6.xml><?xml version="1.0" encoding="utf-8"?>
<comments xmlns="http://schemas.openxmlformats.org/spreadsheetml/2006/main">
  <authors>
    <author>Janette Kotianová</author>
  </authors>
  <commentList>
    <comment ref="D22" authorId="0" shapeId="0">
      <text>
        <r>
          <rPr>
            <b/>
            <sz val="9"/>
            <color indexed="81"/>
            <rFont val="Segoe UI"/>
            <family val="2"/>
            <charset val="238"/>
          </rPr>
          <t>R^2</t>
        </r>
      </text>
    </comment>
    <comment ref="H23" authorId="0" shapeId="0">
      <text>
        <r>
          <rPr>
            <b/>
            <sz val="9"/>
            <color indexed="81"/>
            <rFont val="Segoe UI"/>
            <family val="2"/>
            <charset val="238"/>
          </rPr>
          <t>po zlogartimovani premennych je medzi novymi premennymi vysoka miera linearnej (nepriamej) zavislosti</t>
        </r>
      </text>
    </comment>
  </commentList>
</comments>
</file>

<file path=xl/comments7.xml><?xml version="1.0" encoding="utf-8"?>
<comments xmlns="http://schemas.openxmlformats.org/spreadsheetml/2006/main">
  <authors>
    <author>Janette Kotianova</author>
    <author>Janette Kotianová</author>
  </authors>
  <commentList>
    <comment ref="N47" authorId="0" shapeId="0">
      <text>
        <r>
          <rPr>
            <b/>
            <sz val="9"/>
            <color indexed="81"/>
            <rFont val="Tahoma"/>
            <family val="2"/>
            <charset val="238"/>
          </rPr>
          <t>sL^2</t>
        </r>
      </text>
    </comment>
    <comment ref="L48" authorId="0" shapeId="0">
      <text>
        <r>
          <rPr>
            <b/>
            <sz val="9"/>
            <color indexed="81"/>
            <rFont val="Tahoma"/>
            <family val="2"/>
            <charset val="238"/>
          </rPr>
          <t>chyba pri merani</t>
        </r>
      </text>
    </comment>
    <comment ref="N48" authorId="0" shapeId="0">
      <text>
        <r>
          <rPr>
            <b/>
            <sz val="9"/>
            <color indexed="81"/>
            <rFont val="Tahoma"/>
            <family val="2"/>
            <charset val="238"/>
          </rPr>
          <t>sP^2</t>
        </r>
      </text>
    </comment>
    <comment ref="K56" authorId="0" shapeId="0">
      <text>
        <r>
          <rPr>
            <b/>
            <sz val="9"/>
            <color indexed="81"/>
            <rFont val="Tahoma"/>
            <family val="2"/>
            <charset val="238"/>
          </rPr>
          <t>H0: model je dostatocny
H1: model nie je dostatocny</t>
        </r>
      </text>
    </comment>
    <comment ref="H66" authorId="1" shapeId="0">
      <text>
        <r>
          <rPr>
            <b/>
            <sz val="8"/>
            <color indexed="81"/>
            <rFont val="Segoe UI"/>
            <family val="2"/>
            <charset val="238"/>
          </rPr>
          <t>SSPE</t>
        </r>
      </text>
    </comment>
  </commentList>
</comments>
</file>

<file path=xl/comments8.xml><?xml version="1.0" encoding="utf-8"?>
<comments xmlns="http://schemas.openxmlformats.org/spreadsheetml/2006/main">
  <authors>
    <author>Janette Kotianová</author>
    <author>Janette Kotianova</author>
  </authors>
  <commentList>
    <comment ref="F46" authorId="0" shapeId="0">
      <text>
        <r>
          <rPr>
            <b/>
            <sz val="9"/>
            <color indexed="81"/>
            <rFont val="Segoe UI"/>
            <family val="2"/>
            <charset val="238"/>
          </rPr>
          <t>Janette Kotianová:</t>
        </r>
        <r>
          <rPr>
            <sz val="9"/>
            <color indexed="81"/>
            <rFont val="Segoe UI"/>
            <family val="2"/>
            <charset val="238"/>
          </rPr>
          <t xml:space="preserve">
y mod</t>
        </r>
      </text>
    </comment>
    <comment ref="G67" authorId="0" shapeId="0">
      <text>
        <r>
          <rPr>
            <b/>
            <sz val="8"/>
            <color indexed="81"/>
            <rFont val="Segoe UI"/>
            <family val="2"/>
            <charset val="238"/>
          </rPr>
          <t>SSE</t>
        </r>
      </text>
    </comment>
    <comment ref="H70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SSPE</t>
        </r>
      </text>
    </comment>
    <comment ref="J70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SSLF</t>
        </r>
      </text>
    </comment>
    <comment ref="K70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SSE</t>
        </r>
      </text>
    </comment>
    <comment ref="L70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SSY - Total</t>
        </r>
      </text>
    </comment>
    <comment ref="M70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SSR</t>
        </r>
      </text>
    </comment>
    <comment ref="H91" authorId="0" shapeId="0">
      <text>
        <r>
          <rPr>
            <b/>
            <sz val="8"/>
            <color indexed="81"/>
            <rFont val="Segoe UI"/>
            <family val="2"/>
            <charset val="238"/>
          </rPr>
          <t>SSPE</t>
        </r>
      </text>
    </comment>
    <comment ref="I91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dfP- meriame v 10 roznych bodoch xi </t>
        </r>
      </text>
    </comment>
    <comment ref="J91" authorId="0" shapeId="0">
      <text>
        <r>
          <rPr>
            <b/>
            <sz val="8"/>
            <color indexed="81"/>
            <rFont val="Segoe UI"/>
            <family val="2"/>
            <charset val="238"/>
          </rPr>
          <t>SSLF</t>
        </r>
      </text>
    </comment>
    <comment ref="K91" authorId="0" shapeId="0">
      <text>
        <r>
          <rPr>
            <b/>
            <sz val="8"/>
            <color indexed="81"/>
            <rFont val="Segoe UI"/>
            <family val="2"/>
            <charset val="238"/>
          </rPr>
          <t>SSE</t>
        </r>
      </text>
    </comment>
    <comment ref="L91" authorId="0" shapeId="0">
      <text>
        <r>
          <rPr>
            <b/>
            <sz val="8"/>
            <color indexed="81"/>
            <rFont val="Segoe UI"/>
            <family val="2"/>
            <charset val="238"/>
          </rPr>
          <t>SSY - Total</t>
        </r>
      </text>
    </comment>
    <comment ref="M91" authorId="0" shapeId="0">
      <text>
        <r>
          <rPr>
            <b/>
            <sz val="8"/>
            <color indexed="81"/>
            <rFont val="Segoe UI"/>
            <family val="2"/>
            <charset val="238"/>
          </rPr>
          <t>SSR</t>
        </r>
      </text>
    </comment>
    <comment ref="F92" authorId="0" shapeId="0">
      <text>
        <r>
          <rPr>
            <b/>
            <sz val="8"/>
            <color indexed="81"/>
            <rFont val="Segoe UI"/>
            <family val="2"/>
            <charset val="238"/>
          </rPr>
          <t>y priem</t>
        </r>
      </text>
    </comment>
    <comment ref="C100" authorId="0" shapeId="0">
      <text>
        <r>
          <rPr>
            <b/>
            <sz val="8"/>
            <color indexed="81"/>
            <rFont val="Segoe UI"/>
            <family val="2"/>
            <charset val="238"/>
          </rPr>
          <t>Lack of fit</t>
        </r>
      </text>
    </comment>
    <comment ref="D100" authorId="1" shapeId="0">
      <text>
        <r>
          <rPr>
            <b/>
            <sz val="9"/>
            <color indexed="81"/>
            <rFont val="Tahoma"/>
            <family val="2"/>
            <charset val="238"/>
          </rPr>
          <t>sLF^2</t>
        </r>
      </text>
    </comment>
    <comment ref="C101" authorId="1" shapeId="0">
      <text>
        <r>
          <rPr>
            <b/>
            <sz val="9"/>
            <color indexed="81"/>
            <rFont val="Tahoma"/>
            <family val="2"/>
            <charset val="238"/>
          </rPr>
          <t>chyba pri merani</t>
        </r>
      </text>
    </comment>
    <comment ref="D101" authorId="1" shapeId="0">
      <text>
        <r>
          <rPr>
            <b/>
            <sz val="9"/>
            <color indexed="81"/>
            <rFont val="Tahoma"/>
            <family val="2"/>
            <charset val="238"/>
          </rPr>
          <t>sPE^2</t>
        </r>
      </text>
    </comment>
    <comment ref="A109" authorId="1" shapeId="0">
      <text>
        <r>
          <rPr>
            <b/>
            <sz val="9"/>
            <color indexed="81"/>
            <rFont val="Tahoma"/>
            <family val="2"/>
            <charset val="238"/>
          </rPr>
          <t>H0: model je dostatocny
H1: model nie je dostatocny</t>
        </r>
      </text>
    </comment>
  </commentList>
</comments>
</file>

<file path=xl/comments9.xml><?xml version="1.0" encoding="utf-8"?>
<comments xmlns="http://schemas.openxmlformats.org/spreadsheetml/2006/main">
  <authors>
    <author>Janette Kotianová</author>
    <author>Janette Kotianova</author>
  </authors>
  <commentList>
    <comment ref="G63" authorId="0" shapeId="0">
      <text>
        <r>
          <rPr>
            <b/>
            <sz val="8"/>
            <color indexed="81"/>
            <rFont val="Segoe UI"/>
            <family val="2"/>
            <charset val="238"/>
          </rPr>
          <t>SSE</t>
        </r>
      </text>
    </comment>
    <comment ref="H66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SSPE</t>
        </r>
      </text>
    </comment>
    <comment ref="J66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SSLF</t>
        </r>
      </text>
    </comment>
    <comment ref="K66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SSE</t>
        </r>
      </text>
    </comment>
    <comment ref="L66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SSY - Total</t>
        </r>
      </text>
    </comment>
    <comment ref="M66" authorId="0" shapeId="0">
      <text>
        <r>
          <rPr>
            <b/>
            <sz val="8"/>
            <color indexed="81"/>
            <rFont val="Segoe UI"/>
            <family val="2"/>
            <charset val="238"/>
          </rPr>
          <t>chceme vypocitat SSR</t>
        </r>
      </text>
    </comment>
    <comment ref="H83" authorId="0" shapeId="0">
      <text>
        <r>
          <rPr>
            <b/>
            <sz val="8"/>
            <color indexed="81"/>
            <rFont val="Segoe UI"/>
            <family val="2"/>
            <charset val="238"/>
          </rPr>
          <t>SSPE</t>
        </r>
      </text>
    </comment>
    <comment ref="I83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dfP- meriame v 4
 roznych bodoch xi </t>
        </r>
      </text>
    </comment>
    <comment ref="J83" authorId="0" shapeId="0">
      <text>
        <r>
          <rPr>
            <b/>
            <sz val="8"/>
            <color indexed="81"/>
            <rFont val="Segoe UI"/>
            <family val="2"/>
            <charset val="238"/>
          </rPr>
          <t>SSLF</t>
        </r>
      </text>
    </comment>
    <comment ref="K83" authorId="0" shapeId="0">
      <text>
        <r>
          <rPr>
            <b/>
            <sz val="8"/>
            <color indexed="81"/>
            <rFont val="Segoe UI"/>
            <family val="2"/>
            <charset val="238"/>
          </rPr>
          <t>SSE</t>
        </r>
      </text>
    </comment>
    <comment ref="L83" authorId="0" shapeId="0">
      <text>
        <r>
          <rPr>
            <b/>
            <sz val="8"/>
            <color indexed="81"/>
            <rFont val="Segoe UI"/>
            <family val="2"/>
            <charset val="238"/>
          </rPr>
          <t>SSY - Total</t>
        </r>
      </text>
    </comment>
    <comment ref="M83" authorId="0" shapeId="0">
      <text>
        <r>
          <rPr>
            <b/>
            <sz val="8"/>
            <color indexed="81"/>
            <rFont val="Segoe UI"/>
            <family val="2"/>
            <charset val="238"/>
          </rPr>
          <t>SSR</t>
        </r>
      </text>
    </comment>
    <comment ref="F84" authorId="0" shapeId="0">
      <text>
        <r>
          <rPr>
            <b/>
            <sz val="8"/>
            <color indexed="81"/>
            <rFont val="Segoe UI"/>
            <family val="2"/>
            <charset val="238"/>
          </rPr>
          <t>y priem</t>
        </r>
      </text>
    </comment>
    <comment ref="C92" authorId="0" shapeId="0">
      <text>
        <r>
          <rPr>
            <b/>
            <sz val="8"/>
            <color indexed="81"/>
            <rFont val="Segoe UI"/>
            <family val="2"/>
            <charset val="238"/>
          </rPr>
          <t>Lack of fit</t>
        </r>
      </text>
    </comment>
    <comment ref="D92" authorId="1" shapeId="0">
      <text>
        <r>
          <rPr>
            <b/>
            <sz val="9"/>
            <color indexed="81"/>
            <rFont val="Tahoma"/>
            <family val="2"/>
            <charset val="238"/>
          </rPr>
          <t>sL^2</t>
        </r>
      </text>
    </comment>
    <comment ref="C93" authorId="1" shapeId="0">
      <text>
        <r>
          <rPr>
            <b/>
            <sz val="9"/>
            <color indexed="81"/>
            <rFont val="Tahoma"/>
            <family val="2"/>
            <charset val="238"/>
          </rPr>
          <t>chyba pri merani</t>
        </r>
      </text>
    </comment>
    <comment ref="D93" authorId="1" shapeId="0">
      <text>
        <r>
          <rPr>
            <b/>
            <sz val="9"/>
            <color indexed="81"/>
            <rFont val="Tahoma"/>
            <family val="2"/>
            <charset val="238"/>
          </rPr>
          <t>sP^2</t>
        </r>
      </text>
    </comment>
    <comment ref="A101" authorId="1" shapeId="0">
      <text>
        <r>
          <rPr>
            <b/>
            <sz val="9"/>
            <color indexed="81"/>
            <rFont val="Tahoma"/>
            <family val="2"/>
            <charset val="238"/>
          </rPr>
          <t>H0: model je dostatocny
H1: model nie je dostatocny</t>
        </r>
      </text>
    </comment>
  </commentList>
</comments>
</file>

<file path=xl/sharedStrings.xml><?xml version="1.0" encoding="utf-8"?>
<sst xmlns="http://schemas.openxmlformats.org/spreadsheetml/2006/main" count="885" uniqueCount="401">
  <si>
    <t>xi</t>
  </si>
  <si>
    <t>yi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</si>
  <si>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</si>
  <si>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</si>
  <si>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</si>
  <si>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</si>
  <si>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</si>
  <si>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</si>
  <si>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</si>
  <si>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</si>
  <si>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</si>
  <si>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</si>
  <si>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</si>
  <si>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df</t>
  </si>
  <si>
    <t>SS</t>
  </si>
  <si>
    <t>MS</t>
  </si>
  <si>
    <t>F</t>
  </si>
  <si>
    <t>t Stat</t>
  </si>
  <si>
    <t>P-value</t>
  </si>
  <si>
    <t>Lower 95%</t>
  </si>
  <si>
    <t>Upper 95%</t>
  </si>
  <si>
    <t>Lower 95,0%</t>
  </si>
  <si>
    <t>Upper 95,0%</t>
  </si>
  <si>
    <t>RESIDUAL OUTPUT</t>
  </si>
  <si>
    <t>Observation</t>
  </si>
  <si>
    <t>Predicted Y</t>
  </si>
  <si>
    <t>Residuals</t>
  </si>
  <si>
    <t>priemer</t>
  </si>
  <si>
    <t>koeficienty</t>
  </si>
  <si>
    <t>p hodnota</t>
  </si>
  <si>
    <t>sustava normalnych rovnic:</t>
  </si>
  <si>
    <t>Σ</t>
  </si>
  <si>
    <t>Graficke riesenie</t>
  </si>
  <si>
    <t>n=</t>
  </si>
  <si>
    <t>Σxi=</t>
  </si>
  <si>
    <t>Σxi^2=</t>
  </si>
  <si>
    <t>Σyi=</t>
  </si>
  <si>
    <t>Σxiyi=</t>
  </si>
  <si>
    <t>D=</t>
  </si>
  <si>
    <r>
      <t>D</t>
    </r>
    <r>
      <rPr>
        <vertAlign val="subscript"/>
        <sz val="10"/>
        <rFont val="Arial"/>
        <family val="2"/>
        <charset val="238"/>
      </rPr>
      <t>1</t>
    </r>
    <r>
      <rPr>
        <sz val="11"/>
        <color theme="1"/>
        <rFont val="Calibri"/>
        <family val="2"/>
        <charset val="238"/>
        <scheme val="minor"/>
      </rPr>
      <t>=</t>
    </r>
  </si>
  <si>
    <r>
      <rPr>
        <sz val="12"/>
        <color theme="1"/>
        <rFont val="Calibri"/>
        <family val="2"/>
        <charset val="238"/>
        <scheme val="minor"/>
      </rPr>
      <t>D</t>
    </r>
    <r>
      <rPr>
        <sz val="8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=</t>
    </r>
  </si>
  <si>
    <r>
      <t>D</t>
    </r>
    <r>
      <rPr>
        <sz val="8"/>
        <rFont val="Arial"/>
        <family val="2"/>
        <charset val="238"/>
      </rPr>
      <t>1</t>
    </r>
    <r>
      <rPr>
        <sz val="10"/>
        <rFont val="Arial"/>
        <family val="2"/>
        <charset val="238"/>
      </rPr>
      <t>=</t>
    </r>
  </si>
  <si>
    <r>
      <t>D</t>
    </r>
    <r>
      <rPr>
        <sz val="9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=</t>
    </r>
  </si>
  <si>
    <r>
      <rPr>
        <sz val="11"/>
        <rFont val="Arial"/>
        <family val="2"/>
        <charset val="238"/>
      </rPr>
      <t>b</t>
    </r>
    <r>
      <rPr>
        <sz val="8"/>
        <rFont val="Arial"/>
        <family val="2"/>
        <charset val="238"/>
      </rPr>
      <t>0</t>
    </r>
    <r>
      <rPr>
        <sz val="10"/>
        <rFont val="Arial"/>
        <family val="2"/>
        <charset val="238"/>
      </rPr>
      <t>=</t>
    </r>
  </si>
  <si>
    <r>
      <rPr>
        <sz val="11"/>
        <rFont val="Arial"/>
        <family val="2"/>
        <charset val="238"/>
      </rPr>
      <t>b</t>
    </r>
    <r>
      <rPr>
        <sz val="8"/>
        <rFont val="Arial"/>
        <family val="2"/>
        <charset val="238"/>
      </rPr>
      <t>1</t>
    </r>
    <r>
      <rPr>
        <sz val="10"/>
        <rFont val="Arial"/>
        <family val="2"/>
        <charset val="238"/>
      </rPr>
      <t>=</t>
    </r>
  </si>
  <si>
    <t>odhad regresnej priamky:</t>
  </si>
  <si>
    <t>y=</t>
  </si>
  <si>
    <t>+</t>
  </si>
  <si>
    <t>*x</t>
  </si>
  <si>
    <t>A=</t>
  </si>
  <si>
    <t>B=</t>
  </si>
  <si>
    <r>
      <t>b</t>
    </r>
    <r>
      <rPr>
        <sz val="10"/>
        <color theme="1"/>
        <rFont val="Calibri"/>
        <family val="2"/>
        <charset val="238"/>
        <scheme val="minor"/>
      </rPr>
      <t>0</t>
    </r>
  </si>
  <si>
    <t>C=</t>
  </si>
  <si>
    <r>
      <t>b</t>
    </r>
    <r>
      <rPr>
        <sz val="10"/>
        <color theme="1"/>
        <rFont val="Calibri"/>
        <family val="2"/>
        <charset val="238"/>
        <scheme val="minor"/>
      </rPr>
      <t>1</t>
    </r>
  </si>
  <si>
    <t>invA=</t>
  </si>
  <si>
    <t xml:space="preserve">B = invA*C = </t>
  </si>
  <si>
    <t>def.</t>
  </si>
  <si>
    <t>stat. f.</t>
  </si>
  <si>
    <t>cov(x,y)=</t>
  </si>
  <si>
    <t>xypriem</t>
  </si>
  <si>
    <r>
      <t>s</t>
    </r>
    <r>
      <rPr>
        <vertAlign val="superscript"/>
        <sz val="9"/>
        <rFont val="Arial"/>
        <family val="2"/>
        <charset val="238"/>
      </rPr>
      <t>2</t>
    </r>
    <r>
      <rPr>
        <vertAlign val="subscript"/>
        <sz val="10"/>
        <rFont val="Arial"/>
        <family val="2"/>
        <charset val="238"/>
      </rPr>
      <t>x</t>
    </r>
    <r>
      <rPr>
        <sz val="10"/>
        <rFont val="Arial"/>
        <family val="2"/>
        <charset val="238"/>
      </rPr>
      <t>=</t>
    </r>
  </si>
  <si>
    <t>xpriem=</t>
  </si>
  <si>
    <r>
      <t>s</t>
    </r>
    <r>
      <rPr>
        <vertAlign val="superscript"/>
        <sz val="9"/>
        <rFont val="Arial"/>
        <family val="2"/>
        <charset val="238"/>
      </rPr>
      <t>2</t>
    </r>
    <r>
      <rPr>
        <vertAlign val="subscript"/>
        <sz val="9"/>
        <rFont val="Arial"/>
        <family val="2"/>
        <charset val="238"/>
      </rPr>
      <t>y</t>
    </r>
    <r>
      <rPr>
        <sz val="10"/>
        <rFont val="Arial"/>
        <family val="2"/>
        <charset val="238"/>
      </rPr>
      <t>=</t>
    </r>
  </si>
  <si>
    <t>ypriem=</t>
  </si>
  <si>
    <r>
      <t>s</t>
    </r>
    <r>
      <rPr>
        <vertAlign val="subscript"/>
        <sz val="10"/>
        <rFont val="Arial"/>
        <family val="2"/>
        <charset val="238"/>
      </rPr>
      <t>x</t>
    </r>
    <r>
      <rPr>
        <sz val="10"/>
        <rFont val="Arial"/>
        <family val="2"/>
        <charset val="238"/>
      </rPr>
      <t>=</t>
    </r>
  </si>
  <si>
    <r>
      <t>x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priem=</t>
    </r>
  </si>
  <si>
    <r>
      <t>s</t>
    </r>
    <r>
      <rPr>
        <vertAlign val="subscript"/>
        <sz val="10"/>
        <rFont val="Arial"/>
        <family val="2"/>
        <charset val="238"/>
      </rPr>
      <t>y</t>
    </r>
    <r>
      <rPr>
        <sz val="10"/>
        <rFont val="Arial"/>
        <family val="2"/>
        <charset val="238"/>
      </rPr>
      <t>=</t>
    </r>
  </si>
  <si>
    <r>
      <t>y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priem=</t>
    </r>
  </si>
  <si>
    <t xml:space="preserve">r(x,y)= </t>
  </si>
  <si>
    <t>R^2=</t>
  </si>
  <si>
    <t>X=</t>
  </si>
  <si>
    <t>Y=</t>
  </si>
  <si>
    <t>XT=</t>
  </si>
  <si>
    <t>XT*X=</t>
  </si>
  <si>
    <t>inv(XT*X)=</t>
  </si>
  <si>
    <t>inv(XT*X)*XT=</t>
  </si>
  <si>
    <t>B=inv(XT*X)*XT*Y=</t>
  </si>
  <si>
    <r>
      <t>b</t>
    </r>
    <r>
      <rPr>
        <sz val="8"/>
        <rFont val="Arial"/>
        <family val="2"/>
        <charset val="238"/>
      </rPr>
      <t>0</t>
    </r>
    <r>
      <rPr>
        <sz val="10"/>
        <rFont val="Arial"/>
        <family val="2"/>
        <charset val="238"/>
      </rPr>
      <t>=</t>
    </r>
  </si>
  <si>
    <r>
      <t>b</t>
    </r>
    <r>
      <rPr>
        <sz val="8"/>
        <rFont val="Arial"/>
        <family val="2"/>
        <charset val="238"/>
      </rPr>
      <t>1</t>
    </r>
    <r>
      <rPr>
        <sz val="10"/>
        <rFont val="Arial"/>
        <family val="2"/>
        <charset val="238"/>
      </rPr>
      <t>=</t>
    </r>
  </si>
  <si>
    <t>Nech X - vek výrobku (v dňoch), Y - obsah chemickej látky (v %)</t>
  </si>
  <si>
    <t>Intercept</t>
  </si>
  <si>
    <t>X Variable 1</t>
  </si>
  <si>
    <t>Výpočet  budúcej hodnoty lineárneho trendu.</t>
  </si>
  <si>
    <t>očakávaná hodnota y bude:</t>
  </si>
  <si>
    <t>1. Akú hmotnosť môžeme očakávať od výrobku, ktorý má dĺžku 15 cm?</t>
  </si>
  <si>
    <t>očakávaná hodnota x bude:</t>
  </si>
  <si>
    <t>2. Akú dĺžku bude mať výrobok (v rámci modelu), ktorý má hmotnosť 4,7 kg?</t>
  </si>
  <si>
    <t>Spotreba</t>
  </si>
  <si>
    <t>(km)</t>
  </si>
  <si>
    <t>(litre)</t>
  </si>
  <si>
    <t xml:space="preserve">Charakterizujte túto závislosť lineárnou regresnou priamkou a tesnosť závislosti. </t>
  </si>
  <si>
    <t>Vek</t>
  </si>
  <si>
    <t>(roky)</t>
  </si>
  <si>
    <t>Doba</t>
  </si>
  <si>
    <t>(min.)</t>
  </si>
  <si>
    <t>(promile)</t>
  </si>
  <si>
    <t xml:space="preserve">                     </t>
  </si>
  <si>
    <t>Napätie</t>
  </si>
  <si>
    <t>Kmity</t>
  </si>
  <si>
    <t>(Mpa)</t>
  </si>
  <si>
    <t xml:space="preserve"> na napäti (X) vhodnou regresnou priamkou.</t>
  </si>
  <si>
    <t>Výpočet  budúcej hodnoty lineárneho trendu =</t>
  </si>
  <si>
    <t>Body</t>
  </si>
  <si>
    <t>(počet)</t>
  </si>
  <si>
    <t>z MMPVE</t>
  </si>
  <si>
    <t>X-dĺžka vybraného výrobku ( v cm)</t>
  </si>
  <si>
    <t>Y-hmotnosť vybraného výrobku (v kg)</t>
  </si>
  <si>
    <r>
      <t>Určte koeficienty b</t>
    </r>
    <r>
      <rPr>
        <sz val="9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, b</t>
    </r>
    <r>
      <rPr>
        <sz val="9"/>
        <color theme="1"/>
        <rFont val="Calibri"/>
        <family val="2"/>
        <charset val="238"/>
        <scheme val="minor"/>
      </rPr>
      <t>1,</t>
    </r>
    <r>
      <rPr>
        <sz val="11"/>
        <color theme="1"/>
        <rFont val="Calibri"/>
        <family val="2"/>
        <charset val="238"/>
        <scheme val="minor"/>
      </rPr>
      <t xml:space="preserve"> r(x,y) - koeficient korelácie a   index determinácie R^2.</t>
    </r>
  </si>
  <si>
    <t>1.  Výpočet koeficientov pomocou Cramerovho pravidla:</t>
  </si>
  <si>
    <t>2.  Výpočet  koeficinetov pomocou maticovej rovnice:</t>
  </si>
  <si>
    <t>3.  Výpočet koeficientov  pomocou kovariancie:</t>
  </si>
  <si>
    <t>4.  Výpočet koef. pomocou matice plánu a maticovej rovnice:</t>
  </si>
  <si>
    <t>5.  Výpočet pomocou statistickych funkcii:</t>
  </si>
  <si>
    <t>6.  Výpočet pomocou analýzy dát - Regression:</t>
  </si>
  <si>
    <t xml:space="preserve">Príklad 2. </t>
  </si>
  <si>
    <t>(riešený)</t>
  </si>
  <si>
    <t>súčet</t>
  </si>
  <si>
    <t xml:space="preserve">Predpokladajme, že medzi X a Y je lineárna závislosť. </t>
  </si>
  <si>
    <t>Vzdialenosť</t>
  </si>
  <si>
    <t>Nájdite lineárnu závislosť nákladov od veku. Charakterizujte tesnosť tejto závislosti.</t>
  </si>
  <si>
    <t>Náklady</t>
  </si>
  <si>
    <t>(v Eurach)</t>
  </si>
  <si>
    <t xml:space="preserve">Príklad 5.  Do vodnej nádrže unikla jedovatá látka. </t>
  </si>
  <si>
    <t xml:space="preserve">Pre likvidáciu účinku jedovatej látky bol aplikovaný neutralizačný prostriedok. </t>
  </si>
  <si>
    <t xml:space="preserve">Od okamihu jeho aplikácie sa merala koncetrácia jedu. </t>
  </si>
  <si>
    <t>Výsledky su v tabuľke:</t>
  </si>
  <si>
    <t>Koncentrácia</t>
  </si>
  <si>
    <t xml:space="preserve">a) Nájdite lineárnu závislosť koncentrácie od času. </t>
  </si>
  <si>
    <t xml:space="preserve">b) Nájdite  koeficienty opačnej závislosti. </t>
  </si>
  <si>
    <t>c) Urobte prognózu....</t>
  </si>
  <si>
    <t xml:space="preserve">Príklad 6.      Pri hodnotení skúšok na únavu materiálu možno popísať závislosť počtu kmitov od lomu (Y) </t>
  </si>
  <si>
    <t>Príklad 8.  Údaje o čase (v min.) venovanému individualnému štúdiu (X) a o výsledkoch</t>
  </si>
  <si>
    <t>psychologických skúšok (v počte ziskaných bodov) (Y) u 6 náhodne vybraných študentov MTF:</t>
  </si>
  <si>
    <t xml:space="preserve">Čas </t>
  </si>
  <si>
    <t>(minúty)</t>
  </si>
  <si>
    <t xml:space="preserve">Počet </t>
  </si>
  <si>
    <t>príkladov</t>
  </si>
  <si>
    <t xml:space="preserve">Známka </t>
  </si>
  <si>
    <t>Príklad 9. U študentov 1.roč.Ing. štúdia MTF sa skúmalo, ako závisí známka z priebežnej kontrolnej práce(Y)</t>
  </si>
  <si>
    <t xml:space="preserve">Charakterizujte túto závislosť lineárnou regresnou priamkou a  charakterizujte tesnosť závislosti. </t>
  </si>
  <si>
    <r>
      <t xml:space="preserve"> Príklad1. Predpokladajme, ze medzi Y a X je linearna závislosť, t.j. plati Y= b</t>
    </r>
    <r>
      <rPr>
        <sz val="9"/>
        <color theme="1"/>
        <rFont val="Calibri"/>
        <family val="2"/>
        <charset val="238"/>
        <scheme val="minor"/>
      </rPr>
      <t>0</t>
    </r>
    <r>
      <rPr>
        <sz val="11"/>
        <color theme="1"/>
        <rFont val="Calibri"/>
        <family val="2"/>
        <charset val="238"/>
        <scheme val="minor"/>
      </rPr>
      <t>+b</t>
    </r>
    <r>
      <rPr>
        <sz val="9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charset val="238"/>
        <scheme val="minor"/>
      </rPr>
      <t>*X.</t>
    </r>
  </si>
  <si>
    <t xml:space="preserve">Predpokladajme, že medzi X a Y je lineárna závislosť, t.j. plati Y= b0+b1*X. </t>
  </si>
  <si>
    <t>Príklad 3. Pre náhodne vybrané autá merali závislosť spotreby od počtu najazdených kilometrov.</t>
  </si>
  <si>
    <t xml:space="preserve">Charakterizujte túto závislosť lineárnou regresnou priamkou a určte tesnosť závislosti. </t>
  </si>
  <si>
    <t>od počtu doma prepočítaných príkladov (X):</t>
  </si>
  <si>
    <t>b1=</t>
  </si>
  <si>
    <t>srez^2=</t>
  </si>
  <si>
    <t>srez=</t>
  </si>
  <si>
    <t>DEVSQ x=</t>
  </si>
  <si>
    <t>Štatistická významnosť modelu - celkový F test</t>
  </si>
  <si>
    <t>MSR=</t>
  </si>
  <si>
    <t>MSE=</t>
  </si>
  <si>
    <t>F=</t>
  </si>
  <si>
    <r>
      <t>F</t>
    </r>
    <r>
      <rPr>
        <vertAlign val="superscript"/>
        <sz val="11"/>
        <color theme="1"/>
        <rFont val="Calibri"/>
        <family val="2"/>
        <charset val="238"/>
        <scheme val="minor"/>
      </rPr>
      <t>kv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vertAlign val="subscript"/>
        <sz val="11"/>
        <color theme="1"/>
        <rFont val="Calibri"/>
        <family val="2"/>
        <charset val="238"/>
        <scheme val="minor"/>
      </rPr>
      <t>k, n-k-1</t>
    </r>
    <r>
      <rPr>
        <sz val="11"/>
        <color theme="1"/>
        <rFont val="Calibri"/>
        <family val="2"/>
        <charset val="238"/>
        <scheme val="minor"/>
      </rPr>
      <t>(1-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Calibri"/>
        <family val="2"/>
        <charset val="238"/>
        <scheme val="minor"/>
      </rPr>
      <t>)=</t>
    </r>
  </si>
  <si>
    <t>p value=</t>
  </si>
  <si>
    <t>H0: b1=0&lt;&gt;H1: b1≠0</t>
  </si>
  <si>
    <t>ak</t>
  </si>
  <si>
    <t xml:space="preserve"> H0 zamietame</t>
  </si>
  <si>
    <t>IS:</t>
  </si>
  <si>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>rozhodovanie (verifikácia) podľa kritického oboru W:</t>
    </r>
  </si>
  <si>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>rozhodovanie podla IS:</t>
    </r>
  </si>
  <si>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>rozhodovanie podľa kritického oboru W:</t>
    </r>
  </si>
  <si>
    <t>potom H0 zamietame</t>
  </si>
  <si>
    <r>
      <rPr>
        <sz val="11"/>
        <color theme="1"/>
        <rFont val="Calibri"/>
        <family val="2"/>
        <charset val="238"/>
      </rPr>
      <t xml:space="preserve">• </t>
    </r>
    <r>
      <rPr>
        <sz val="11"/>
        <color theme="1"/>
        <rFont val="Calibri"/>
        <family val="2"/>
        <charset val="238"/>
        <scheme val="minor"/>
      </rPr>
      <t>rozhodovanie pomocou p hodnoty :</t>
    </r>
  </si>
  <si>
    <t>ak p&gt;alfa, potom H0 nezamietame</t>
  </si>
  <si>
    <t>F(t0)=</t>
  </si>
  <si>
    <t>1-F(t0)=</t>
  </si>
  <si>
    <t>• rozhodovanie podla p-hodnoty:</t>
  </si>
  <si>
    <t>(DEVSQ x)^(1/2)=</t>
  </si>
  <si>
    <t>ak p&lt;alfa, potom H0 zamietame (prijimame hypotézu o štatistickej prípustnosti modelu</t>
  </si>
  <si>
    <t>nasli sme nahodnu premennu, ktora je funkciou SSR aSSE, ktorej rozdelenie pozname</t>
  </si>
  <si>
    <t>zamietame</t>
  </si>
  <si>
    <t>H0: Linearny model nie je statisticky vyznamny (t.j. X, Y su linearne nezavisle)</t>
  </si>
  <si>
    <t>prijimame</t>
  </si>
  <si>
    <t>H1: Linearny model je statisticky vyznamny (X, Y su linearne zavisle)</t>
  </si>
  <si>
    <t>myslienka: ak je b1=0 regresna priamka je rovnobezna s x-ovou osou - nemozno hovorit o linearnej zavislosti</t>
  </si>
  <si>
    <t>H0:  X, Y su linearne nezavisle</t>
  </si>
  <si>
    <t>H1: X, Y su linearne zavisle</t>
  </si>
  <si>
    <t>ak b1=0 patri do IS, potom H0 nezamietame</t>
  </si>
  <si>
    <t>Príklad 10.</t>
  </si>
  <si>
    <t xml:space="preserve">V desiatich rôznych vzdialenostiach xi sa merala veľkosť priehybu zaťaženia dosky yi. </t>
  </si>
  <si>
    <t>Výsledky sú uvedené v tabuľke:</t>
  </si>
  <si>
    <t>xi [dm]</t>
  </si>
  <si>
    <t>yi [mm]</t>
  </si>
  <si>
    <t>Preložte nimi regresnú krivku druhého stupňa.</t>
  </si>
  <si>
    <t>Σxi^3=</t>
  </si>
  <si>
    <t>Σxi^4=</t>
  </si>
  <si>
    <t>Σxi^2yi=</t>
  </si>
  <si>
    <r>
      <t>D</t>
    </r>
    <r>
      <rPr>
        <vertAlign val="subscript"/>
        <sz val="10"/>
        <rFont val="Arial"/>
        <family val="2"/>
        <charset val="238"/>
      </rPr>
      <t>2</t>
    </r>
    <r>
      <rPr>
        <sz val="11"/>
        <color theme="1"/>
        <rFont val="Calibri"/>
        <family val="2"/>
        <charset val="238"/>
        <scheme val="minor"/>
      </rPr>
      <t>=</t>
    </r>
  </si>
  <si>
    <r>
      <t>D</t>
    </r>
    <r>
      <rPr>
        <vertAlign val="subscript"/>
        <sz val="10"/>
        <rFont val="Arial"/>
        <family val="2"/>
        <charset val="238"/>
      </rPr>
      <t>3</t>
    </r>
    <r>
      <rPr>
        <sz val="11"/>
        <color theme="1"/>
        <rFont val="Calibri"/>
        <family val="2"/>
        <charset val="238"/>
        <scheme val="minor"/>
      </rPr>
      <t>=</t>
    </r>
  </si>
  <si>
    <r>
      <rPr>
        <sz val="11"/>
        <rFont val="Arial"/>
        <family val="2"/>
        <charset val="238"/>
      </rPr>
      <t>b</t>
    </r>
    <r>
      <rPr>
        <sz val="8"/>
        <rFont val="Arial"/>
        <family val="2"/>
        <charset val="238"/>
      </rPr>
      <t>2</t>
    </r>
    <r>
      <rPr>
        <sz val="10"/>
        <rFont val="Arial"/>
        <family val="2"/>
        <charset val="238"/>
      </rPr>
      <t>=</t>
    </r>
  </si>
  <si>
    <t>odhad parabolickej regresie:</t>
  </si>
  <si>
    <t>*x^2</t>
  </si>
  <si>
    <t>2. Grafické riešenie</t>
  </si>
  <si>
    <t>Pri hodnotení skúšok na únavu materiálu možno popísať závislosť počtu kmitov do lomu y na napätí x</t>
  </si>
  <si>
    <t>vhodnou regresnou priamkou. Tabuľka udáva hodnoty napätia x (v MPa) a y (počet kmitov).</t>
  </si>
  <si>
    <t>Vypočítajte korelačný koeficient. Nájdite odhady parametrov regresnej priamky.</t>
  </si>
  <si>
    <t>Príklad11.</t>
  </si>
  <si>
    <t>X 10 20 30 40 50 60</t>
  </si>
  <si>
    <t>Y 1 0,997 0,996 0,993 ,987 0,983</t>
  </si>
  <si>
    <t>pri bode varu a bode mrazu?</t>
  </si>
  <si>
    <t>Vypočítajte korelačný koeficient, preložte vhodnú regresnú krivku. Akú hustotu má voda</t>
  </si>
  <si>
    <t>Merala sa závislosť koeficientu viskozity y pri prúdení kvapaliny potrubím na Reynoldsovom čísle Re.</t>
  </si>
  <si>
    <t>Získané výsledky sú uvedené v tabuľke</t>
  </si>
  <si>
    <t>Re</t>
  </si>
  <si>
    <t>y</t>
  </si>
  <si>
    <t xml:space="preserve">Zo skúseností vieme, že funkčná závislosť y od Re je daná vzťahom y=a*Re^b. </t>
  </si>
  <si>
    <t xml:space="preserve">Nájdite odhady a, b. </t>
  </si>
  <si>
    <t>Vypočítajte korelačný koeficient.</t>
  </si>
  <si>
    <t>ln Re</t>
  </si>
  <si>
    <t>ln y</t>
  </si>
  <si>
    <t>a=</t>
  </si>
  <si>
    <t>b=</t>
  </si>
  <si>
    <t>H0: Linearny model nie je statisticky vyznamny (t.j. X, Y su linearne nezavisle)&lt;&gt;</t>
  </si>
  <si>
    <t>rxy=</t>
  </si>
  <si>
    <t>y(640)=</t>
  </si>
  <si>
    <t>Linearny model</t>
  </si>
  <si>
    <t>Kvadraticky model</t>
  </si>
  <si>
    <t>x</t>
  </si>
  <si>
    <t>LACK OF FIT - rozklad rezidualneho rozptylu (pokus s opakovanim)</t>
  </si>
  <si>
    <t>opakované xj</t>
  </si>
  <si>
    <t>yj</t>
  </si>
  <si>
    <t>yj priem</t>
  </si>
  <si>
    <t>(yj-yjpriem)^2</t>
  </si>
  <si>
    <t>df=(nj-1)</t>
  </si>
  <si>
    <t>Fkrit</t>
  </si>
  <si>
    <t xml:space="preserve">         empirickeho modelu s teoretickym)</t>
  </si>
  <si>
    <t>suma</t>
  </si>
  <si>
    <t>Hodnodte kvalitu regresneho linearneho modelu testom Lack-of-fit .</t>
  </si>
  <si>
    <t>test. statistika:</t>
  </si>
  <si>
    <t xml:space="preserve">           j-te pozorovanie pre bod xi, i=1,2,...m</t>
  </si>
  <si>
    <t xml:space="preserve">   j=1,2,...ni</t>
  </si>
  <si>
    <t xml:space="preserve"> </t>
  </si>
  <si>
    <r>
      <t>H0: SSLF=SSPE &gt;&lt; H1: SSLF</t>
    </r>
    <r>
      <rPr>
        <sz val="11"/>
        <color theme="1"/>
        <rFont val="Calibri"/>
        <family val="2"/>
        <charset val="238"/>
      </rPr>
      <t>≠SSPE</t>
    </r>
  </si>
  <si>
    <t>F=1,05 &lt;Fkrit=2,94 t.j. H0 nezamietame (polozka SSLF nie je vyznamna, preto je model dostatocny - je vyhovujuci - zhodny s teoretickym)</t>
  </si>
  <si>
    <t>Pozn.: Ak by SSLF bolo vyznamne, najdeny model povazujeme za nedostatocne zhodny s teoretickym modelom.</t>
  </si>
  <si>
    <t>Testujeme, ci je polozka SSLF vyznamna:</t>
  </si>
  <si>
    <t>SSPE - tzv. cista chyba (chyba pri merani)</t>
  </si>
  <si>
    <t>SSLF - chyba modelu (miera nezhody</t>
  </si>
  <si>
    <t>Lack of fit</t>
  </si>
  <si>
    <t>Pure error</t>
  </si>
  <si>
    <t>yij priem</t>
  </si>
  <si>
    <t>yij</t>
  </si>
  <si>
    <t>(yij-yijpriem)^2</t>
  </si>
  <si>
    <t>pomocou kritickej oblasti W:</t>
  </si>
  <si>
    <t xml:space="preserve"> = Fkrit</t>
  </si>
  <si>
    <t>LACK OF FIT - rozklad suctu rezidualny stvorcov  (2 merania v kazdom bode)</t>
  </si>
  <si>
    <r>
      <t>SSE=SSPE+SSLF (</t>
    </r>
    <r>
      <rPr>
        <sz val="11"/>
        <color theme="3"/>
        <rFont val="Calibri"/>
        <family val="2"/>
        <charset val="238"/>
        <scheme val="minor"/>
      </rPr>
      <t>tento rozklad vyzaduje opakovane merania v bodoch xi</t>
    </r>
    <r>
      <rPr>
        <sz val="11"/>
        <color theme="1"/>
        <rFont val="Calibri"/>
        <family val="2"/>
        <charset val="238"/>
        <scheme val="minor"/>
      </rPr>
      <t>)</t>
    </r>
  </si>
  <si>
    <t>(yij priem-yij mod)^2</t>
  </si>
  <si>
    <t>(yij-yij mod)^2</t>
  </si>
  <si>
    <t xml:space="preserve">H0: SSPE=SSLF (linearny model je dostatocny, je adekvatny - no lack of fit) </t>
  </si>
  <si>
    <r>
      <t>H1: SSPE</t>
    </r>
    <r>
      <rPr>
        <sz val="11"/>
        <color theme="1"/>
        <rFont val="Calibri"/>
        <family val="2"/>
        <charset val="238"/>
      </rPr>
      <t>≠</t>
    </r>
    <r>
      <rPr>
        <sz val="11"/>
        <color theme="1"/>
        <rFont val="Calibri"/>
        <family val="2"/>
        <charset val="238"/>
        <scheme val="minor"/>
      </rPr>
      <t xml:space="preserve">SSLF (linearny model nie je dostatocny, nie je adekvatny -  lack of fit) </t>
    </r>
  </si>
  <si>
    <t>pomocou p hodnoty</t>
  </si>
  <si>
    <t>p=</t>
  </si>
  <si>
    <t xml:space="preserve"> =alfa</t>
  </si>
  <si>
    <t>Na hladine vyznamnosti alfa     mozno konstatovat, ze</t>
  </si>
  <si>
    <t>SSY =</t>
  </si>
  <si>
    <t>SSR =</t>
  </si>
  <si>
    <t>SSE =</t>
  </si>
  <si>
    <t>SSLF =</t>
  </si>
  <si>
    <t>SSPE =</t>
  </si>
  <si>
    <t>(yij-ypriem)^2</t>
  </si>
  <si>
    <t>(y priem-y mod)^2</t>
  </si>
  <si>
    <t>Pozn.: Ak by SSLF bolo vyznamne, potom zamietame H0 o adekvatnosti modelu v prospech alternativy H1, ktora tvrdi,  ze model nie je adekvatny a hladame zlozitejsi model.</t>
  </si>
  <si>
    <t>graficke riesenie</t>
  </si>
  <si>
    <t>Significance F</t>
  </si>
  <si>
    <t>Coefficients</t>
  </si>
  <si>
    <t>kg.</t>
  </si>
  <si>
    <t>cm</t>
  </si>
  <si>
    <t>Signifikance</t>
  </si>
  <si>
    <t>&lt;</t>
  </si>
  <si>
    <r>
      <t>t</t>
    </r>
    <r>
      <rPr>
        <vertAlign val="superscript"/>
        <sz val="11"/>
        <color theme="1"/>
        <rFont val="Calibri"/>
        <family val="2"/>
        <charset val="238"/>
        <scheme val="minor"/>
      </rPr>
      <t>kv</t>
    </r>
    <r>
      <rPr>
        <vertAlign val="subscript"/>
        <sz val="11"/>
        <color theme="1"/>
        <rFont val="Calibri"/>
        <family val="2"/>
        <charset val="238"/>
        <scheme val="minor"/>
      </rPr>
      <t>n-2</t>
    </r>
    <r>
      <rPr>
        <sz val="11"/>
        <color theme="1"/>
        <rFont val="Calibri"/>
        <family val="2"/>
        <charset val="238"/>
        <scheme val="minor"/>
      </rPr>
      <t>(1-</t>
    </r>
    <r>
      <rPr>
        <sz val="11"/>
        <color theme="1"/>
        <rFont val="Symbol"/>
        <family val="1"/>
        <charset val="2"/>
      </rPr>
      <t>a</t>
    </r>
    <r>
      <rPr>
        <sz val="11"/>
        <color theme="1"/>
        <rFont val="Calibri"/>
        <family val="2"/>
        <charset val="238"/>
      </rPr>
      <t>/2)=</t>
    </r>
  </si>
  <si>
    <t>SSE=SSPE+SSLF (tento rozklad vyzaduje  opakovane meranie pre x)</t>
  </si>
  <si>
    <t>Predicted y</t>
  </si>
  <si>
    <t>nezamietame</t>
  </si>
  <si>
    <t>&gt;</t>
  </si>
  <si>
    <t>Na hladine vyznamnosti alfa 0,05 mozno konstatovat, ze regresny model je dostatocny.</t>
  </si>
  <si>
    <t>xi*yi</t>
  </si>
  <si>
    <t>tkv(0,975)=</t>
  </si>
  <si>
    <t>korelacny koef.</t>
  </si>
  <si>
    <t>index determ</t>
  </si>
  <si>
    <t>Fkv(0,95)=</t>
  </si>
  <si>
    <t>F0</t>
  </si>
  <si>
    <t>b0-lok.konst</t>
  </si>
  <si>
    <t>b1-regr.koef.</t>
  </si>
  <si>
    <t>ymodel</t>
  </si>
  <si>
    <t>ynamer-ymodel</t>
  </si>
  <si>
    <t>ymodel.</t>
  </si>
  <si>
    <t>Rez</t>
  </si>
  <si>
    <t>ynamer-ypr</t>
  </si>
  <si>
    <t>ymodel-ypr</t>
  </si>
  <si>
    <t>ypriemer</t>
  </si>
  <si>
    <t>t0=</t>
  </si>
  <si>
    <t>delta=</t>
  </si>
  <si>
    <t>0 nepatri do 95% IS pre b1</t>
  </si>
  <si>
    <t>lokujuca konstanta - priesecnik s y-ovou osou</t>
  </si>
  <si>
    <t>interpretacia: vyrobok s nulovou dlzkou ma hmotnost 1,56 kg - nema logicky zmysel</t>
  </si>
  <si>
    <t>regresny koeficient - smernica priamky (tangens uhla, ktory zviera regresny priamka s kladnou x-ovou poloosou</t>
  </si>
  <si>
    <t>interpretacia: pri zväcseni dlzky o 1 cm narastie jeho hmotnost o priemere o 0,26176 kg</t>
  </si>
  <si>
    <t>Pearsonov koeficient korelacie -urcuje silu linearnej zavislosti - normovana kovariancia</t>
  </si>
  <si>
    <t>interpretacia: medzi dlzkou a hmotnostou vyrobku je vysoka priama linearna zavislost</t>
  </si>
  <si>
    <t>koeficient determinacie - vyjadruje stupen pricinnej zavislosti premnnej Y od X</t>
  </si>
  <si>
    <t>interpretacia: 85,8% variability premennej hmotnost vieme vysvetlit linearnou zavislostou od variability premennej dlzka vyrobku</t>
  </si>
  <si>
    <t xml:space="preserve">        14,2% variability  hmotnosti zostalo modelom nevysvetlenej</t>
  </si>
  <si>
    <t>kovariancia - zistujeme nou, ci su premenne X a Y vo vzajomnej linearnej zavislosti</t>
  </si>
  <si>
    <t>interpretacia: medzi dlzkou a hmotnostou vyrobku je priama linearna zavislost ( s rastucou hodnotou dlzky sucasne narasta aj hmotnost vyrobku)</t>
  </si>
  <si>
    <t>r=</t>
  </si>
  <si>
    <t>abs(r)=R^0,5=</t>
  </si>
  <si>
    <t xml:space="preserve"> b1=-0,0003 ---- nepriama zavislost medzi hustotou a teplotou vody ----r&lt;0</t>
  </si>
  <si>
    <t>Akú hustotu má voda pri bode varu a bode mrazu?</t>
  </si>
  <si>
    <t>pri linearnom modeli:</t>
  </si>
  <si>
    <t>y(t=100)=</t>
  </si>
  <si>
    <t>y(t=0)=</t>
  </si>
  <si>
    <t>pri kvadratickom modeli</t>
  </si>
  <si>
    <t>Pri akej teplote mozno ocakavat hustotu vody 0,99 kg/dm^3?</t>
  </si>
  <si>
    <t xml:space="preserve">pri linearnom modeli  </t>
  </si>
  <si>
    <t>0,99=-0,0003x+1,0045</t>
  </si>
  <si>
    <t>stupnov celzia</t>
  </si>
  <si>
    <t>xi^2 [dm^2]</t>
  </si>
  <si>
    <t>xi^3 [dm^3]</t>
  </si>
  <si>
    <t>xi^4 [dm^4]</t>
  </si>
  <si>
    <t>Y=b0+b1*X+b2*X^2</t>
  </si>
  <si>
    <t>xi^2 [dm]</t>
  </si>
  <si>
    <t>rxy=-0,891, y=axb, x=Re, a=0,3108, b=-0,2485</t>
  </si>
  <si>
    <t>Regresna analyza:</t>
  </si>
  <si>
    <t>Nelinearna regresia</t>
  </si>
  <si>
    <t>abs(r)= sqrt(R^2)=</t>
  </si>
  <si>
    <t>Nie je korektne pouzivat model na predikciu dat mimo skumanej oblasti!!!!</t>
  </si>
  <si>
    <t>podla linearneho modelu:</t>
  </si>
  <si>
    <t>podla kvadratickeho modelu:</t>
  </si>
  <si>
    <t>t=100</t>
  </si>
  <si>
    <t>t=0</t>
  </si>
  <si>
    <t>Spravne pouzitie:</t>
  </si>
  <si>
    <t>Aku hustotu mozno ocakavat pri teplote 35°C?</t>
  </si>
  <si>
    <t>t=35</t>
  </si>
  <si>
    <t>Aku teploty vody mozno predpokladat, ak bude mat 0,991?</t>
  </si>
  <si>
    <t>y=0,991</t>
  </si>
  <si>
    <t>V pripade kvadratickeho modelu vieme vysvetlit 98,6% variability hustoty v zavislosti od variability teploty vody.</t>
  </si>
  <si>
    <t>V pripade linearneho modelu vieme vysvetlit 95,02% variability hustoty v zavislosti od variability teploty vody.</t>
  </si>
  <si>
    <t>F test</t>
  </si>
  <si>
    <t>t test</t>
  </si>
  <si>
    <t>volíme alfa=0,02</t>
  </si>
  <si>
    <t>vysoka miera nepriamej linearnej zavislosti mezi koncentraciou a vekom vyrobku</t>
  </si>
  <si>
    <t>PROBABILITY OUTPUT</t>
  </si>
  <si>
    <t>Standard Residuals</t>
  </si>
  <si>
    <t>Percentile</t>
  </si>
  <si>
    <t>Y</t>
  </si>
  <si>
    <t>SSY=SSE+SSR</t>
  </si>
  <si>
    <t>SSE= SSPE+SSLF</t>
  </si>
  <si>
    <t>Príklad 4. Dané sú týždenné náklady na údržbu a drobné opravy (Y) a vek  stroja (X).</t>
  </si>
  <si>
    <t>Podla indexu determinacie je kvadraticky model lepsie vystihuje variabilitu nameranych dat ako linearny model.</t>
  </si>
  <si>
    <t>vplyvný bod - zle naplánované meranie!</t>
  </si>
  <si>
    <r>
      <t>po vylučení extrémnej hodnoty v smere x-ovej osi -</t>
    </r>
    <r>
      <rPr>
        <sz val="11"/>
        <color rgb="FFFF0000"/>
        <rFont val="Calibri"/>
        <family val="2"/>
        <charset val="238"/>
        <scheme val="minor"/>
      </rPr>
      <t xml:space="preserve"> 511 km</t>
    </r>
  </si>
  <si>
    <t>LACK OF FIT - rozklad suctu rezidualny stvorcov  (2 merania v prvych dvoch bodoch 1 a 3)</t>
  </si>
  <si>
    <r>
      <t>H0: SSLF=SSPE &gt;&lt; H1: SSLF</t>
    </r>
    <r>
      <rPr>
        <sz val="11"/>
        <color theme="1"/>
        <rFont val="Calibri"/>
        <family val="2"/>
        <charset val="238"/>
      </rPr>
      <t>≠SSPE (H0: NoLOF&gt;&lt;H1:LOF)</t>
    </r>
  </si>
  <si>
    <r>
      <t>F=MSLF/MSPE</t>
    </r>
    <r>
      <rPr>
        <sz val="11"/>
        <color theme="1"/>
        <rFont val="Cambria"/>
        <family val="1"/>
        <charset val="238"/>
        <scheme val="major"/>
      </rPr>
      <t>~F(dfLF;dfPE)</t>
    </r>
  </si>
  <si>
    <r>
      <rPr>
        <sz val="11"/>
        <color theme="1"/>
        <rFont val="Aptos Narrow"/>
        <family val="2"/>
      </rPr>
      <t>α</t>
    </r>
    <r>
      <rPr>
        <sz val="11"/>
        <color theme="1"/>
        <rFont val="Calibri"/>
        <family val="2"/>
        <charset val="238"/>
      </rPr>
      <t>=0,05</t>
    </r>
  </si>
  <si>
    <t>realizacia testovacej statistiky F0=</t>
  </si>
  <si>
    <t>F kv 2;2(0,95)=</t>
  </si>
  <si>
    <t>kriticka oblast W=</t>
  </si>
  <si>
    <r>
      <t xml:space="preserve">(32,33; </t>
    </r>
    <r>
      <rPr>
        <sz val="11"/>
        <color theme="1"/>
        <rFont val="Aptos Narrow"/>
        <family val="2"/>
      </rPr>
      <t>∞</t>
    </r>
    <r>
      <rPr>
        <sz val="9.35"/>
        <color theme="1"/>
        <rFont val="Calibri"/>
        <family val="2"/>
        <charset val="238"/>
      </rPr>
      <t>)</t>
    </r>
  </si>
  <si>
    <t>F0 patri do W, resp.</t>
  </si>
  <si>
    <t>F0=2,18 &lt;Fkrit=32,33 t.j. H0 nezamietame (polozka SSLF nie je vyznamna, preto je model dostatocny)</t>
  </si>
  <si>
    <t>Na hladine vyznamnosti 0,05 mozno prijat tvrdenie, ze regresny model je dostatocny.</t>
  </si>
  <si>
    <t>Pozn.: Ak by SSLF bolo vyznamne, najdeny model povazujeme za nedostatocny, t.j. potrebujeme data fitovat zlozitejsim regresnym modelom.</t>
  </si>
  <si>
    <t>p-hodnota=</t>
  </si>
  <si>
    <r>
      <t xml:space="preserve">p-hodnota&gt;zvolene </t>
    </r>
    <r>
      <rPr>
        <sz val="11"/>
        <color theme="1"/>
        <rFont val="Aptos Narrow"/>
        <family val="2"/>
      </rPr>
      <t>α, preto nie je mozne na danej hladine vyznamnosti α zamietnut H0</t>
    </r>
  </si>
  <si>
    <t>PREDIKCIA</t>
  </si>
  <si>
    <t>náklady v €=</t>
  </si>
  <si>
    <t xml:space="preserve"> +</t>
  </si>
  <si>
    <t>*vek</t>
  </si>
  <si>
    <t>Na hladine významnosti 0,05 otestujte, či je lineárny regresný model dostatočný (adekvátny).</t>
  </si>
  <si>
    <t>Test LOF</t>
  </si>
  <si>
    <t>F-test statistickej vyznamnosti regresneho modelu a t-test nulovosti regresneho koeficientu - viď prednaska....</t>
  </si>
  <si>
    <t xml:space="preserve"> + </t>
  </si>
  <si>
    <t xml:space="preserve"> *xi</t>
  </si>
  <si>
    <t xml:space="preserve"> *xi^2</t>
  </si>
  <si>
    <t>ln y=</t>
  </si>
  <si>
    <t xml:space="preserve"> *ln Re</t>
  </si>
  <si>
    <t>Na hladine vyznamnosti 0.05 mozno zamietnut hypotezu o tom, ze koncentracia a vek vyrobku nie su linearne zavisle.</t>
  </si>
  <si>
    <t xml:space="preserve"> ak y=1300, potom x=</t>
  </si>
  <si>
    <r>
      <rPr>
        <sz val="11"/>
        <color theme="1"/>
        <rFont val="Calibri"/>
        <family val="2"/>
        <charset val="238"/>
      </rPr>
      <t xml:space="preserve">→ </t>
    </r>
    <r>
      <rPr>
        <sz val="11"/>
        <color theme="1"/>
        <rFont val="Calibri"/>
        <family val="2"/>
        <charset val="238"/>
        <scheme val="minor"/>
      </rPr>
      <t>Pri napäti 640 MPa mozno ocakavat 1199 kmitov.</t>
    </r>
  </si>
  <si>
    <r>
      <rPr>
        <sz val="11"/>
        <color theme="1"/>
        <rFont val="Calibri"/>
        <family val="2"/>
        <charset val="238"/>
      </rPr>
      <t xml:space="preserve">→ </t>
    </r>
    <r>
      <rPr>
        <sz val="11"/>
        <color theme="1"/>
        <rFont val="Calibri"/>
        <family val="2"/>
        <charset val="238"/>
        <scheme val="minor"/>
      </rPr>
      <t>1300 kmitov mozno vramci modelu mozno ocakavat pri napäti 634MPa.</t>
    </r>
  </si>
  <si>
    <t>pocet kmitov =</t>
  </si>
  <si>
    <t>*napätie</t>
  </si>
  <si>
    <t>3.  Výpočet pomocou analýzy dát - Regression:</t>
  </si>
  <si>
    <r>
      <t>Merala sa hustota vody y (v kg/dm</t>
    </r>
    <r>
      <rPr>
        <vertAlign val="superscript"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>) v závislosti na teplote x (v °C). Výsledky meraní sú uvedené v tabuľke</t>
    </r>
  </si>
  <si>
    <t>(nie je to  celkom spravny odhad z hladiska rozsahu skumanej oblasti)</t>
  </si>
  <si>
    <t>Pozadovanu hustotu mozno cakavat pri teplote</t>
  </si>
  <si>
    <t>Štatistická významnosť regresného koeficientu (parametra lin. modelu)  t test</t>
  </si>
  <si>
    <t>Na hladine vyznamnosti 0.05 mozno zamietnut hypotezu o tom, ze regresny koeficient b1 nie je statisticky vyznamny, a na zaklade toho prijat hypotezu, ze koncentracia a vek vyrobku su linearne zavisle.</t>
  </si>
  <si>
    <t>Lower 95.0%</t>
  </si>
  <si>
    <t>Upper 95.0%</t>
  </si>
  <si>
    <t>F=MSR/MSE=</t>
  </si>
  <si>
    <t>b0=</t>
  </si>
  <si>
    <t>b1'=</t>
  </si>
  <si>
    <t>b0'=</t>
  </si>
  <si>
    <t>koncetracia=</t>
  </si>
  <si>
    <t>doba=</t>
  </si>
  <si>
    <t xml:space="preserve"> *koncetracia</t>
  </si>
  <si>
    <t xml:space="preserve"> * doba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</si>
</sst>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000"/>
    <numFmt numFmtId="166" formatCode="0.000000000"/>
  </numFmts>
  <fonts count="54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3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  <charset val="238"/>
    </font>
    <font>
      <vertAlign val="subscript"/>
      <sz val="10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name val="Arial"/>
      <family val="2"/>
      <charset val="238"/>
    </font>
    <font>
      <sz val="10"/>
      <color rgb="FFC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vertAlign val="superscript"/>
      <sz val="9"/>
      <name val="Arial"/>
      <family val="2"/>
      <charset val="238"/>
    </font>
    <font>
      <vertAlign val="subscript"/>
      <sz val="9"/>
      <name val="Arial"/>
      <family val="2"/>
      <charset val="238"/>
    </font>
    <font>
      <vertAlign val="superscript"/>
      <sz val="1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b/>
      <sz val="11"/>
      <color indexed="81"/>
      <name val="Tahoma"/>
      <family val="2"/>
      <charset val="238"/>
    </font>
    <font>
      <b/>
      <sz val="12"/>
      <color indexed="81"/>
      <name val="Tahoma"/>
      <family val="2"/>
      <charset val="238"/>
    </font>
    <font>
      <sz val="11"/>
      <color theme="6" tint="-0.499984740745262"/>
      <name val="Calibri"/>
      <family val="2"/>
      <charset val="238"/>
      <scheme val="minor"/>
    </font>
    <font>
      <b/>
      <sz val="11"/>
      <color theme="6" tint="-0.499984740745262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  <font>
      <sz val="11"/>
      <color rgb="FFFF0000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8"/>
      <color indexed="81"/>
      <name val="Segoe UI"/>
      <family val="2"/>
      <charset val="238"/>
    </font>
    <font>
      <sz val="9"/>
      <color indexed="81"/>
      <name val="Tahoma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sz val="11"/>
      <color theme="9"/>
      <name val="Calibri"/>
      <family val="2"/>
      <charset val="238"/>
      <scheme val="minor"/>
    </font>
    <font>
      <sz val="11"/>
      <color theme="7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1"/>
      <color rgb="FFFFC000"/>
      <name val="Calibri"/>
      <family val="2"/>
      <charset val="238"/>
      <scheme val="minor"/>
    </font>
    <font>
      <b/>
      <sz val="11"/>
      <color rgb="FF92D050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Aptos Narrow"/>
      <family val="2"/>
    </font>
    <font>
      <sz val="9.35"/>
      <color theme="1"/>
      <name val="Calibri"/>
      <family val="2"/>
      <charset val="238"/>
    </font>
    <font>
      <sz val="11"/>
      <color theme="1"/>
      <name val="Cambria"/>
      <family val="1"/>
      <charset val="238"/>
      <scheme val="maj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6" tint="-0.499984740745262"/>
      </left>
      <right/>
      <top style="medium">
        <color theme="6" tint="-0.499984740745262"/>
      </top>
      <bottom/>
      <diagonal/>
    </border>
    <border>
      <left/>
      <right/>
      <top style="medium">
        <color theme="6" tint="-0.499984740745262"/>
      </top>
      <bottom/>
      <diagonal/>
    </border>
    <border>
      <left/>
      <right style="medium">
        <color theme="6" tint="-0.499984740745262"/>
      </right>
      <top style="medium">
        <color theme="6" tint="-0.499984740745262"/>
      </top>
      <bottom/>
      <diagonal/>
    </border>
    <border>
      <left style="medium">
        <color theme="6" tint="-0.499984740745262"/>
      </left>
      <right/>
      <top/>
      <bottom/>
      <diagonal/>
    </border>
    <border>
      <left/>
      <right style="medium">
        <color theme="6" tint="-0.499984740745262"/>
      </right>
      <top/>
      <bottom/>
      <diagonal/>
    </border>
    <border>
      <left style="medium">
        <color theme="6" tint="-0.499984740745262"/>
      </left>
      <right/>
      <top/>
      <bottom style="medium">
        <color theme="6" tint="-0.499984740745262"/>
      </bottom>
      <diagonal/>
    </border>
    <border>
      <left/>
      <right/>
      <top/>
      <bottom style="medium">
        <color theme="6" tint="-0.499984740745262"/>
      </bottom>
      <diagonal/>
    </border>
    <border>
      <left/>
      <right style="medium">
        <color theme="6" tint="-0.499984740745262"/>
      </right>
      <top/>
      <bottom style="medium">
        <color theme="6" tint="-0.499984740745262"/>
      </bottom>
      <diagonal/>
    </border>
    <border>
      <left style="medium">
        <color rgb="FFC00000"/>
      </left>
      <right/>
      <top style="medium">
        <color rgb="FFC00000"/>
      </top>
      <bottom style="thin">
        <color indexed="64"/>
      </bottom>
      <diagonal/>
    </border>
    <border>
      <left/>
      <right/>
      <top style="medium">
        <color rgb="FFC00000"/>
      </top>
      <bottom style="thin">
        <color indexed="64"/>
      </bottom>
      <diagonal/>
    </border>
    <border>
      <left/>
      <right style="medium">
        <color rgb="FFC00000"/>
      </right>
      <top style="medium">
        <color rgb="FFC00000"/>
      </top>
      <bottom style="thin">
        <color indexed="64"/>
      </bottom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Continuous"/>
    </xf>
    <xf numFmtId="0" fontId="1" fillId="0" borderId="0" xfId="0" applyFont="1" applyAlignment="1">
      <alignment horizontal="centerContinuous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0" borderId="0" xfId="0" applyFont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4" fillId="0" borderId="0" xfId="0" applyFont="1"/>
    <xf numFmtId="0" fontId="0" fillId="0" borderId="7" xfId="0" applyBorder="1" applyAlignment="1">
      <alignment horizontal="center"/>
    </xf>
    <xf numFmtId="0" fontId="0" fillId="0" borderId="9" xfId="0" applyBorder="1"/>
    <xf numFmtId="0" fontId="0" fillId="0" borderId="3" xfId="0" applyBorder="1"/>
    <xf numFmtId="0" fontId="0" fillId="0" borderId="10" xfId="0" applyBorder="1"/>
    <xf numFmtId="0" fontId="6" fillId="0" borderId="0" xfId="0" applyFont="1" applyAlignment="1">
      <alignment horizontal="right"/>
    </xf>
    <xf numFmtId="0" fontId="0" fillId="2" borderId="0" xfId="0" applyFill="1"/>
    <xf numFmtId="0" fontId="0" fillId="0" borderId="0" xfId="0" applyAlignment="1">
      <alignment horizontal="right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7" fillId="0" borderId="0" xfId="0" applyFont="1" applyAlignment="1">
      <alignment horizontal="right"/>
    </xf>
    <xf numFmtId="0" fontId="0" fillId="2" borderId="0" xfId="0" applyFill="1" applyAlignment="1">
      <alignment horizontal="center"/>
    </xf>
    <xf numFmtId="0" fontId="13" fillId="0" borderId="11" xfId="0" applyFont="1" applyBorder="1" applyAlignment="1">
      <alignment horizontal="left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3" fillId="0" borderId="14" xfId="0" applyFont="1" applyBorder="1" applyAlignment="1">
      <alignment horizontal="right"/>
    </xf>
    <xf numFmtId="0" fontId="13" fillId="2" borderId="15" xfId="0" applyFont="1" applyFill="1" applyBorder="1" applyAlignment="1">
      <alignment horizontal="center"/>
    </xf>
    <xf numFmtId="0" fontId="13" fillId="0" borderId="15" xfId="0" applyFont="1" applyBorder="1" applyAlignment="1">
      <alignment horizontal="center"/>
    </xf>
    <xf numFmtId="0" fontId="13" fillId="0" borderId="16" xfId="0" applyFont="1" applyBorder="1" applyAlignment="1">
      <alignment horizontal="lef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0" fillId="0" borderId="17" xfId="0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7" fillId="0" borderId="0" xfId="0" applyFont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7" fillId="0" borderId="0" xfId="0" applyFont="1" applyAlignment="1">
      <alignment horizontal="left"/>
    </xf>
    <xf numFmtId="0" fontId="0" fillId="2" borderId="17" xfId="0" applyFill="1" applyBorder="1"/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15" fillId="2" borderId="0" xfId="0" applyFont="1" applyFill="1" applyAlignment="1">
      <alignment horizontal="center"/>
    </xf>
    <xf numFmtId="0" fontId="22" fillId="0" borderId="0" xfId="0" applyFont="1"/>
    <xf numFmtId="0" fontId="0" fillId="3" borderId="0" xfId="0" applyFill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27" fillId="0" borderId="0" xfId="0" applyFont="1"/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7" fillId="4" borderId="0" xfId="0" applyFont="1" applyFill="1" applyAlignment="1">
      <alignment horizontal="right"/>
    </xf>
    <xf numFmtId="0" fontId="7" fillId="4" borderId="0" xfId="0" applyFont="1" applyFill="1" applyAlignment="1">
      <alignment horizontal="center"/>
    </xf>
    <xf numFmtId="0" fontId="13" fillId="4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28" fillId="0" borderId="0" xfId="0" applyFont="1"/>
    <xf numFmtId="0" fontId="0" fillId="0" borderId="24" xfId="0" applyBorder="1" applyAlignment="1">
      <alignment horizontal="center"/>
    </xf>
    <xf numFmtId="0" fontId="22" fillId="4" borderId="0" xfId="0" applyFont="1" applyFill="1"/>
    <xf numFmtId="0" fontId="14" fillId="4" borderId="32" xfId="0" applyFont="1" applyFill="1" applyBorder="1"/>
    <xf numFmtId="0" fontId="26" fillId="0" borderId="0" xfId="0" applyFont="1"/>
    <xf numFmtId="0" fontId="14" fillId="0" borderId="0" xfId="0" applyFont="1"/>
    <xf numFmtId="0" fontId="0" fillId="2" borderId="34" xfId="0" applyFill="1" applyBorder="1"/>
    <xf numFmtId="0" fontId="0" fillId="0" borderId="34" xfId="0" applyBorder="1" applyAlignment="1">
      <alignment horizontal="center"/>
    </xf>
    <xf numFmtId="0" fontId="0" fillId="2" borderId="0" xfId="0" applyFill="1" applyAlignment="1">
      <alignment horizontal="left"/>
    </xf>
    <xf numFmtId="0" fontId="0" fillId="0" borderId="8" xfId="0" applyBorder="1" applyAlignment="1">
      <alignment horizontal="center"/>
    </xf>
    <xf numFmtId="0" fontId="32" fillId="2" borderId="0" xfId="0" applyFont="1" applyFill="1"/>
    <xf numFmtId="0" fontId="32" fillId="2" borderId="7" xfId="0" applyFont="1" applyFill="1" applyBorder="1"/>
    <xf numFmtId="0" fontId="32" fillId="2" borderId="8" xfId="0" applyFont="1" applyFill="1" applyBorder="1"/>
    <xf numFmtId="0" fontId="33" fillId="0" borderId="0" xfId="0" applyFont="1"/>
    <xf numFmtId="0" fontId="14" fillId="0" borderId="0" xfId="0" applyFont="1" applyAlignment="1">
      <alignment horizontal="center"/>
    </xf>
    <xf numFmtId="0" fontId="0" fillId="0" borderId="15" xfId="0" applyBorder="1"/>
    <xf numFmtId="0" fontId="13" fillId="0" borderId="15" xfId="0" applyFont="1" applyBorder="1" applyAlignment="1">
      <alignment horizontal="left"/>
    </xf>
    <xf numFmtId="0" fontId="0" fillId="0" borderId="35" xfId="0" applyBorder="1"/>
    <xf numFmtId="0" fontId="13" fillId="0" borderId="15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2" borderId="34" xfId="0" applyFill="1" applyBorder="1" applyAlignment="1">
      <alignment horizontal="left"/>
    </xf>
    <xf numFmtId="0" fontId="20" fillId="0" borderId="0" xfId="0" applyFont="1"/>
    <xf numFmtId="0" fontId="0" fillId="0" borderId="0" xfId="0" applyAlignment="1">
      <alignment horizontal="center" wrapText="1"/>
    </xf>
    <xf numFmtId="0" fontId="0" fillId="0" borderId="4" xfId="0" applyBorder="1" applyAlignment="1">
      <alignment horizontal="center"/>
    </xf>
    <xf numFmtId="0" fontId="35" fillId="0" borderId="0" xfId="0" applyFont="1"/>
    <xf numFmtId="0" fontId="0" fillId="2" borderId="4" xfId="0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6" fillId="0" borderId="0" xfId="0" applyFont="1"/>
    <xf numFmtId="0" fontId="0" fillId="2" borderId="4" xfId="0" applyFill="1" applyBorder="1"/>
    <xf numFmtId="0" fontId="32" fillId="0" borderId="0" xfId="0" applyFont="1" applyAlignment="1">
      <alignment horizontal="center"/>
    </xf>
    <xf numFmtId="0" fontId="35" fillId="2" borderId="0" xfId="0" applyFont="1" applyFill="1"/>
    <xf numFmtId="0" fontId="0" fillId="2" borderId="5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3" xfId="0" applyFill="1" applyBorder="1"/>
    <xf numFmtId="0" fontId="0" fillId="2" borderId="10" xfId="0" applyFill="1" applyBorder="1"/>
    <xf numFmtId="0" fontId="32" fillId="0" borderId="0" xfId="0" applyFont="1"/>
    <xf numFmtId="0" fontId="32" fillId="2" borderId="7" xfId="0" applyFont="1" applyFill="1" applyBorder="1" applyAlignment="1">
      <alignment horizontal="center"/>
    </xf>
    <xf numFmtId="0" fontId="32" fillId="2" borderId="8" xfId="0" applyFont="1" applyFill="1" applyBorder="1" applyAlignment="1">
      <alignment horizontal="center"/>
    </xf>
    <xf numFmtId="0" fontId="39" fillId="0" borderId="0" xfId="0" applyFont="1"/>
    <xf numFmtId="0" fontId="32" fillId="2" borderId="4" xfId="0" applyFont="1" applyFill="1" applyBorder="1"/>
    <xf numFmtId="0" fontId="20" fillId="0" borderId="22" xfId="0" applyFont="1" applyBorder="1"/>
    <xf numFmtId="0" fontId="20" fillId="2" borderId="34" xfId="0" applyFont="1" applyFill="1" applyBorder="1"/>
    <xf numFmtId="0" fontId="42" fillId="0" borderId="32" xfId="0" applyFont="1" applyBorder="1"/>
    <xf numFmtId="0" fontId="43" fillId="0" borderId="0" xfId="0" applyFont="1"/>
    <xf numFmtId="0" fontId="44" fillId="0" borderId="0" xfId="0" applyFont="1"/>
    <xf numFmtId="0" fontId="45" fillId="0" borderId="1" xfId="0" applyFont="1" applyBorder="1"/>
    <xf numFmtId="0" fontId="32" fillId="0" borderId="1" xfId="0" applyFont="1" applyBorder="1"/>
    <xf numFmtId="0" fontId="39" fillId="0" borderId="1" xfId="0" applyFont="1" applyBorder="1"/>
    <xf numFmtId="0" fontId="44" fillId="0" borderId="1" xfId="0" applyFont="1" applyBorder="1"/>
    <xf numFmtId="0" fontId="0" fillId="5" borderId="1" xfId="0" applyFill="1" applyBorder="1"/>
    <xf numFmtId="0" fontId="45" fillId="0" borderId="0" xfId="0" applyFont="1"/>
    <xf numFmtId="0" fontId="0" fillId="6" borderId="0" xfId="0" applyFill="1"/>
    <xf numFmtId="0" fontId="0" fillId="7" borderId="0" xfId="0" applyFill="1"/>
    <xf numFmtId="0" fontId="42" fillId="2" borderId="34" xfId="0" applyFont="1" applyFill="1" applyBorder="1"/>
    <xf numFmtId="0" fontId="35" fillId="0" borderId="32" xfId="0" applyFont="1" applyBorder="1"/>
    <xf numFmtId="0" fontId="35" fillId="2" borderId="34" xfId="0" applyFont="1" applyFill="1" applyBorder="1"/>
    <xf numFmtId="0" fontId="20" fillId="2" borderId="0" xfId="0" applyFont="1" applyFill="1" applyAlignment="1">
      <alignment horizontal="center"/>
    </xf>
    <xf numFmtId="0" fontId="46" fillId="0" borderId="0" xfId="0" applyFont="1"/>
    <xf numFmtId="0" fontId="46" fillId="2" borderId="34" xfId="0" applyFont="1" applyFill="1" applyBorder="1"/>
    <xf numFmtId="0" fontId="46" fillId="2" borderId="0" xfId="0" applyFont="1" applyFill="1" applyAlignment="1">
      <alignment horizontal="center"/>
    </xf>
    <xf numFmtId="0" fontId="47" fillId="0" borderId="32" xfId="0" applyFont="1" applyBorder="1"/>
    <xf numFmtId="0" fontId="47" fillId="0" borderId="34" xfId="0" applyFont="1" applyBorder="1"/>
    <xf numFmtId="0" fontId="47" fillId="2" borderId="0" xfId="0" applyFont="1" applyFill="1"/>
    <xf numFmtId="0" fontId="0" fillId="7" borderId="0" xfId="0" applyFill="1" applyAlignment="1">
      <alignment horizontal="center"/>
    </xf>
    <xf numFmtId="0" fontId="0" fillId="0" borderId="34" xfId="0" applyBorder="1" applyAlignment="1">
      <alignment horizontal="right"/>
    </xf>
    <xf numFmtId="0" fontId="0" fillId="0" borderId="34" xfId="0" applyBorder="1"/>
    <xf numFmtId="0" fontId="47" fillId="0" borderId="0" xfId="0" applyFont="1"/>
    <xf numFmtId="0" fontId="34" fillId="0" borderId="0" xfId="0" applyFont="1"/>
    <xf numFmtId="165" fontId="0" fillId="0" borderId="0" xfId="0" applyNumberFormat="1"/>
    <xf numFmtId="0" fontId="0" fillId="8" borderId="0" xfId="0" applyFill="1"/>
    <xf numFmtId="0" fontId="0" fillId="8" borderId="1" xfId="0" applyFill="1" applyBorder="1"/>
    <xf numFmtId="166" fontId="0" fillId="0" borderId="0" xfId="0" applyNumberFormat="1"/>
    <xf numFmtId="0" fontId="0" fillId="2" borderId="36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9" borderId="0" xfId="0" applyFill="1"/>
    <xf numFmtId="0" fontId="0" fillId="9" borderId="4" xfId="0" applyFill="1" applyBorder="1" applyAlignment="1">
      <alignment horizontal="center"/>
    </xf>
    <xf numFmtId="0" fontId="49" fillId="0" borderId="0" xfId="0" applyFont="1"/>
    <xf numFmtId="0" fontId="50" fillId="2" borderId="0" xfId="0" applyFont="1" applyFill="1"/>
    <xf numFmtId="0" fontId="50" fillId="2" borderId="4" xfId="0" applyFont="1" applyFill="1" applyBorder="1" applyAlignment="1">
      <alignment horizontal="center"/>
    </xf>
    <xf numFmtId="0" fontId="48" fillId="2" borderId="4" xfId="0" applyFont="1" applyFill="1" applyBorder="1"/>
    <xf numFmtId="0" fontId="48" fillId="0" borderId="0" xfId="0" applyFont="1"/>
    <xf numFmtId="0" fontId="39" fillId="2" borderId="4" xfId="0" applyFont="1" applyFill="1" applyBorder="1"/>
    <xf numFmtId="0" fontId="35" fillId="0" borderId="0" xfId="0" applyFont="1" applyAlignment="1">
      <alignment horizontal="left"/>
    </xf>
    <xf numFmtId="0" fontId="29" fillId="0" borderId="0" xfId="0" applyFont="1"/>
    <xf numFmtId="0" fontId="14" fillId="0" borderId="1" xfId="0" applyFont="1" applyBorder="1"/>
    <xf numFmtId="0" fontId="0" fillId="0" borderId="0" xfId="0" applyBorder="1"/>
    <xf numFmtId="0" fontId="39" fillId="0" borderId="0" xfId="0" applyFont="1" applyBorder="1"/>
    <xf numFmtId="0" fontId="14" fillId="0" borderId="0" xfId="0" applyFont="1" applyFill="1" applyBorder="1"/>
    <xf numFmtId="0" fontId="34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14" fillId="0" borderId="0" xfId="0" applyFont="1" applyAlignment="1">
      <alignment horizontal="right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0" fillId="0" borderId="0" xfId="0" applyFill="1" applyBorder="1" applyAlignment="1"/>
    <xf numFmtId="0" fontId="0" fillId="0" borderId="1" xfId="0" applyFill="1" applyBorder="1" applyAlignment="1"/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Continuous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97F8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Zavislost</a:t>
            </a:r>
            <a:r>
              <a:rPr lang="sk-SK" baseline="0"/>
              <a:t> hmotnosti od dlzky vyrobku</a:t>
            </a:r>
            <a:endParaRPr lang="sk-SK"/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'Pr 1'!$C$4</c:f>
              <c:strCache>
                <c:ptCount val="1"/>
                <c:pt idx="0">
                  <c:v>yi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0.31027679265959074"/>
                  <c:y val="-1.9968003380891254E-2"/>
                </c:manualLayout>
              </c:layout>
              <c:numFmt formatCode="General" sourceLinked="0"/>
            </c:trendlineLbl>
          </c:trendline>
          <c:xVal>
            <c:numRef>
              <c:f>'Pr 1'!$B$5:$B$10</c:f>
              <c:numCache>
                <c:formatCode>General</c:formatCode>
                <c:ptCount val="6"/>
                <c:pt idx="0">
                  <c:v>9</c:v>
                </c:pt>
                <c:pt idx="1">
                  <c:v>12</c:v>
                </c:pt>
                <c:pt idx="2">
                  <c:v>13</c:v>
                </c:pt>
                <c:pt idx="3">
                  <c:v>13</c:v>
                </c:pt>
                <c:pt idx="4">
                  <c:v>14</c:v>
                </c:pt>
                <c:pt idx="5">
                  <c:v>17</c:v>
                </c:pt>
              </c:numCache>
            </c:numRef>
          </c:xVal>
          <c:yVal>
            <c:numRef>
              <c:f>'Pr 1'!$C$5:$C$10</c:f>
              <c:numCache>
                <c:formatCode>General</c:formatCode>
                <c:ptCount val="6"/>
                <c:pt idx="0">
                  <c:v>3.9</c:v>
                </c:pt>
                <c:pt idx="1">
                  <c:v>4.8</c:v>
                </c:pt>
                <c:pt idx="2">
                  <c:v>4.5999999999999996</c:v>
                </c:pt>
                <c:pt idx="3">
                  <c:v>4.9000000000000004</c:v>
                </c:pt>
                <c:pt idx="4">
                  <c:v>5.7</c:v>
                </c:pt>
                <c:pt idx="5">
                  <c:v>5.9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D6-4DE9-9B01-205A0AD5D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005760"/>
        <c:axId val="206004224"/>
      </c:scatterChart>
      <c:valAx>
        <c:axId val="20600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 - dlzka vybraneho vyrobku (cm)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6004224"/>
        <c:crosses val="autoZero"/>
        <c:crossBetween val="midCat"/>
      </c:valAx>
      <c:valAx>
        <c:axId val="2060042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Y - hmotnost vyrobku </a:t>
                </a:r>
                <a:r>
                  <a:rPr lang="sk-SK"/>
                  <a:t>(</a:t>
                </a:r>
                <a:r>
                  <a:rPr lang="en-US"/>
                  <a:t>kg</a:t>
                </a:r>
                <a:r>
                  <a:rPr lang="sk-SK"/>
                  <a:t>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60057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koncentracie latky od doby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9682852143482"/>
                  <c:y val="-0.340910615339749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Pr.5!$B$8:$B$15</c:f>
              <c:numCache>
                <c:formatCode>General</c:formatCode>
                <c:ptCount val="8"/>
                <c:pt idx="0">
                  <c:v>5</c:v>
                </c:pt>
                <c:pt idx="1">
                  <c:v>12</c:v>
                </c:pt>
                <c:pt idx="2">
                  <c:v>20</c:v>
                </c:pt>
                <c:pt idx="3">
                  <c:v>26</c:v>
                </c:pt>
                <c:pt idx="4">
                  <c:v>29</c:v>
                </c:pt>
                <c:pt idx="5">
                  <c:v>38</c:v>
                </c:pt>
                <c:pt idx="6">
                  <c:v>65</c:v>
                </c:pt>
                <c:pt idx="7">
                  <c:v>126</c:v>
                </c:pt>
              </c:numCache>
            </c:numRef>
          </c:xVal>
          <c:yVal>
            <c:numRef>
              <c:f>Pr.5!$C$8:$C$15</c:f>
              <c:numCache>
                <c:formatCode>General</c:formatCode>
                <c:ptCount val="8"/>
                <c:pt idx="0">
                  <c:v>19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15</c:v>
                </c:pt>
                <c:pt idx="6">
                  <c:v>14</c:v>
                </c:pt>
                <c:pt idx="7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D27-448B-AB32-B970FF4E6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4802752"/>
        <c:axId val="184803168"/>
      </c:scatterChart>
      <c:valAx>
        <c:axId val="184802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doba (min)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84803168"/>
        <c:crosses val="autoZero"/>
        <c:crossBetween val="midCat"/>
      </c:valAx>
      <c:valAx>
        <c:axId val="184803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koncentrácia </a:t>
                </a:r>
                <a:r>
                  <a:rPr lang="sk-SK"/>
                  <a:t>(‰)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84802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priehybu dosky od vzdialenosti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11532917760279965"/>
                  <c:y val="0.214102508019830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'[3]kvadraticka regresia'!$C$3:$L$3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'[3]kvadraticka regresia'!$C$4:$L$4</c:f>
              <c:numCache>
                <c:formatCode>General</c:formatCode>
                <c:ptCount val="10"/>
                <c:pt idx="0">
                  <c:v>2.1299000000000001</c:v>
                </c:pt>
                <c:pt idx="1">
                  <c:v>2.1532</c:v>
                </c:pt>
                <c:pt idx="2">
                  <c:v>2.1610999999999998</c:v>
                </c:pt>
                <c:pt idx="3">
                  <c:v>2.1516000000000002</c:v>
                </c:pt>
                <c:pt idx="4">
                  <c:v>2.1282000000000001</c:v>
                </c:pt>
                <c:pt idx="5">
                  <c:v>2.0807000000000002</c:v>
                </c:pt>
                <c:pt idx="6">
                  <c:v>2.0266000000000002</c:v>
                </c:pt>
                <c:pt idx="7">
                  <c:v>1.9594</c:v>
                </c:pt>
                <c:pt idx="8">
                  <c:v>1.8758999999999999</c:v>
                </c:pt>
                <c:pt idx="9">
                  <c:v>1.7723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2B-4889-B2D9-7E8CF1F8E5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8371519"/>
        <c:axId val="758372351"/>
      </c:scatterChart>
      <c:valAx>
        <c:axId val="758371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vzdialenost</a:t>
                </a:r>
                <a:r>
                  <a:rPr lang="sk-SK" baseline="0"/>
                  <a:t> 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58372351"/>
        <c:crosses val="autoZero"/>
        <c:crossBetween val="midCat"/>
      </c:valAx>
      <c:valAx>
        <c:axId val="75837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priehyb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58371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priehybu dosky od vzdialenosti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11532917760279965"/>
                  <c:y val="0.2141025080198308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'[3]kvadraticka regresia'!$C$3:$L$3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'[3]kvadraticka regresia'!$C$4:$L$4</c:f>
              <c:numCache>
                <c:formatCode>General</c:formatCode>
                <c:ptCount val="10"/>
                <c:pt idx="0">
                  <c:v>2.1299000000000001</c:v>
                </c:pt>
                <c:pt idx="1">
                  <c:v>2.1532</c:v>
                </c:pt>
                <c:pt idx="2">
                  <c:v>2.1610999999999998</c:v>
                </c:pt>
                <c:pt idx="3">
                  <c:v>2.1516000000000002</c:v>
                </c:pt>
                <c:pt idx="4">
                  <c:v>2.1282000000000001</c:v>
                </c:pt>
                <c:pt idx="5">
                  <c:v>2.0807000000000002</c:v>
                </c:pt>
                <c:pt idx="6">
                  <c:v>2.0266000000000002</c:v>
                </c:pt>
                <c:pt idx="7">
                  <c:v>1.9594</c:v>
                </c:pt>
                <c:pt idx="8">
                  <c:v>1.8758999999999999</c:v>
                </c:pt>
                <c:pt idx="9">
                  <c:v>1.7723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C6-42A1-92A2-51873B8730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8371519"/>
        <c:axId val="758372351"/>
      </c:scatterChart>
      <c:valAx>
        <c:axId val="758371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vzdialenost</a:t>
                </a:r>
                <a:r>
                  <a:rPr lang="sk-SK" baseline="0"/>
                  <a:t> 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58372351"/>
        <c:crosses val="autoZero"/>
        <c:crossBetween val="midCat"/>
      </c:valAx>
      <c:valAx>
        <c:axId val="758372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priehyb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583715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poctu kmitov na napäti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2802252843394576"/>
                  <c:y val="-0.382530985710119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'linearna regresia'!$B$5:$B$10</c:f>
              <c:numCache>
                <c:formatCode>General</c:formatCode>
                <c:ptCount val="6"/>
                <c:pt idx="0">
                  <c:v>560</c:v>
                </c:pt>
                <c:pt idx="1">
                  <c:v>580</c:v>
                </c:pt>
                <c:pt idx="2">
                  <c:v>600</c:v>
                </c:pt>
                <c:pt idx="3">
                  <c:v>630</c:v>
                </c:pt>
                <c:pt idx="4">
                  <c:v>650</c:v>
                </c:pt>
                <c:pt idx="5">
                  <c:v>700</c:v>
                </c:pt>
              </c:numCache>
            </c:numRef>
          </c:xVal>
          <c:yVal>
            <c:numRef>
              <c:f>'linearna regresia'!$C$5:$C$10</c:f>
              <c:numCache>
                <c:formatCode>General</c:formatCode>
                <c:ptCount val="6"/>
                <c:pt idx="0">
                  <c:v>2845</c:v>
                </c:pt>
                <c:pt idx="1">
                  <c:v>2597</c:v>
                </c:pt>
                <c:pt idx="2">
                  <c:v>1227</c:v>
                </c:pt>
                <c:pt idx="3">
                  <c:v>1200</c:v>
                </c:pt>
                <c:pt idx="4">
                  <c:v>728</c:v>
                </c:pt>
                <c:pt idx="5">
                  <c:v>600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6C6-48E8-87DF-867902B27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85104960"/>
        <c:axId val="1485101632"/>
      </c:scatterChart>
      <c:valAx>
        <c:axId val="1485104960"/>
        <c:scaling>
          <c:orientation val="minMax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Napätie </a:t>
                </a:r>
                <a:r>
                  <a:rPr lang="sk-SK"/>
                  <a:t>(</a:t>
                </a:r>
                <a:r>
                  <a:rPr lang="en-US"/>
                  <a:t>M</a:t>
                </a:r>
                <a:r>
                  <a:rPr lang="sk-SK"/>
                  <a:t>P</a:t>
                </a:r>
                <a:r>
                  <a:rPr lang="en-US"/>
                  <a:t>a</a:t>
                </a:r>
                <a:r>
                  <a:rPr lang="sk-SK"/>
                  <a:t>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85101632"/>
        <c:crosses val="autoZero"/>
        <c:crossBetween val="midCat"/>
      </c:valAx>
      <c:valAx>
        <c:axId val="148510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Pocet</a:t>
                </a:r>
                <a:r>
                  <a:rPr lang="sk-SK" baseline="0"/>
                  <a:t> k</a:t>
                </a:r>
                <a:r>
                  <a:rPr lang="en-GB"/>
                  <a:t>mi</a:t>
                </a:r>
                <a:r>
                  <a:rPr lang="sk-SK"/>
                  <a:t>tov (-)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485104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hustoty od teploty vody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168244792185788"/>
                  <c:y val="-4.504737702950150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[3]porovnanie!$B$8:$B$13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[3]porovnanie!$C$8:$C$13</c:f>
              <c:numCache>
                <c:formatCode>General</c:formatCode>
                <c:ptCount val="6"/>
                <c:pt idx="0">
                  <c:v>1</c:v>
                </c:pt>
                <c:pt idx="1">
                  <c:v>0.997</c:v>
                </c:pt>
                <c:pt idx="2">
                  <c:v>0.996</c:v>
                </c:pt>
                <c:pt idx="3">
                  <c:v>0.99299999999999999</c:v>
                </c:pt>
                <c:pt idx="4">
                  <c:v>0.98699999999999999</c:v>
                </c:pt>
                <c:pt idx="5">
                  <c:v>0.98299999999999998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AE-4C72-AB22-79B77DCCC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299679"/>
        <c:axId val="865259167"/>
      </c:scatterChart>
      <c:valAx>
        <c:axId val="987299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teplota </a:t>
                </a:r>
                <a:r>
                  <a:rPr lang="sk-SK" sz="1000" b="0" i="0" baseline="0">
                    <a:effectLst/>
                  </a:rPr>
                  <a:t>(°C)</a:t>
                </a:r>
                <a:endParaRPr lang="sk-SK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65259167"/>
        <c:crosses val="autoZero"/>
        <c:crossBetween val="midCat"/>
      </c:valAx>
      <c:valAx>
        <c:axId val="86525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hustota </a:t>
                </a:r>
                <a:r>
                  <a:rPr lang="sk-SK" sz="1000" b="0" i="0" u="none" strike="noStrike" baseline="0">
                    <a:effectLst/>
                  </a:rPr>
                  <a:t>(kg/dm^3)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87299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hustoty od teploty vody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0.20039974749991693"/>
                  <c:y val="-4.221761957064481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[3]porovnanie!$B$8:$B$13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[3]porovnanie!$C$8:$C$13</c:f>
              <c:numCache>
                <c:formatCode>General</c:formatCode>
                <c:ptCount val="6"/>
                <c:pt idx="0">
                  <c:v>1</c:v>
                </c:pt>
                <c:pt idx="1">
                  <c:v>0.997</c:v>
                </c:pt>
                <c:pt idx="2">
                  <c:v>0.996</c:v>
                </c:pt>
                <c:pt idx="3">
                  <c:v>0.99299999999999999</c:v>
                </c:pt>
                <c:pt idx="4">
                  <c:v>0.98699999999999999</c:v>
                </c:pt>
                <c:pt idx="5">
                  <c:v>0.98299999999999998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C2-4961-AD80-FD3B9884E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299679"/>
        <c:axId val="865259167"/>
      </c:scatterChart>
      <c:valAx>
        <c:axId val="987299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teplota (°C)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65259167"/>
        <c:crosses val="autoZero"/>
        <c:crossBetween val="midCat"/>
      </c:valAx>
      <c:valAx>
        <c:axId val="86525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hustota (kg/dm^3)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87299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hustoty od teploty vody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168244792185788"/>
                  <c:y val="-4.504737702950150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[3]porovnanie!$B$8:$B$13</c:f>
              <c:numCache>
                <c:formatCode>General</c:formatCode>
                <c:ptCount val="6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</c:numCache>
            </c:numRef>
          </c:xVal>
          <c:yVal>
            <c:numRef>
              <c:f>[3]porovnanie!$C$8:$C$13</c:f>
              <c:numCache>
                <c:formatCode>General</c:formatCode>
                <c:ptCount val="6"/>
                <c:pt idx="0">
                  <c:v>1</c:v>
                </c:pt>
                <c:pt idx="1">
                  <c:v>0.997</c:v>
                </c:pt>
                <c:pt idx="2">
                  <c:v>0.996</c:v>
                </c:pt>
                <c:pt idx="3">
                  <c:v>0.99299999999999999</c:v>
                </c:pt>
                <c:pt idx="4">
                  <c:v>0.98699999999999999</c:v>
                </c:pt>
                <c:pt idx="5">
                  <c:v>0.98299999999999998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889-4632-A576-D0D7F0985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7299679"/>
        <c:axId val="865259167"/>
      </c:scatterChart>
      <c:valAx>
        <c:axId val="9872996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teplota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865259167"/>
        <c:crosses val="autoZero"/>
        <c:crossBetween val="midCat"/>
      </c:valAx>
      <c:valAx>
        <c:axId val="8652591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hustota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872996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[3]transformacia!$B$4</c:f>
              <c:strCache>
                <c:ptCount val="1"/>
                <c:pt idx="0">
                  <c:v>y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1"/>
            <c:dispEq val="1"/>
            <c:trendlineLbl>
              <c:layout>
                <c:manualLayout>
                  <c:x val="2.4269903762029747E-2"/>
                  <c:y val="-0.3552715806357538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[3]transformacia!$C$3:$H$3</c:f>
              <c:numCache>
                <c:formatCode>General</c:formatCode>
                <c:ptCount val="6"/>
                <c:pt idx="0">
                  <c:v>10000</c:v>
                </c:pt>
                <c:pt idx="1">
                  <c:v>20000</c:v>
                </c:pt>
                <c:pt idx="2">
                  <c:v>50000</c:v>
                </c:pt>
                <c:pt idx="3">
                  <c:v>100000</c:v>
                </c:pt>
                <c:pt idx="4">
                  <c:v>150000</c:v>
                </c:pt>
                <c:pt idx="5">
                  <c:v>200000</c:v>
                </c:pt>
              </c:numCache>
            </c:numRef>
          </c:xVal>
          <c:yVal>
            <c:numRef>
              <c:f>[3]transformacia!$C$4:$H$4</c:f>
              <c:numCache>
                <c:formatCode>General</c:formatCode>
                <c:ptCount val="6"/>
                <c:pt idx="0">
                  <c:v>3.2000000000000001E-2</c:v>
                </c:pt>
                <c:pt idx="1">
                  <c:v>2.5999999999999999E-2</c:v>
                </c:pt>
                <c:pt idx="2">
                  <c:v>2.1000000000000001E-2</c:v>
                </c:pt>
                <c:pt idx="3">
                  <c:v>1.7999999999999999E-2</c:v>
                </c:pt>
                <c:pt idx="4">
                  <c:v>1.6E-2</c:v>
                </c:pt>
                <c:pt idx="5">
                  <c:v>1.4999999999999999E-2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04-4926-A2ED-B9056757C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5000511"/>
        <c:axId val="1025003423"/>
      </c:scatterChart>
      <c:valAx>
        <c:axId val="10250005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25003423"/>
        <c:crosses val="autoZero"/>
        <c:crossBetween val="midCat"/>
      </c:valAx>
      <c:valAx>
        <c:axId val="1025003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0250005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0482902613647418"/>
                  <c:y val="-0.37485455659600947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[3]transformacia!$E$10:$E$15</c:f>
              <c:numCache>
                <c:formatCode>General</c:formatCode>
                <c:ptCount val="6"/>
                <c:pt idx="0">
                  <c:v>9.2103403719761836</c:v>
                </c:pt>
                <c:pt idx="1">
                  <c:v>9.9034875525361272</c:v>
                </c:pt>
                <c:pt idx="2">
                  <c:v>10.819778284410283</c:v>
                </c:pt>
                <c:pt idx="3">
                  <c:v>11.512925464970229</c:v>
                </c:pt>
                <c:pt idx="4">
                  <c:v>11.918390573078392</c:v>
                </c:pt>
                <c:pt idx="5">
                  <c:v>12.206072645530174</c:v>
                </c:pt>
              </c:numCache>
            </c:numRef>
          </c:xVal>
          <c:yVal>
            <c:numRef>
              <c:f>[3]transformacia!$F$10:$F$15</c:f>
              <c:numCache>
                <c:formatCode>General</c:formatCode>
                <c:ptCount val="6"/>
                <c:pt idx="0">
                  <c:v>-3.4420193761824103</c:v>
                </c:pt>
                <c:pt idx="1">
                  <c:v>-3.6496587409606551</c:v>
                </c:pt>
                <c:pt idx="2">
                  <c:v>-3.8632328412587138</c:v>
                </c:pt>
                <c:pt idx="3">
                  <c:v>-4.0173835210859723</c:v>
                </c:pt>
                <c:pt idx="4">
                  <c:v>-4.1351665567423561</c:v>
                </c:pt>
                <c:pt idx="5">
                  <c:v>-4.1997050778799272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DD6-4545-8C0B-71A782D7A2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5731647"/>
        <c:axId val="965732063"/>
      </c:scatterChart>
      <c:valAx>
        <c:axId val="9657316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ln</a:t>
                </a:r>
                <a:r>
                  <a:rPr lang="sk-SK" baseline="0"/>
                  <a:t> Re</a:t>
                </a:r>
                <a:endParaRPr lang="sk-SK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65732063"/>
        <c:crosses val="autoZero"/>
        <c:crossBetween val="midCat"/>
      </c:valAx>
      <c:valAx>
        <c:axId val="9657320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lny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657316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>
                <c:manualLayout>
                  <c:x val="-8.8908136482939631E-2"/>
                  <c:y val="-0.34840988626421698"/>
                </c:manualLayout>
              </c:layout>
              <c:numFmt formatCode="General" sourceLinked="0"/>
            </c:trendlineLbl>
          </c:trendline>
          <c:xVal>
            <c:numRef>
              <c:f>'Lack of fit'!$B$2:$B$24</c:f>
              <c:numCache>
                <c:formatCode>General</c:formatCode>
                <c:ptCount val="23"/>
                <c:pt idx="0">
                  <c:v>1.3</c:v>
                </c:pt>
                <c:pt idx="1">
                  <c:v>1.3</c:v>
                </c:pt>
                <c:pt idx="2">
                  <c:v>2</c:v>
                </c:pt>
                <c:pt idx="3">
                  <c:v>2</c:v>
                </c:pt>
                <c:pt idx="4">
                  <c:v>2.7</c:v>
                </c:pt>
                <c:pt idx="5">
                  <c:v>3.3</c:v>
                </c:pt>
                <c:pt idx="6">
                  <c:v>3.3</c:v>
                </c:pt>
                <c:pt idx="7">
                  <c:v>3.7</c:v>
                </c:pt>
                <c:pt idx="8">
                  <c:v>3.7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4.7</c:v>
                </c:pt>
                <c:pt idx="13">
                  <c:v>4.7</c:v>
                </c:pt>
                <c:pt idx="14">
                  <c:v>5</c:v>
                </c:pt>
                <c:pt idx="15">
                  <c:v>5.3</c:v>
                </c:pt>
                <c:pt idx="16">
                  <c:v>5.3</c:v>
                </c:pt>
                <c:pt idx="17">
                  <c:v>5.3</c:v>
                </c:pt>
                <c:pt idx="18">
                  <c:v>5.7</c:v>
                </c:pt>
                <c:pt idx="19">
                  <c:v>6</c:v>
                </c:pt>
                <c:pt idx="20">
                  <c:v>6</c:v>
                </c:pt>
                <c:pt idx="21">
                  <c:v>6.3</c:v>
                </c:pt>
                <c:pt idx="22">
                  <c:v>6.7</c:v>
                </c:pt>
              </c:numCache>
            </c:numRef>
          </c:xVal>
          <c:yVal>
            <c:numRef>
              <c:f>'Lack of fit'!$C$2:$C$24</c:f>
              <c:numCache>
                <c:formatCode>General</c:formatCode>
                <c:ptCount val="23"/>
                <c:pt idx="0">
                  <c:v>2.2999999999999998</c:v>
                </c:pt>
                <c:pt idx="1">
                  <c:v>1.8</c:v>
                </c:pt>
                <c:pt idx="2">
                  <c:v>2.8</c:v>
                </c:pt>
                <c:pt idx="3">
                  <c:v>1.5</c:v>
                </c:pt>
                <c:pt idx="4">
                  <c:v>2.2000000000000002</c:v>
                </c:pt>
                <c:pt idx="5">
                  <c:v>3.8</c:v>
                </c:pt>
                <c:pt idx="6">
                  <c:v>1.8</c:v>
                </c:pt>
                <c:pt idx="7">
                  <c:v>3.7</c:v>
                </c:pt>
                <c:pt idx="8">
                  <c:v>1.7</c:v>
                </c:pt>
                <c:pt idx="9">
                  <c:v>2.8</c:v>
                </c:pt>
                <c:pt idx="10">
                  <c:v>2.8</c:v>
                </c:pt>
                <c:pt idx="11">
                  <c:v>2.2000000000000002</c:v>
                </c:pt>
                <c:pt idx="12">
                  <c:v>3.2</c:v>
                </c:pt>
                <c:pt idx="13">
                  <c:v>1.9</c:v>
                </c:pt>
                <c:pt idx="14">
                  <c:v>1.8</c:v>
                </c:pt>
                <c:pt idx="15">
                  <c:v>3.5</c:v>
                </c:pt>
                <c:pt idx="16">
                  <c:v>2.8</c:v>
                </c:pt>
                <c:pt idx="17">
                  <c:v>2.1</c:v>
                </c:pt>
                <c:pt idx="18">
                  <c:v>3.4</c:v>
                </c:pt>
                <c:pt idx="19">
                  <c:v>3.2</c:v>
                </c:pt>
                <c:pt idx="20">
                  <c:v>3</c:v>
                </c:pt>
                <c:pt idx="21">
                  <c:v>3</c:v>
                </c:pt>
                <c:pt idx="22">
                  <c:v>5.9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41-4D53-AAD8-1E9C31CF8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5243392"/>
        <c:axId val="215245184"/>
      </c:scatterChart>
      <c:valAx>
        <c:axId val="2152433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5245184"/>
        <c:crosses val="autoZero"/>
        <c:crossBetween val="midCat"/>
      </c:valAx>
      <c:valAx>
        <c:axId val="2152451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152433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9.6062992125984256E-4"/>
                  <c:y val="-0.15072470107903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'Pr 1'!$B$5:$B$10</c:f>
              <c:numCache>
                <c:formatCode>General</c:formatCode>
                <c:ptCount val="6"/>
                <c:pt idx="0">
                  <c:v>9</c:v>
                </c:pt>
                <c:pt idx="1">
                  <c:v>12</c:v>
                </c:pt>
                <c:pt idx="2">
                  <c:v>13</c:v>
                </c:pt>
                <c:pt idx="3">
                  <c:v>13</c:v>
                </c:pt>
                <c:pt idx="4">
                  <c:v>14</c:v>
                </c:pt>
                <c:pt idx="5">
                  <c:v>17</c:v>
                </c:pt>
              </c:numCache>
            </c:numRef>
          </c:xVal>
          <c:yVal>
            <c:numRef>
              <c:f>'Pr 1'!$C$5:$C$10</c:f>
              <c:numCache>
                <c:formatCode>General</c:formatCode>
                <c:ptCount val="6"/>
                <c:pt idx="0">
                  <c:v>3.9</c:v>
                </c:pt>
                <c:pt idx="1">
                  <c:v>4.8</c:v>
                </c:pt>
                <c:pt idx="2">
                  <c:v>4.5999999999999996</c:v>
                </c:pt>
                <c:pt idx="3">
                  <c:v>4.9000000000000004</c:v>
                </c:pt>
                <c:pt idx="4">
                  <c:v>5.7</c:v>
                </c:pt>
                <c:pt idx="5">
                  <c:v>5.9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61-4123-9A75-4719F589D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2350880"/>
        <c:axId val="122351712"/>
      </c:scatterChart>
      <c:valAx>
        <c:axId val="122350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2351712"/>
        <c:crosses val="autoZero"/>
        <c:crossBetween val="midCat"/>
      </c:valAx>
      <c:valAx>
        <c:axId val="12235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23508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0"/>
            <c:dispEq val="0"/>
          </c:trendline>
          <c:trendline>
            <c:trendlineType val="linear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'[4]Lack of fit (2 merania) '!$B$3:$B$22</c:f>
              <c:numCache>
                <c:formatCode>General</c:formatCode>
                <c:ptCount val="2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7</c:v>
                </c:pt>
                <c:pt idx="14">
                  <c:v>8</c:v>
                </c:pt>
                <c:pt idx="15">
                  <c:v>8</c:v>
                </c:pt>
                <c:pt idx="16">
                  <c:v>9</c:v>
                </c:pt>
                <c:pt idx="17">
                  <c:v>9</c:v>
                </c:pt>
                <c:pt idx="18">
                  <c:v>10</c:v>
                </c:pt>
                <c:pt idx="19">
                  <c:v>10</c:v>
                </c:pt>
              </c:numCache>
            </c:numRef>
          </c:xVal>
          <c:yVal>
            <c:numRef>
              <c:f>'[4]Lack of fit (2 merania) '!$C$3:$C$22</c:f>
              <c:numCache>
                <c:formatCode>General</c:formatCode>
                <c:ptCount val="20"/>
                <c:pt idx="0">
                  <c:v>2.2999999999999998</c:v>
                </c:pt>
                <c:pt idx="1">
                  <c:v>1.8</c:v>
                </c:pt>
                <c:pt idx="2">
                  <c:v>2.8</c:v>
                </c:pt>
                <c:pt idx="3">
                  <c:v>2</c:v>
                </c:pt>
                <c:pt idx="4">
                  <c:v>2.7</c:v>
                </c:pt>
                <c:pt idx="5">
                  <c:v>3.5</c:v>
                </c:pt>
                <c:pt idx="6">
                  <c:v>3.2</c:v>
                </c:pt>
                <c:pt idx="7">
                  <c:v>3.7</c:v>
                </c:pt>
                <c:pt idx="8">
                  <c:v>4</c:v>
                </c:pt>
                <c:pt idx="9">
                  <c:v>3.5</c:v>
                </c:pt>
                <c:pt idx="10">
                  <c:v>4.2</c:v>
                </c:pt>
                <c:pt idx="11">
                  <c:v>4.3</c:v>
                </c:pt>
                <c:pt idx="12">
                  <c:v>5.2</c:v>
                </c:pt>
                <c:pt idx="13">
                  <c:v>4.9000000000000004</c:v>
                </c:pt>
                <c:pt idx="14">
                  <c:v>5.3</c:v>
                </c:pt>
                <c:pt idx="15">
                  <c:v>5.2</c:v>
                </c:pt>
                <c:pt idx="16">
                  <c:v>6</c:v>
                </c:pt>
                <c:pt idx="17">
                  <c:v>6.2</c:v>
                </c:pt>
                <c:pt idx="18">
                  <c:v>6.9</c:v>
                </c:pt>
                <c:pt idx="19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24-4EE5-A376-CEDA6451C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8574848"/>
        <c:axId val="28544384"/>
      </c:scatterChart>
      <c:valAx>
        <c:axId val="2857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8544384"/>
        <c:crosses val="autoZero"/>
        <c:crossBetween val="midCat"/>
      </c:valAx>
      <c:valAx>
        <c:axId val="28544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5748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 y od 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9699527559055119E-2"/>
                  <c:y val="-4.208333333333333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'lack of fit (4 merania)'!$B$3:$B$18</c:f>
              <c:numCache>
                <c:formatCode>General</c:formatCode>
                <c:ptCount val="1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</c:numCache>
            </c:numRef>
          </c:xVal>
          <c:yVal>
            <c:numRef>
              <c:f>'lack of fit (4 merania)'!$C$3:$C$18</c:f>
              <c:numCache>
                <c:formatCode>General</c:formatCode>
                <c:ptCount val="16"/>
                <c:pt idx="0">
                  <c:v>2.2999999999999998</c:v>
                </c:pt>
                <c:pt idx="1">
                  <c:v>1.8</c:v>
                </c:pt>
                <c:pt idx="2">
                  <c:v>2.8</c:v>
                </c:pt>
                <c:pt idx="3">
                  <c:v>2</c:v>
                </c:pt>
                <c:pt idx="4">
                  <c:v>2.7</c:v>
                </c:pt>
                <c:pt idx="5">
                  <c:v>3.5</c:v>
                </c:pt>
                <c:pt idx="6">
                  <c:v>3.2</c:v>
                </c:pt>
                <c:pt idx="7">
                  <c:v>3.7</c:v>
                </c:pt>
                <c:pt idx="8">
                  <c:v>4</c:v>
                </c:pt>
                <c:pt idx="9">
                  <c:v>3.5</c:v>
                </c:pt>
                <c:pt idx="10">
                  <c:v>4.2</c:v>
                </c:pt>
                <c:pt idx="11">
                  <c:v>4.3</c:v>
                </c:pt>
                <c:pt idx="12">
                  <c:v>5.2</c:v>
                </c:pt>
                <c:pt idx="13">
                  <c:v>4.9000000000000004</c:v>
                </c:pt>
                <c:pt idx="14">
                  <c:v>5.3</c:v>
                </c:pt>
                <c:pt idx="15">
                  <c:v>5.2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BE5-4A49-A287-CDDBE1FAC4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0832896"/>
        <c:axId val="1280827072"/>
      </c:scatterChart>
      <c:valAx>
        <c:axId val="1280832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80827072"/>
        <c:crosses val="autoZero"/>
        <c:crossBetween val="midCat"/>
      </c:valAx>
      <c:valAx>
        <c:axId val="1280827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280832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koncentracie od veku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[1]Pr.2neriešený!$B$5:$B$12</c:f>
              <c:numCache>
                <c:formatCode>General</c:formatCode>
                <c:ptCount val="8"/>
                <c:pt idx="0">
                  <c:v>5</c:v>
                </c:pt>
                <c:pt idx="1">
                  <c:v>12</c:v>
                </c:pt>
                <c:pt idx="2">
                  <c:v>20</c:v>
                </c:pt>
                <c:pt idx="3">
                  <c:v>26</c:v>
                </c:pt>
                <c:pt idx="4">
                  <c:v>29</c:v>
                </c:pt>
                <c:pt idx="5">
                  <c:v>38</c:v>
                </c:pt>
                <c:pt idx="6">
                  <c:v>65</c:v>
                </c:pt>
                <c:pt idx="7">
                  <c:v>126</c:v>
                </c:pt>
              </c:numCache>
            </c:numRef>
          </c:xVal>
          <c:yVal>
            <c:numRef>
              <c:f>[1]Pr.2neriešený!$C$5:$C$12</c:f>
              <c:numCache>
                <c:formatCode>General</c:formatCode>
                <c:ptCount val="8"/>
                <c:pt idx="0">
                  <c:v>19</c:v>
                </c:pt>
                <c:pt idx="1">
                  <c:v>17</c:v>
                </c:pt>
                <c:pt idx="2">
                  <c:v>18</c:v>
                </c:pt>
                <c:pt idx="3">
                  <c:v>17</c:v>
                </c:pt>
                <c:pt idx="4">
                  <c:v>17</c:v>
                </c:pt>
                <c:pt idx="5">
                  <c:v>15</c:v>
                </c:pt>
                <c:pt idx="6">
                  <c:v>14</c:v>
                </c:pt>
                <c:pt idx="7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18-4C38-BF80-A8E419F02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0270623"/>
        <c:axId val="930276031"/>
      </c:scatterChart>
      <c:valAx>
        <c:axId val="930270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k-SK"/>
                  <a:t>vek vyrobku (dni)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30276031"/>
        <c:crosses val="autoZero"/>
        <c:crossBetween val="midCat"/>
      </c:valAx>
      <c:valAx>
        <c:axId val="930276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obsah chemickej latky</a:t>
                </a:r>
                <a:r>
                  <a:rPr lang="sk-SK"/>
                  <a:t> (%)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930270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spotreby od poctu najazdenych kilometrov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938757655293087E-2"/>
                  <c:y val="-0.158105497229512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Pr.3!$B$6:$B$15</c:f>
              <c:numCache>
                <c:formatCode>General</c:formatCode>
                <c:ptCount val="10"/>
                <c:pt idx="0">
                  <c:v>125</c:v>
                </c:pt>
                <c:pt idx="1">
                  <c:v>64</c:v>
                </c:pt>
                <c:pt idx="2">
                  <c:v>228</c:v>
                </c:pt>
                <c:pt idx="3">
                  <c:v>511</c:v>
                </c:pt>
                <c:pt idx="4">
                  <c:v>35</c:v>
                </c:pt>
                <c:pt idx="5">
                  <c:v>78</c:v>
                </c:pt>
                <c:pt idx="6">
                  <c:v>65</c:v>
                </c:pt>
                <c:pt idx="7">
                  <c:v>184</c:v>
                </c:pt>
                <c:pt idx="8">
                  <c:v>96</c:v>
                </c:pt>
                <c:pt idx="9">
                  <c:v>58</c:v>
                </c:pt>
              </c:numCache>
            </c:numRef>
          </c:xVal>
          <c:yVal>
            <c:numRef>
              <c:f>Pr.3!$C$6:$C$15</c:f>
              <c:numCache>
                <c:formatCode>General</c:formatCode>
                <c:ptCount val="10"/>
                <c:pt idx="0">
                  <c:v>8.3000000000000007</c:v>
                </c:pt>
                <c:pt idx="1">
                  <c:v>4.5999999999999996</c:v>
                </c:pt>
                <c:pt idx="2">
                  <c:v>15.4</c:v>
                </c:pt>
                <c:pt idx="3">
                  <c:v>7.1</c:v>
                </c:pt>
                <c:pt idx="4">
                  <c:v>2.1</c:v>
                </c:pt>
                <c:pt idx="5">
                  <c:v>4.5999999999999996</c:v>
                </c:pt>
                <c:pt idx="6">
                  <c:v>4.5999999999999996</c:v>
                </c:pt>
                <c:pt idx="7">
                  <c:v>10.9</c:v>
                </c:pt>
                <c:pt idx="8">
                  <c:v>5.8</c:v>
                </c:pt>
                <c:pt idx="9">
                  <c:v>3.4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C18-4D53-81BE-3BE6DE2F48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2580799"/>
        <c:axId val="1692581279"/>
      </c:scatterChart>
      <c:valAx>
        <c:axId val="16925807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pocet najazdenych kilometrov (km)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92581279"/>
        <c:crosses val="autoZero"/>
        <c:crossBetween val="midCat"/>
      </c:valAx>
      <c:valAx>
        <c:axId val="1692581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spotreba (l)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92580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</a:t>
            </a:r>
            <a:r>
              <a:rPr lang="sk-SK" baseline="0"/>
              <a:t> spotreby od poctu najazdenych kilometrov</a:t>
            </a:r>
            <a:endParaRPr lang="sk-SK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2938757655293087E-2"/>
                  <c:y val="-0.1581054972295129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Pr.3!$B$21:$B$29</c:f>
              <c:numCache>
                <c:formatCode>General</c:formatCode>
                <c:ptCount val="9"/>
                <c:pt idx="0">
                  <c:v>125</c:v>
                </c:pt>
                <c:pt idx="1">
                  <c:v>64</c:v>
                </c:pt>
                <c:pt idx="2">
                  <c:v>228</c:v>
                </c:pt>
                <c:pt idx="3">
                  <c:v>35</c:v>
                </c:pt>
                <c:pt idx="4">
                  <c:v>78</c:v>
                </c:pt>
                <c:pt idx="5">
                  <c:v>65</c:v>
                </c:pt>
                <c:pt idx="6">
                  <c:v>184</c:v>
                </c:pt>
                <c:pt idx="7">
                  <c:v>96</c:v>
                </c:pt>
                <c:pt idx="8">
                  <c:v>58</c:v>
                </c:pt>
              </c:numCache>
            </c:numRef>
          </c:xVal>
          <c:yVal>
            <c:numRef>
              <c:f>Pr.3!$C$21:$C$29</c:f>
              <c:numCache>
                <c:formatCode>General</c:formatCode>
                <c:ptCount val="9"/>
                <c:pt idx="0">
                  <c:v>8.3000000000000007</c:v>
                </c:pt>
                <c:pt idx="1">
                  <c:v>4.5999999999999996</c:v>
                </c:pt>
                <c:pt idx="2">
                  <c:v>15.4</c:v>
                </c:pt>
                <c:pt idx="3">
                  <c:v>2.1</c:v>
                </c:pt>
                <c:pt idx="4">
                  <c:v>4.5999999999999996</c:v>
                </c:pt>
                <c:pt idx="5">
                  <c:v>4.5999999999999996</c:v>
                </c:pt>
                <c:pt idx="6">
                  <c:v>10.9</c:v>
                </c:pt>
                <c:pt idx="7">
                  <c:v>5.8</c:v>
                </c:pt>
                <c:pt idx="8">
                  <c:v>3.4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4C-4F59-9198-951763775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2580799"/>
        <c:axId val="1692581279"/>
      </c:scatterChart>
      <c:valAx>
        <c:axId val="16925807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pocet najazdenych kilometrov (km)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92581279"/>
        <c:crosses val="autoZero"/>
        <c:crossBetween val="midCat"/>
      </c:valAx>
      <c:valAx>
        <c:axId val="16925812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spotreba (l)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69258079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k-SK"/>
              <a:t>Zavislost nakladov na udrzbu od veku vyrobku</a:t>
            </a:r>
          </a:p>
        </c:rich>
      </c:tx>
      <c:layout>
        <c:manualLayout>
          <c:xMode val="edge"/>
          <c:yMode val="edge"/>
          <c:x val="0.10748530257051113"/>
          <c:y val="3.37146979367972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4207855352756962"/>
                  <c:y val="0.160962777105925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k-SK"/>
                </a:p>
              </c:txPr>
            </c:trendlineLbl>
          </c:trendline>
          <c:xVal>
            <c:numRef>
              <c:f>[2]Pr.4!$B$7:$B$12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[2]Pr.4!$C$7:$C$12</c:f>
              <c:numCache>
                <c:formatCode>General</c:formatCode>
                <c:ptCount val="6"/>
                <c:pt idx="0">
                  <c:v>35</c:v>
                </c:pt>
                <c:pt idx="1">
                  <c:v>12</c:v>
                </c:pt>
                <c:pt idx="2">
                  <c:v>81</c:v>
                </c:pt>
                <c:pt idx="3">
                  <c:v>105</c:v>
                </c:pt>
                <c:pt idx="4">
                  <c:v>100</c:v>
                </c:pt>
                <c:pt idx="5">
                  <c:v>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C8-42CA-ADDF-433F4CA87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9855455"/>
        <c:axId val="1339857119"/>
      </c:scatterChart>
      <c:valAx>
        <c:axId val="13398554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vek (rok</a:t>
                </a:r>
                <a:r>
                  <a:rPr lang="sk-SK"/>
                  <a:t>ov</a:t>
                </a:r>
                <a:r>
                  <a:rPr lang="en-US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39857119"/>
        <c:crosses val="autoZero"/>
        <c:crossBetween val="midCat"/>
      </c:valAx>
      <c:valAx>
        <c:axId val="13398571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naklady (€)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k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3398554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 Variable 1  Residual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[2]Pr.4!$B$7:$B$12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[2]Pr.4!$C$38:$C$43</c:f>
              <c:numCache>
                <c:formatCode>General</c:formatCode>
                <c:ptCount val="6"/>
                <c:pt idx="0">
                  <c:v>0.75200000000000244</c:v>
                </c:pt>
                <c:pt idx="1">
                  <c:v>-22.247999999999998</c:v>
                </c:pt>
                <c:pt idx="2">
                  <c:v>7.9039999999999964</c:v>
                </c:pt>
                <c:pt idx="3">
                  <c:v>31.903999999999996</c:v>
                </c:pt>
                <c:pt idx="4">
                  <c:v>-11.944000000000003</c:v>
                </c:pt>
                <c:pt idx="5">
                  <c:v>-6.367999999999995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2E2-49FF-889A-66716427E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2250927"/>
        <c:axId val="1502246767"/>
      </c:scatterChart>
      <c:valAx>
        <c:axId val="15022509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 Variable 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46767"/>
        <c:crosses val="autoZero"/>
        <c:crossBetween val="midCat"/>
      </c:valAx>
      <c:valAx>
        <c:axId val="150224676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Residuals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50927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X Variable 1 Line Fit 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8575">
              <a:noFill/>
            </a:ln>
          </c:spPr>
          <c:xVal>
            <c:numRef>
              <c:f>[2]Pr.4!$B$7:$B$12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[2]Pr.4!$C$7:$C$12</c:f>
              <c:numCache>
                <c:formatCode>General</c:formatCode>
                <c:ptCount val="6"/>
                <c:pt idx="0">
                  <c:v>35</c:v>
                </c:pt>
                <c:pt idx="1">
                  <c:v>12</c:v>
                </c:pt>
                <c:pt idx="2">
                  <c:v>81</c:v>
                </c:pt>
                <c:pt idx="3">
                  <c:v>105</c:v>
                </c:pt>
                <c:pt idx="4">
                  <c:v>100</c:v>
                </c:pt>
                <c:pt idx="5">
                  <c:v>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1C-4ECB-A1F7-7D2BF638286D}"/>
            </c:ext>
          </c:extLst>
        </c:ser>
        <c:ser>
          <c:idx val="1"/>
          <c:order val="1"/>
          <c:tx>
            <c:v>Predicted Y</c:v>
          </c:tx>
          <c:spPr>
            <a:ln w="28575">
              <a:noFill/>
            </a:ln>
          </c:spPr>
          <c:xVal>
            <c:numRef>
              <c:f>[2]Pr.4!$B$7:$B$12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[2]Pr.4!$B$38:$B$43</c:f>
              <c:numCache>
                <c:formatCode>General</c:formatCode>
                <c:ptCount val="6"/>
                <c:pt idx="0">
                  <c:v>34.247999999999998</c:v>
                </c:pt>
                <c:pt idx="1">
                  <c:v>34.247999999999998</c:v>
                </c:pt>
                <c:pt idx="2">
                  <c:v>73.096000000000004</c:v>
                </c:pt>
                <c:pt idx="3">
                  <c:v>73.096000000000004</c:v>
                </c:pt>
                <c:pt idx="4">
                  <c:v>111.944</c:v>
                </c:pt>
                <c:pt idx="5">
                  <c:v>131.36799999999999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1C-4ECB-A1F7-7D2BF6382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2253839"/>
        <c:axId val="1502246351"/>
      </c:scatterChart>
      <c:valAx>
        <c:axId val="15022538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X Variable 1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46351"/>
        <c:crosses val="autoZero"/>
        <c:crossBetween val="midCat"/>
      </c:valAx>
      <c:valAx>
        <c:axId val="150224635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53839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sk-SK"/>
              <a:t>Normal Probability Plot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[2]Pr.4!$F$38:$F$43</c:f>
              <c:numCache>
                <c:formatCode>General</c:formatCode>
                <c:ptCount val="6"/>
                <c:pt idx="0">
                  <c:v>8.3333333333333339</c:v>
                </c:pt>
                <c:pt idx="1">
                  <c:v>25</c:v>
                </c:pt>
                <c:pt idx="2">
                  <c:v>41.666666666666671</c:v>
                </c:pt>
                <c:pt idx="3">
                  <c:v>58.333333333333336</c:v>
                </c:pt>
                <c:pt idx="4">
                  <c:v>75</c:v>
                </c:pt>
                <c:pt idx="5">
                  <c:v>91.666666666666671</c:v>
                </c:pt>
              </c:numCache>
            </c:numRef>
          </c:xVal>
          <c:yVal>
            <c:numRef>
              <c:f>[2]Pr.4!$G$38:$G$43</c:f>
              <c:numCache>
                <c:formatCode>General</c:formatCode>
                <c:ptCount val="6"/>
                <c:pt idx="0">
                  <c:v>12</c:v>
                </c:pt>
                <c:pt idx="1">
                  <c:v>35</c:v>
                </c:pt>
                <c:pt idx="2">
                  <c:v>81</c:v>
                </c:pt>
                <c:pt idx="3">
                  <c:v>100</c:v>
                </c:pt>
                <c:pt idx="4">
                  <c:v>105</c:v>
                </c:pt>
                <c:pt idx="5">
                  <c:v>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A5-454C-A201-4B2219E8BB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2248847"/>
        <c:axId val="1502247183"/>
      </c:scatterChart>
      <c:valAx>
        <c:axId val="15022488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Sample Percentile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47183"/>
        <c:crosses val="autoZero"/>
        <c:crossBetween val="midCat"/>
      </c:valAx>
      <c:valAx>
        <c:axId val="150224718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sk-SK"/>
                  <a:t>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02248847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chart" Target="../charts/chart2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chart" Target="../charts/chart1.xml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5.png"/><Relationship Id="rId7" Type="http://schemas.openxmlformats.org/officeDocument/2006/relationships/chart" Target="../charts/chart19.xml"/><Relationship Id="rId2" Type="http://schemas.openxmlformats.org/officeDocument/2006/relationships/image" Target="../media/image34.png"/><Relationship Id="rId1" Type="http://schemas.openxmlformats.org/officeDocument/2006/relationships/image" Target="../media/image33.png"/><Relationship Id="rId6" Type="http://schemas.openxmlformats.org/officeDocument/2006/relationships/image" Target="../media/image22.png"/><Relationship Id="rId5" Type="http://schemas.openxmlformats.org/officeDocument/2006/relationships/image" Target="../media/image21.png"/><Relationship Id="rId4" Type="http://schemas.openxmlformats.org/officeDocument/2006/relationships/image" Target="../media/image20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5.png"/><Relationship Id="rId7" Type="http://schemas.openxmlformats.org/officeDocument/2006/relationships/chart" Target="../charts/chart20.xml"/><Relationship Id="rId2" Type="http://schemas.openxmlformats.org/officeDocument/2006/relationships/image" Target="../media/image34.png"/><Relationship Id="rId1" Type="http://schemas.openxmlformats.org/officeDocument/2006/relationships/image" Target="../media/image33.png"/><Relationship Id="rId6" Type="http://schemas.openxmlformats.org/officeDocument/2006/relationships/image" Target="../media/image22.png"/><Relationship Id="rId5" Type="http://schemas.openxmlformats.org/officeDocument/2006/relationships/image" Target="../media/image21.png"/><Relationship Id="rId4" Type="http://schemas.openxmlformats.org/officeDocument/2006/relationships/image" Target="../media/image20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5.png"/><Relationship Id="rId7" Type="http://schemas.openxmlformats.org/officeDocument/2006/relationships/chart" Target="../charts/chart21.xml"/><Relationship Id="rId2" Type="http://schemas.openxmlformats.org/officeDocument/2006/relationships/image" Target="../media/image34.png"/><Relationship Id="rId1" Type="http://schemas.openxmlformats.org/officeDocument/2006/relationships/image" Target="../media/image33.png"/><Relationship Id="rId6" Type="http://schemas.openxmlformats.org/officeDocument/2006/relationships/image" Target="../media/image22.png"/><Relationship Id="rId5" Type="http://schemas.openxmlformats.org/officeDocument/2006/relationships/image" Target="../media/image21.png"/><Relationship Id="rId4" Type="http://schemas.openxmlformats.org/officeDocument/2006/relationships/image" Target="../media/image2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8.png"/><Relationship Id="rId3" Type="http://schemas.openxmlformats.org/officeDocument/2006/relationships/image" Target="../media/image13.png"/><Relationship Id="rId7" Type="http://schemas.openxmlformats.org/officeDocument/2006/relationships/image" Target="../media/image17.png"/><Relationship Id="rId2" Type="http://schemas.openxmlformats.org/officeDocument/2006/relationships/image" Target="../media/image12.png"/><Relationship Id="rId1" Type="http://schemas.openxmlformats.org/officeDocument/2006/relationships/image" Target="../media/image11.png"/><Relationship Id="rId6" Type="http://schemas.openxmlformats.org/officeDocument/2006/relationships/image" Target="../media/image16.png"/><Relationship Id="rId5" Type="http://schemas.openxmlformats.org/officeDocument/2006/relationships/image" Target="../media/image15.png"/><Relationship Id="rId4" Type="http://schemas.openxmlformats.org/officeDocument/2006/relationships/image" Target="../media/image14.png"/><Relationship Id="rId9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13" Type="http://schemas.openxmlformats.org/officeDocument/2006/relationships/image" Target="../media/image28.png"/><Relationship Id="rId3" Type="http://schemas.openxmlformats.org/officeDocument/2006/relationships/image" Target="../media/image22.png"/><Relationship Id="rId7" Type="http://schemas.openxmlformats.org/officeDocument/2006/relationships/chart" Target="../charts/chart9.xml"/><Relationship Id="rId12" Type="http://schemas.openxmlformats.org/officeDocument/2006/relationships/image" Target="../media/image27.png"/><Relationship Id="rId2" Type="http://schemas.openxmlformats.org/officeDocument/2006/relationships/image" Target="../media/image21.png"/><Relationship Id="rId1" Type="http://schemas.openxmlformats.org/officeDocument/2006/relationships/image" Target="../media/image20.png"/><Relationship Id="rId6" Type="http://schemas.openxmlformats.org/officeDocument/2006/relationships/chart" Target="../charts/chart8.xml"/><Relationship Id="rId11" Type="http://schemas.openxmlformats.org/officeDocument/2006/relationships/image" Target="../media/image26.png"/><Relationship Id="rId5" Type="http://schemas.openxmlformats.org/officeDocument/2006/relationships/chart" Target="../charts/chart7.xml"/><Relationship Id="rId10" Type="http://schemas.openxmlformats.org/officeDocument/2006/relationships/image" Target="../media/image25.png"/><Relationship Id="rId4" Type="http://schemas.openxmlformats.org/officeDocument/2006/relationships/chart" Target="../charts/chart6.xml"/><Relationship Id="rId9" Type="http://schemas.openxmlformats.org/officeDocument/2006/relationships/image" Target="../media/image2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1.png"/><Relationship Id="rId2" Type="http://schemas.openxmlformats.org/officeDocument/2006/relationships/image" Target="../media/image30.png"/><Relationship Id="rId1" Type="http://schemas.openxmlformats.org/officeDocument/2006/relationships/image" Target="../media/image29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image" Target="../media/image3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238125</xdr:colOff>
      <xdr:row>1</xdr:row>
      <xdr:rowOff>166687</xdr:rowOff>
    </xdr:from>
    <xdr:to>
      <xdr:col>9</xdr:col>
      <xdr:colOff>457200</xdr:colOff>
      <xdr:row>2</xdr:row>
      <xdr:rowOff>157162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38625" y="357187"/>
          <a:ext cx="130492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3</xdr:row>
      <xdr:rowOff>0</xdr:rowOff>
    </xdr:from>
    <xdr:to>
      <xdr:col>9</xdr:col>
      <xdr:colOff>561975</xdr:colOff>
      <xdr:row>3</xdr:row>
      <xdr:rowOff>180975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571500"/>
          <a:ext cx="164782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664728</xdr:colOff>
      <xdr:row>36</xdr:row>
      <xdr:rowOff>190333</xdr:rowOff>
    </xdr:from>
    <xdr:to>
      <xdr:col>9</xdr:col>
      <xdr:colOff>657225</xdr:colOff>
      <xdr:row>39</xdr:row>
      <xdr:rowOff>9524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4428" y="7067383"/>
          <a:ext cx="849747" cy="3906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755035</xdr:colOff>
      <xdr:row>37</xdr:row>
      <xdr:rowOff>28576</xdr:rowOff>
    </xdr:from>
    <xdr:to>
      <xdr:col>3</xdr:col>
      <xdr:colOff>42144</xdr:colOff>
      <xdr:row>38</xdr:row>
      <xdr:rowOff>9526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5035" y="7096126"/>
          <a:ext cx="1658834" cy="171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419099</xdr:colOff>
      <xdr:row>37</xdr:row>
      <xdr:rowOff>37138</xdr:rowOff>
    </xdr:from>
    <xdr:to>
      <xdr:col>8</xdr:col>
      <xdr:colOff>82549</xdr:colOff>
      <xdr:row>38</xdr:row>
      <xdr:rowOff>40821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5442" y="6916909"/>
          <a:ext cx="817336" cy="1941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217715</xdr:colOff>
      <xdr:row>36</xdr:row>
      <xdr:rowOff>165812</xdr:rowOff>
    </xdr:from>
    <xdr:to>
      <xdr:col>5</xdr:col>
      <xdr:colOff>537029</xdr:colOff>
      <xdr:row>38</xdr:row>
      <xdr:rowOff>163739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5486" y="6855083"/>
          <a:ext cx="863600" cy="3789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384630</xdr:colOff>
      <xdr:row>12</xdr:row>
      <xdr:rowOff>155121</xdr:rowOff>
    </xdr:from>
    <xdr:to>
      <xdr:col>7</xdr:col>
      <xdr:colOff>202190</xdr:colOff>
      <xdr:row>14</xdr:row>
      <xdr:rowOff>88446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0973" y="2441121"/>
          <a:ext cx="42716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443594</xdr:colOff>
      <xdr:row>12</xdr:row>
      <xdr:rowOff>138322</xdr:rowOff>
    </xdr:from>
    <xdr:to>
      <xdr:col>8</xdr:col>
      <xdr:colOff>362858</xdr:colOff>
      <xdr:row>14</xdr:row>
      <xdr:rowOff>98425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9537" y="2424322"/>
          <a:ext cx="463550" cy="3411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34636</xdr:colOff>
      <xdr:row>50</xdr:row>
      <xdr:rowOff>23262</xdr:rowOff>
    </xdr:from>
    <xdr:to>
      <xdr:col>11</xdr:col>
      <xdr:colOff>8659</xdr:colOff>
      <xdr:row>51</xdr:row>
      <xdr:rowOff>34636</xdr:rowOff>
    </xdr:to>
    <xdr:pic>
      <xdr:nvPicPr>
        <xdr:cNvPr id="10" name="Obrázok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5136" y="8490987"/>
          <a:ext cx="2279073" cy="2018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478972</xdr:colOff>
      <xdr:row>29</xdr:row>
      <xdr:rowOff>38372</xdr:rowOff>
    </xdr:from>
    <xdr:to>
      <xdr:col>8</xdr:col>
      <xdr:colOff>315685</xdr:colOff>
      <xdr:row>30</xdr:row>
      <xdr:rowOff>29935</xdr:rowOff>
    </xdr:to>
    <xdr:pic>
      <xdr:nvPicPr>
        <xdr:cNvPr id="11" name="Obrázok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1029" y="5394143"/>
          <a:ext cx="1534885" cy="182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949035</xdr:colOff>
      <xdr:row>4</xdr:row>
      <xdr:rowOff>178376</xdr:rowOff>
    </xdr:from>
    <xdr:to>
      <xdr:col>17</xdr:col>
      <xdr:colOff>400049</xdr:colOff>
      <xdr:row>18</xdr:row>
      <xdr:rowOff>85725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11</xdr:col>
      <xdr:colOff>981075</xdr:colOff>
      <xdr:row>19</xdr:row>
      <xdr:rowOff>66675</xdr:rowOff>
    </xdr:from>
    <xdr:to>
      <xdr:col>17</xdr:col>
      <xdr:colOff>361950</xdr:colOff>
      <xdr:row>33</xdr:row>
      <xdr:rowOff>142875</xdr:rowOff>
    </xdr:to>
    <xdr:graphicFrame macro="">
      <xdr:nvGraphicFramePr>
        <xdr:cNvPr id="13" name="Graf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7</xdr:row>
      <xdr:rowOff>128587</xdr:rowOff>
    </xdr:from>
    <xdr:to>
      <xdr:col>9</xdr:col>
      <xdr:colOff>447675</xdr:colOff>
      <xdr:row>21</xdr:row>
      <xdr:rowOff>19050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457200</xdr:colOff>
      <xdr:row>7</xdr:row>
      <xdr:rowOff>133350</xdr:rowOff>
    </xdr:from>
    <xdr:to>
      <xdr:col>16</xdr:col>
      <xdr:colOff>561975</xdr:colOff>
      <xdr:row>21</xdr:row>
      <xdr:rowOff>23813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57150</xdr:colOff>
      <xdr:row>34</xdr:row>
      <xdr:rowOff>41827</xdr:rowOff>
    </xdr:from>
    <xdr:to>
      <xdr:col>13</xdr:col>
      <xdr:colOff>161924</xdr:colOff>
      <xdr:row>47</xdr:row>
      <xdr:rowOff>122790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46382</xdr:colOff>
      <xdr:row>41</xdr:row>
      <xdr:rowOff>67917</xdr:rowOff>
    </xdr:from>
    <xdr:to>
      <xdr:col>11</xdr:col>
      <xdr:colOff>112643</xdr:colOff>
      <xdr:row>41</xdr:row>
      <xdr:rowOff>134178</xdr:rowOff>
    </xdr:to>
    <xdr:sp macro="" textlink="">
      <xdr:nvSpPr>
        <xdr:cNvPr id="5" name="Ovál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/>
      </xdr:nvSpPr>
      <xdr:spPr>
        <a:xfrm>
          <a:off x="6818657" y="7906992"/>
          <a:ext cx="66261" cy="66261"/>
        </a:xfrm>
        <a:prstGeom prst="ellipse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k-SK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561974</xdr:colOff>
      <xdr:row>7</xdr:row>
      <xdr:rowOff>186104</xdr:rowOff>
    </xdr:from>
    <xdr:to>
      <xdr:col>12</xdr:col>
      <xdr:colOff>466724</xdr:colOff>
      <xdr:row>17</xdr:row>
      <xdr:rowOff>176578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2929</xdr:colOff>
      <xdr:row>8</xdr:row>
      <xdr:rowOff>9526</xdr:rowOff>
    </xdr:from>
    <xdr:to>
      <xdr:col>17</xdr:col>
      <xdr:colOff>326780</xdr:colOff>
      <xdr:row>18</xdr:row>
      <xdr:rowOff>7328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58</xdr:row>
      <xdr:rowOff>19050</xdr:rowOff>
    </xdr:from>
    <xdr:to>
      <xdr:col>0</xdr:col>
      <xdr:colOff>257175</xdr:colOff>
      <xdr:row>59</xdr:row>
      <xdr:rowOff>38100</xdr:rowOff>
    </xdr:to>
    <xdr:pic>
      <xdr:nvPicPr>
        <xdr:cNvPr id="13" name="Obrázok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258550"/>
          <a:ext cx="1524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381000</xdr:colOff>
      <xdr:row>50</xdr:row>
      <xdr:rowOff>9525</xdr:rowOff>
    </xdr:from>
    <xdr:to>
      <xdr:col>13</xdr:col>
      <xdr:colOff>142875</xdr:colOff>
      <xdr:row>53</xdr:row>
      <xdr:rowOff>85725</xdr:rowOff>
    </xdr:to>
    <xdr:pic>
      <xdr:nvPicPr>
        <xdr:cNvPr id="15" name="Obrázok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2375" y="9791700"/>
          <a:ext cx="981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600075</xdr:colOff>
      <xdr:row>40</xdr:row>
      <xdr:rowOff>180975</xdr:rowOff>
    </xdr:from>
    <xdr:to>
      <xdr:col>15</xdr:col>
      <xdr:colOff>104775</xdr:colOff>
      <xdr:row>43</xdr:row>
      <xdr:rowOff>133350</xdr:rowOff>
    </xdr:to>
    <xdr:pic>
      <xdr:nvPicPr>
        <xdr:cNvPr id="17" name="Obrázok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7858125"/>
          <a:ext cx="32385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47</xdr:row>
      <xdr:rowOff>104775</xdr:rowOff>
    </xdr:from>
    <xdr:to>
      <xdr:col>2</xdr:col>
      <xdr:colOff>266700</xdr:colOff>
      <xdr:row>50</xdr:row>
      <xdr:rowOff>47625</xdr:rowOff>
    </xdr:to>
    <xdr:pic>
      <xdr:nvPicPr>
        <xdr:cNvPr id="18" name="Obrázok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305925"/>
          <a:ext cx="142875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50</xdr:row>
      <xdr:rowOff>104775</xdr:rowOff>
    </xdr:from>
    <xdr:to>
      <xdr:col>2</xdr:col>
      <xdr:colOff>352425</xdr:colOff>
      <xdr:row>53</xdr:row>
      <xdr:rowOff>57150</xdr:rowOff>
    </xdr:to>
    <xdr:pic>
      <xdr:nvPicPr>
        <xdr:cNvPr id="19" name="Obrázok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886950"/>
          <a:ext cx="15144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53</xdr:row>
      <xdr:rowOff>95250</xdr:rowOff>
    </xdr:from>
    <xdr:to>
      <xdr:col>2</xdr:col>
      <xdr:colOff>228600</xdr:colOff>
      <xdr:row>56</xdr:row>
      <xdr:rowOff>9525</xdr:rowOff>
    </xdr:to>
    <xdr:pic>
      <xdr:nvPicPr>
        <xdr:cNvPr id="20" name="Obrázok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0448925"/>
          <a:ext cx="13906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666750</xdr:colOff>
      <xdr:row>3</xdr:row>
      <xdr:rowOff>33337</xdr:rowOff>
    </xdr:from>
    <xdr:to>
      <xdr:col>11</xdr:col>
      <xdr:colOff>485775</xdr:colOff>
      <xdr:row>17</xdr:row>
      <xdr:rowOff>109537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84</xdr:row>
      <xdr:rowOff>19050</xdr:rowOff>
    </xdr:from>
    <xdr:to>
      <xdr:col>0</xdr:col>
      <xdr:colOff>257175</xdr:colOff>
      <xdr:row>85</xdr:row>
      <xdr:rowOff>38100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1268075"/>
          <a:ext cx="1524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361950</xdr:colOff>
      <xdr:row>102</xdr:row>
      <xdr:rowOff>180975</xdr:rowOff>
    </xdr:from>
    <xdr:to>
      <xdr:col>3</xdr:col>
      <xdr:colOff>123825</xdr:colOff>
      <xdr:row>106</xdr:row>
      <xdr:rowOff>66675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19888200"/>
          <a:ext cx="981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104775</xdr:colOff>
      <xdr:row>92</xdr:row>
      <xdr:rowOff>95250</xdr:rowOff>
    </xdr:from>
    <xdr:to>
      <xdr:col>8</xdr:col>
      <xdr:colOff>409575</xdr:colOff>
      <xdr:row>95</xdr:row>
      <xdr:rowOff>47625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5" y="17887950"/>
          <a:ext cx="32385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73</xdr:row>
      <xdr:rowOff>104775</xdr:rowOff>
    </xdr:from>
    <xdr:to>
      <xdr:col>2</xdr:col>
      <xdr:colOff>266700</xdr:colOff>
      <xdr:row>76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248775"/>
          <a:ext cx="142875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76</xdr:row>
      <xdr:rowOff>104775</xdr:rowOff>
    </xdr:from>
    <xdr:to>
      <xdr:col>2</xdr:col>
      <xdr:colOff>352425</xdr:colOff>
      <xdr:row>79</xdr:row>
      <xdr:rowOff>57150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829800"/>
          <a:ext cx="15144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79</xdr:row>
      <xdr:rowOff>95250</xdr:rowOff>
    </xdr:from>
    <xdr:to>
      <xdr:col>2</xdr:col>
      <xdr:colOff>228600</xdr:colOff>
      <xdr:row>82</xdr:row>
      <xdr:rowOff>9525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0391775"/>
          <a:ext cx="13906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84</xdr:row>
      <xdr:rowOff>19050</xdr:rowOff>
    </xdr:from>
    <xdr:to>
      <xdr:col>0</xdr:col>
      <xdr:colOff>257175</xdr:colOff>
      <xdr:row>85</xdr:row>
      <xdr:rowOff>38100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6287750"/>
          <a:ext cx="1524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361950</xdr:colOff>
      <xdr:row>102</xdr:row>
      <xdr:rowOff>180975</xdr:rowOff>
    </xdr:from>
    <xdr:to>
      <xdr:col>3</xdr:col>
      <xdr:colOff>123825</xdr:colOff>
      <xdr:row>106</xdr:row>
      <xdr:rowOff>66675</xdr:rowOff>
    </xdr:to>
    <xdr:pic>
      <xdr:nvPicPr>
        <xdr:cNvPr id="10" name="Obrázok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19888200"/>
          <a:ext cx="981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104775</xdr:colOff>
      <xdr:row>92</xdr:row>
      <xdr:rowOff>95250</xdr:rowOff>
    </xdr:from>
    <xdr:to>
      <xdr:col>8</xdr:col>
      <xdr:colOff>409575</xdr:colOff>
      <xdr:row>95</xdr:row>
      <xdr:rowOff>47625</xdr:rowOff>
    </xdr:to>
    <xdr:pic>
      <xdr:nvPicPr>
        <xdr:cNvPr id="11" name="Obrázok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5" y="17887950"/>
          <a:ext cx="32385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73</xdr:row>
      <xdr:rowOff>104775</xdr:rowOff>
    </xdr:from>
    <xdr:to>
      <xdr:col>2</xdr:col>
      <xdr:colOff>266700</xdr:colOff>
      <xdr:row>76</xdr:row>
      <xdr:rowOff>47625</xdr:rowOff>
    </xdr:to>
    <xdr:pic>
      <xdr:nvPicPr>
        <xdr:cNvPr id="12" name="Obrázok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4277975"/>
          <a:ext cx="14287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76</xdr:row>
      <xdr:rowOff>104775</xdr:rowOff>
    </xdr:from>
    <xdr:to>
      <xdr:col>2</xdr:col>
      <xdr:colOff>352425</xdr:colOff>
      <xdr:row>79</xdr:row>
      <xdr:rowOff>57150</xdr:rowOff>
    </xdr:to>
    <xdr:pic>
      <xdr:nvPicPr>
        <xdr:cNvPr id="13" name="Obrázok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4849475"/>
          <a:ext cx="15144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79</xdr:row>
      <xdr:rowOff>95250</xdr:rowOff>
    </xdr:from>
    <xdr:to>
      <xdr:col>2</xdr:col>
      <xdr:colOff>228600</xdr:colOff>
      <xdr:row>82</xdr:row>
      <xdr:rowOff>9525</xdr:rowOff>
    </xdr:to>
    <xdr:pic>
      <xdr:nvPicPr>
        <xdr:cNvPr id="14" name="Obrázok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5411450"/>
          <a:ext cx="13906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276225</xdr:colOff>
      <xdr:row>3</xdr:row>
      <xdr:rowOff>14287</xdr:rowOff>
    </xdr:from>
    <xdr:to>
      <xdr:col>10</xdr:col>
      <xdr:colOff>504825</xdr:colOff>
      <xdr:row>17</xdr:row>
      <xdr:rowOff>90487</xdr:rowOff>
    </xdr:to>
    <xdr:graphicFrame macro="">
      <xdr:nvGraphicFramePr>
        <xdr:cNvPr id="15" name="Graf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80</xdr:row>
      <xdr:rowOff>19050</xdr:rowOff>
    </xdr:from>
    <xdr:to>
      <xdr:col>0</xdr:col>
      <xdr:colOff>257175</xdr:colOff>
      <xdr:row>81</xdr:row>
      <xdr:rowOff>38100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5525750"/>
          <a:ext cx="1524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361950</xdr:colOff>
      <xdr:row>94</xdr:row>
      <xdr:rowOff>180975</xdr:rowOff>
    </xdr:from>
    <xdr:to>
      <xdr:col>3</xdr:col>
      <xdr:colOff>123825</xdr:colOff>
      <xdr:row>98</xdr:row>
      <xdr:rowOff>66675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18364200"/>
          <a:ext cx="981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104775</xdr:colOff>
      <xdr:row>84</xdr:row>
      <xdr:rowOff>95250</xdr:rowOff>
    </xdr:from>
    <xdr:to>
      <xdr:col>8</xdr:col>
      <xdr:colOff>409575</xdr:colOff>
      <xdr:row>87</xdr:row>
      <xdr:rowOff>47625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3175" y="16363950"/>
          <a:ext cx="32385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69</xdr:row>
      <xdr:rowOff>104775</xdr:rowOff>
    </xdr:from>
    <xdr:to>
      <xdr:col>2</xdr:col>
      <xdr:colOff>266700</xdr:colOff>
      <xdr:row>72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3515975"/>
          <a:ext cx="142875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72</xdr:row>
      <xdr:rowOff>104775</xdr:rowOff>
    </xdr:from>
    <xdr:to>
      <xdr:col>2</xdr:col>
      <xdr:colOff>352425</xdr:colOff>
      <xdr:row>75</xdr:row>
      <xdr:rowOff>57150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4087475"/>
          <a:ext cx="15144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75</xdr:row>
      <xdr:rowOff>95250</xdr:rowOff>
    </xdr:from>
    <xdr:to>
      <xdr:col>2</xdr:col>
      <xdr:colOff>228600</xdr:colOff>
      <xdr:row>78</xdr:row>
      <xdr:rowOff>9525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4649450"/>
          <a:ext cx="139065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357187</xdr:colOff>
      <xdr:row>2</xdr:row>
      <xdr:rowOff>128587</xdr:rowOff>
    </xdr:from>
    <xdr:to>
      <xdr:col>11</xdr:col>
      <xdr:colOff>280987</xdr:colOff>
      <xdr:row>17</xdr:row>
      <xdr:rowOff>14287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4</xdr:row>
      <xdr:rowOff>42862</xdr:rowOff>
    </xdr:from>
    <xdr:to>
      <xdr:col>14</xdr:col>
      <xdr:colOff>104775</xdr:colOff>
      <xdr:row>18</xdr:row>
      <xdr:rowOff>119062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485118</xdr:colOff>
      <xdr:row>3</xdr:row>
      <xdr:rowOff>171450</xdr:rowOff>
    </xdr:from>
    <xdr:to>
      <xdr:col>14</xdr:col>
      <xdr:colOff>66240</xdr:colOff>
      <xdr:row>20</xdr:row>
      <xdr:rowOff>15438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6183" t="26370" r="26553" b="30735"/>
        <a:stretch/>
      </xdr:blipFill>
      <xdr:spPr>
        <a:xfrm>
          <a:off x="6200118" y="742950"/>
          <a:ext cx="4248372" cy="3092013"/>
        </a:xfrm>
        <a:prstGeom prst="rect">
          <a:avLst/>
        </a:prstGeom>
      </xdr:spPr>
    </xdr:pic>
    <xdr:clientData/>
  </xdr:twoCellAnchor>
  <xdr:twoCellAnchor>
    <xdr:from>
      <xdr:col>5</xdr:col>
      <xdr:colOff>904875</xdr:colOff>
      <xdr:row>43</xdr:row>
      <xdr:rowOff>66675</xdr:rowOff>
    </xdr:from>
    <xdr:to>
      <xdr:col>7</xdr:col>
      <xdr:colOff>390525</xdr:colOff>
      <xdr:row>45</xdr:row>
      <xdr:rowOff>123825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8372475"/>
          <a:ext cx="13239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333375</xdr:colOff>
      <xdr:row>27</xdr:row>
      <xdr:rowOff>19050</xdr:rowOff>
    </xdr:from>
    <xdr:to>
      <xdr:col>13</xdr:col>
      <xdr:colOff>333375</xdr:colOff>
      <xdr:row>28</xdr:row>
      <xdr:rowOff>47625</xdr:rowOff>
    </xdr:to>
    <xdr:pic>
      <xdr:nvPicPr>
        <xdr:cNvPr id="5" name="Obrázok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191125"/>
          <a:ext cx="121920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161925</xdr:colOff>
      <xdr:row>43</xdr:row>
      <xdr:rowOff>0</xdr:rowOff>
    </xdr:from>
    <xdr:to>
      <xdr:col>13</xdr:col>
      <xdr:colOff>19050</xdr:colOff>
      <xdr:row>44</xdr:row>
      <xdr:rowOff>38100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4875" y="8305800"/>
          <a:ext cx="1076325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466725</xdr:colOff>
      <xdr:row>43</xdr:row>
      <xdr:rowOff>190500</xdr:rowOff>
    </xdr:from>
    <xdr:to>
      <xdr:col>8</xdr:col>
      <xdr:colOff>400050</xdr:colOff>
      <xdr:row>44</xdr:row>
      <xdr:rowOff>28575</xdr:rowOff>
    </xdr:to>
    <xdr:cxnSp macro="">
      <xdr:nvCxnSpPr>
        <xdr:cNvPr id="7" name="Rovná spojovacia šípka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H="1">
          <a:off x="6181725" y="8496300"/>
          <a:ext cx="581025" cy="1143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647700</xdr:colOff>
      <xdr:row>48</xdr:row>
      <xdr:rowOff>19050</xdr:rowOff>
    </xdr:from>
    <xdr:to>
      <xdr:col>7</xdr:col>
      <xdr:colOff>447675</xdr:colOff>
      <xdr:row>49</xdr:row>
      <xdr:rowOff>19050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9410700"/>
          <a:ext cx="1638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485776</xdr:colOff>
      <xdr:row>47</xdr:row>
      <xdr:rowOff>152400</xdr:rowOff>
    </xdr:from>
    <xdr:to>
      <xdr:col>8</xdr:col>
      <xdr:colOff>114300</xdr:colOff>
      <xdr:row>48</xdr:row>
      <xdr:rowOff>19050</xdr:rowOff>
    </xdr:to>
    <xdr:cxnSp macro="">
      <xdr:nvCxnSpPr>
        <xdr:cNvPr id="9" name="Rovná spojovacia šípka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 flipH="1">
          <a:off x="6200776" y="9353550"/>
          <a:ext cx="276224" cy="571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485118</xdr:colOff>
      <xdr:row>3</xdr:row>
      <xdr:rowOff>171450</xdr:rowOff>
    </xdr:from>
    <xdr:to>
      <xdr:col>14</xdr:col>
      <xdr:colOff>66240</xdr:colOff>
      <xdr:row>20</xdr:row>
      <xdr:rowOff>15438</xdr:rowOff>
    </xdr:to>
    <xdr:pic>
      <xdr:nvPicPr>
        <xdr:cNvPr id="10" name="Obrázok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6183" t="26370" r="26553" b="30735"/>
        <a:stretch/>
      </xdr:blipFill>
      <xdr:spPr>
        <a:xfrm>
          <a:off x="6200118" y="742950"/>
          <a:ext cx="4248372" cy="3092013"/>
        </a:xfrm>
        <a:prstGeom prst="rect">
          <a:avLst/>
        </a:prstGeom>
      </xdr:spPr>
    </xdr:pic>
    <xdr:clientData/>
  </xdr:twoCellAnchor>
  <xdr:twoCellAnchor>
    <xdr:from>
      <xdr:col>5</xdr:col>
      <xdr:colOff>904875</xdr:colOff>
      <xdr:row>43</xdr:row>
      <xdr:rowOff>66675</xdr:rowOff>
    </xdr:from>
    <xdr:to>
      <xdr:col>7</xdr:col>
      <xdr:colOff>390525</xdr:colOff>
      <xdr:row>45</xdr:row>
      <xdr:rowOff>123825</xdr:rowOff>
    </xdr:to>
    <xdr:pic>
      <xdr:nvPicPr>
        <xdr:cNvPr id="11" name="Obrázo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1550" y="8372475"/>
          <a:ext cx="1323975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333375</xdr:colOff>
      <xdr:row>27</xdr:row>
      <xdr:rowOff>19050</xdr:rowOff>
    </xdr:from>
    <xdr:to>
      <xdr:col>13</xdr:col>
      <xdr:colOff>333375</xdr:colOff>
      <xdr:row>28</xdr:row>
      <xdr:rowOff>47625</xdr:rowOff>
    </xdr:to>
    <xdr:pic>
      <xdr:nvPicPr>
        <xdr:cNvPr id="12" name="Obrázok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0" y="5191125"/>
          <a:ext cx="13430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161925</xdr:colOff>
      <xdr:row>43</xdr:row>
      <xdr:rowOff>0</xdr:rowOff>
    </xdr:from>
    <xdr:to>
      <xdr:col>13</xdr:col>
      <xdr:colOff>19050</xdr:colOff>
      <xdr:row>44</xdr:row>
      <xdr:rowOff>38100</xdr:rowOff>
    </xdr:to>
    <xdr:pic>
      <xdr:nvPicPr>
        <xdr:cNvPr id="13" name="Obrázok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1550" y="8305800"/>
          <a:ext cx="1200150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466725</xdr:colOff>
      <xdr:row>43</xdr:row>
      <xdr:rowOff>190500</xdr:rowOff>
    </xdr:from>
    <xdr:to>
      <xdr:col>8</xdr:col>
      <xdr:colOff>400050</xdr:colOff>
      <xdr:row>44</xdr:row>
      <xdr:rowOff>28575</xdr:rowOff>
    </xdr:to>
    <xdr:cxnSp macro="">
      <xdr:nvCxnSpPr>
        <xdr:cNvPr id="14" name="Rovná spojovacia šípka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 flipH="1">
          <a:off x="6181725" y="8496300"/>
          <a:ext cx="581025" cy="11430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647700</xdr:colOff>
      <xdr:row>48</xdr:row>
      <xdr:rowOff>19050</xdr:rowOff>
    </xdr:from>
    <xdr:to>
      <xdr:col>7</xdr:col>
      <xdr:colOff>447675</xdr:colOff>
      <xdr:row>49</xdr:row>
      <xdr:rowOff>19050</xdr:rowOff>
    </xdr:to>
    <xdr:pic>
      <xdr:nvPicPr>
        <xdr:cNvPr id="15" name="Obrázok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9410700"/>
          <a:ext cx="1638300" cy="190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485776</xdr:colOff>
      <xdr:row>47</xdr:row>
      <xdr:rowOff>152400</xdr:rowOff>
    </xdr:from>
    <xdr:to>
      <xdr:col>8</xdr:col>
      <xdr:colOff>114300</xdr:colOff>
      <xdr:row>48</xdr:row>
      <xdr:rowOff>19050</xdr:rowOff>
    </xdr:to>
    <xdr:cxnSp macro="">
      <xdr:nvCxnSpPr>
        <xdr:cNvPr id="16" name="Rovná spojovacia šípka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 flipH="1">
          <a:off x="6200776" y="9353550"/>
          <a:ext cx="276224" cy="571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123825</xdr:colOff>
      <xdr:row>23</xdr:row>
      <xdr:rowOff>133350</xdr:rowOff>
    </xdr:from>
    <xdr:to>
      <xdr:col>10</xdr:col>
      <xdr:colOff>381000</xdr:colOff>
      <xdr:row>26</xdr:row>
      <xdr:rowOff>95250</xdr:rowOff>
    </xdr:to>
    <xdr:cxnSp macro="">
      <xdr:nvCxnSpPr>
        <xdr:cNvPr id="17" name="Rovná spojovacia šípka 16"/>
        <xdr:cNvCxnSpPr/>
      </xdr:nvCxnSpPr>
      <xdr:spPr>
        <a:xfrm flipH="1">
          <a:off x="5838825" y="4533900"/>
          <a:ext cx="2362200" cy="5429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66675</xdr:colOff>
      <xdr:row>36</xdr:row>
      <xdr:rowOff>171450</xdr:rowOff>
    </xdr:from>
    <xdr:to>
      <xdr:col>11</xdr:col>
      <xdr:colOff>66675</xdr:colOff>
      <xdr:row>39</xdr:row>
      <xdr:rowOff>161926</xdr:rowOff>
    </xdr:to>
    <xdr:cxnSp macro="">
      <xdr:nvCxnSpPr>
        <xdr:cNvPr id="19" name="Rovná spojovacia šípka 18"/>
        <xdr:cNvCxnSpPr/>
      </xdr:nvCxnSpPr>
      <xdr:spPr>
        <a:xfrm flipH="1" flipV="1">
          <a:off x="7886700" y="7124700"/>
          <a:ext cx="609600" cy="5715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 editAs="oneCell">
    <xdr:from>
      <xdr:col>19</xdr:col>
      <xdr:colOff>47625</xdr:colOff>
      <xdr:row>18</xdr:row>
      <xdr:rowOff>142875</xdr:rowOff>
    </xdr:from>
    <xdr:to>
      <xdr:col>23</xdr:col>
      <xdr:colOff>313622</xdr:colOff>
      <xdr:row>29</xdr:row>
      <xdr:rowOff>173508</xdr:rowOff>
    </xdr:to>
    <xdr:pic>
      <xdr:nvPicPr>
        <xdr:cNvPr id="21" name="Obrázok 2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477875" y="3581400"/>
          <a:ext cx="2704397" cy="2145183"/>
        </a:xfrm>
        <a:prstGeom prst="rect">
          <a:avLst/>
        </a:prstGeom>
      </xdr:spPr>
    </xdr:pic>
    <xdr:clientData/>
  </xdr:twoCellAnchor>
  <xdr:twoCellAnchor editAs="oneCell">
    <xdr:from>
      <xdr:col>22</xdr:col>
      <xdr:colOff>200025</xdr:colOff>
      <xdr:row>29</xdr:row>
      <xdr:rowOff>185243</xdr:rowOff>
    </xdr:from>
    <xdr:to>
      <xdr:col>27</xdr:col>
      <xdr:colOff>304800</xdr:colOff>
      <xdr:row>41</xdr:row>
      <xdr:rowOff>8967</xdr:rowOff>
    </xdr:to>
    <xdr:pic>
      <xdr:nvPicPr>
        <xdr:cNvPr id="22" name="Obrázok 2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5459075" y="5738318"/>
          <a:ext cx="3152775" cy="2185924"/>
        </a:xfrm>
        <a:prstGeom prst="rect">
          <a:avLst/>
        </a:prstGeom>
      </xdr:spPr>
    </xdr:pic>
    <xdr:clientData/>
  </xdr:twoCellAnchor>
  <xdr:twoCellAnchor editAs="oneCell">
    <xdr:from>
      <xdr:col>16</xdr:col>
      <xdr:colOff>201101</xdr:colOff>
      <xdr:row>37</xdr:row>
      <xdr:rowOff>57149</xdr:rowOff>
    </xdr:from>
    <xdr:to>
      <xdr:col>21</xdr:col>
      <xdr:colOff>56253</xdr:colOff>
      <xdr:row>47</xdr:row>
      <xdr:rowOff>56517</xdr:rowOff>
    </xdr:to>
    <xdr:pic>
      <xdr:nvPicPr>
        <xdr:cNvPr id="23" name="Obrázok 2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1802551" y="7210424"/>
          <a:ext cx="2903152" cy="2047243"/>
        </a:xfrm>
        <a:prstGeom prst="rect">
          <a:avLst/>
        </a:prstGeom>
      </xdr:spPr>
    </xdr:pic>
    <xdr:clientData/>
  </xdr:twoCellAnchor>
  <xdr:twoCellAnchor editAs="oneCell">
    <xdr:from>
      <xdr:col>19</xdr:col>
      <xdr:colOff>77933</xdr:colOff>
      <xdr:row>46</xdr:row>
      <xdr:rowOff>123825</xdr:rowOff>
    </xdr:from>
    <xdr:to>
      <xdr:col>24</xdr:col>
      <xdr:colOff>132413</xdr:colOff>
      <xdr:row>56</xdr:row>
      <xdr:rowOff>180380</xdr:rowOff>
    </xdr:to>
    <xdr:pic>
      <xdr:nvPicPr>
        <xdr:cNvPr id="24" name="Obrázok 2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3508183" y="9134475"/>
          <a:ext cx="3102480" cy="1971080"/>
        </a:xfrm>
        <a:prstGeom prst="rect">
          <a:avLst/>
        </a:prstGeom>
      </xdr:spPr>
    </xdr:pic>
    <xdr:clientData/>
  </xdr:twoCellAnchor>
  <xdr:twoCellAnchor>
    <xdr:from>
      <xdr:col>15</xdr:col>
      <xdr:colOff>247650</xdr:colOff>
      <xdr:row>49</xdr:row>
      <xdr:rowOff>104775</xdr:rowOff>
    </xdr:from>
    <xdr:to>
      <xdr:col>18</xdr:col>
      <xdr:colOff>571500</xdr:colOff>
      <xdr:row>49</xdr:row>
      <xdr:rowOff>104775</xdr:rowOff>
    </xdr:to>
    <xdr:cxnSp macro="">
      <xdr:nvCxnSpPr>
        <xdr:cNvPr id="26" name="Rovná spojnica 25"/>
        <xdr:cNvCxnSpPr/>
      </xdr:nvCxnSpPr>
      <xdr:spPr>
        <a:xfrm>
          <a:off x="11239500" y="9686925"/>
          <a:ext cx="21526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561975</xdr:colOff>
      <xdr:row>49</xdr:row>
      <xdr:rowOff>95250</xdr:rowOff>
    </xdr:from>
    <xdr:to>
      <xdr:col>17</xdr:col>
      <xdr:colOff>390525</xdr:colOff>
      <xdr:row>49</xdr:row>
      <xdr:rowOff>95250</xdr:rowOff>
    </xdr:to>
    <xdr:cxnSp macro="">
      <xdr:nvCxnSpPr>
        <xdr:cNvPr id="28" name="Rovná spojnica 27"/>
        <xdr:cNvCxnSpPr/>
      </xdr:nvCxnSpPr>
      <xdr:spPr>
        <a:xfrm>
          <a:off x="11553825" y="9677400"/>
          <a:ext cx="1047750" cy="0"/>
        </a:xfrm>
        <a:prstGeom prst="line">
          <a:avLst/>
        </a:prstGeom>
        <a:ln w="57150">
          <a:solidFill>
            <a:srgbClr val="C00000"/>
          </a:solidFill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380999</xdr:colOff>
      <xdr:row>49</xdr:row>
      <xdr:rowOff>133350</xdr:rowOff>
    </xdr:from>
    <xdr:to>
      <xdr:col>16</xdr:col>
      <xdr:colOff>371474</xdr:colOff>
      <xdr:row>50</xdr:row>
      <xdr:rowOff>183045</xdr:rowOff>
    </xdr:to>
    <xdr:sp macro="" textlink="">
      <xdr:nvSpPr>
        <xdr:cNvPr id="30" name="BlokTextu 29"/>
        <xdr:cNvSpPr txBox="1"/>
      </xdr:nvSpPr>
      <xdr:spPr>
        <a:xfrm>
          <a:off x="11372849" y="9715500"/>
          <a:ext cx="600075" cy="240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rgbClr val="C00000"/>
              </a:solidFill>
            </a:rPr>
            <a:t>-0,112</a:t>
          </a:r>
        </a:p>
      </xdr:txBody>
    </xdr:sp>
    <xdr:clientData/>
  </xdr:twoCellAnchor>
  <xdr:twoCellAnchor>
    <xdr:from>
      <xdr:col>17</xdr:col>
      <xdr:colOff>133350</xdr:colOff>
      <xdr:row>49</xdr:row>
      <xdr:rowOff>123825</xdr:rowOff>
    </xdr:from>
    <xdr:to>
      <xdr:col>18</xdr:col>
      <xdr:colOff>123825</xdr:colOff>
      <xdr:row>50</xdr:row>
      <xdr:rowOff>173520</xdr:rowOff>
    </xdr:to>
    <xdr:sp macro="" textlink="">
      <xdr:nvSpPr>
        <xdr:cNvPr id="31" name="BlokTextu 30"/>
        <xdr:cNvSpPr txBox="1"/>
      </xdr:nvSpPr>
      <xdr:spPr>
        <a:xfrm>
          <a:off x="12344400" y="9705975"/>
          <a:ext cx="600075" cy="240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rgbClr val="C00000"/>
              </a:solidFill>
            </a:rPr>
            <a:t>-0,077</a:t>
          </a:r>
        </a:p>
      </xdr:txBody>
    </xdr:sp>
    <xdr:clientData/>
  </xdr:twoCellAnchor>
  <xdr:twoCellAnchor>
    <xdr:from>
      <xdr:col>18</xdr:col>
      <xdr:colOff>19050</xdr:colOff>
      <xdr:row>49</xdr:row>
      <xdr:rowOff>123825</xdr:rowOff>
    </xdr:from>
    <xdr:to>
      <xdr:col>18</xdr:col>
      <xdr:colOff>458028</xdr:colOff>
      <xdr:row>50</xdr:row>
      <xdr:rowOff>173520</xdr:rowOff>
    </xdr:to>
    <xdr:sp macro="" textlink="">
      <xdr:nvSpPr>
        <xdr:cNvPr id="33" name="BlokTextu 32"/>
        <xdr:cNvSpPr txBox="1"/>
      </xdr:nvSpPr>
      <xdr:spPr>
        <a:xfrm>
          <a:off x="12839700" y="9705975"/>
          <a:ext cx="438978" cy="2401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200">
              <a:solidFill>
                <a:schemeClr val="tx2"/>
              </a:solidFill>
            </a:rPr>
            <a:t>0</a:t>
          </a:r>
        </a:p>
      </xdr:txBody>
    </xdr:sp>
    <xdr:clientData/>
  </xdr:twoCellAnchor>
  <xdr:twoCellAnchor>
    <xdr:from>
      <xdr:col>18</xdr:col>
      <xdr:colOff>133350</xdr:colOff>
      <xdr:row>49</xdr:row>
      <xdr:rowOff>28575</xdr:rowOff>
    </xdr:from>
    <xdr:to>
      <xdr:col>18</xdr:col>
      <xdr:colOff>133350</xdr:colOff>
      <xdr:row>49</xdr:row>
      <xdr:rowOff>185945</xdr:rowOff>
    </xdr:to>
    <xdr:cxnSp macro="">
      <xdr:nvCxnSpPr>
        <xdr:cNvPr id="34" name="Rovná spojnica 33"/>
        <xdr:cNvCxnSpPr/>
      </xdr:nvCxnSpPr>
      <xdr:spPr>
        <a:xfrm>
          <a:off x="12954000" y="9610725"/>
          <a:ext cx="0" cy="157370"/>
        </a:xfrm>
        <a:prstGeom prst="lin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583602</xdr:colOff>
      <xdr:row>3</xdr:row>
      <xdr:rowOff>8293</xdr:rowOff>
    </xdr:from>
    <xdr:to>
      <xdr:col>13</xdr:col>
      <xdr:colOff>278802</xdr:colOff>
      <xdr:row>18</xdr:row>
      <xdr:rowOff>8292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7BFC48D6-D973-6EE2-C7F5-CB51AF8684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139850</xdr:colOff>
      <xdr:row>9</xdr:row>
      <xdr:rowOff>17929</xdr:rowOff>
    </xdr:from>
    <xdr:to>
      <xdr:col>14</xdr:col>
      <xdr:colOff>53788</xdr:colOff>
      <xdr:row>11</xdr:row>
      <xdr:rowOff>94579</xdr:rowOff>
    </xdr:to>
    <xdr:cxnSp macro="">
      <xdr:nvCxnSpPr>
        <xdr:cNvPr id="4" name="Rovná spojovacia šípka 3">
          <a:extLst>
            <a:ext uri="{FF2B5EF4-FFF2-40B4-BE49-F238E27FC236}">
              <a16:creationId xmlns:a16="http://schemas.microsoft.com/office/drawing/2014/main" id="{A466D4A5-F096-5F70-D346-152556B9D24D}"/>
            </a:ext>
          </a:extLst>
        </xdr:cNvPr>
        <xdr:cNvCxnSpPr/>
      </xdr:nvCxnSpPr>
      <xdr:spPr>
        <a:xfrm flipH="1">
          <a:off x="7634344" y="1631576"/>
          <a:ext cx="1133138" cy="4352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600635</xdr:colOff>
      <xdr:row>18</xdr:row>
      <xdr:rowOff>161364</xdr:rowOff>
    </xdr:from>
    <xdr:to>
      <xdr:col>13</xdr:col>
      <xdr:colOff>295835</xdr:colOff>
      <xdr:row>33</xdr:row>
      <xdr:rowOff>161363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1A8E88E1-4C7E-41DA-B49E-ACABF537A3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63</xdr:row>
      <xdr:rowOff>104775</xdr:rowOff>
    </xdr:from>
    <xdr:to>
      <xdr:col>2</xdr:col>
      <xdr:colOff>266700</xdr:colOff>
      <xdr:row>66</xdr:row>
      <xdr:rowOff>47625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192000"/>
          <a:ext cx="1895475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66</xdr:row>
      <xdr:rowOff>104775</xdr:rowOff>
    </xdr:from>
    <xdr:to>
      <xdr:col>2</xdr:col>
      <xdr:colOff>352425</xdr:colOff>
      <xdr:row>69</xdr:row>
      <xdr:rowOff>57150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763500"/>
          <a:ext cx="1981200" cy="523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57150</xdr:colOff>
      <xdr:row>69</xdr:row>
      <xdr:rowOff>95250</xdr:rowOff>
    </xdr:from>
    <xdr:to>
      <xdr:col>2</xdr:col>
      <xdr:colOff>228600</xdr:colOff>
      <xdr:row>72</xdr:row>
      <xdr:rowOff>9525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3325475"/>
          <a:ext cx="1857375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695934</xdr:colOff>
      <xdr:row>0</xdr:row>
      <xdr:rowOff>120244</xdr:rowOff>
    </xdr:from>
    <xdr:to>
      <xdr:col>11</xdr:col>
      <xdr:colOff>848431</xdr:colOff>
      <xdr:row>15</xdr:row>
      <xdr:rowOff>5945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213213</xdr:colOff>
      <xdr:row>19</xdr:row>
      <xdr:rowOff>38100</xdr:rowOff>
    </xdr:from>
    <xdr:to>
      <xdr:col>12</xdr:col>
      <xdr:colOff>390525</xdr:colOff>
      <xdr:row>26</xdr:row>
      <xdr:rowOff>120894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206653</xdr:colOff>
      <xdr:row>27</xdr:row>
      <xdr:rowOff>57150</xdr:rowOff>
    </xdr:from>
    <xdr:to>
      <xdr:col>12</xdr:col>
      <xdr:colOff>695326</xdr:colOff>
      <xdr:row>35</xdr:row>
      <xdr:rowOff>159854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238125</xdr:colOff>
      <xdr:row>36</xdr:row>
      <xdr:rowOff>66675</xdr:rowOff>
    </xdr:from>
    <xdr:to>
      <xdr:col>12</xdr:col>
      <xdr:colOff>666750</xdr:colOff>
      <xdr:row>46</xdr:row>
      <xdr:rowOff>42655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723900</xdr:colOff>
      <xdr:row>48</xdr:row>
      <xdr:rowOff>9525</xdr:rowOff>
    </xdr:from>
    <xdr:to>
      <xdr:col>10</xdr:col>
      <xdr:colOff>781050</xdr:colOff>
      <xdr:row>51</xdr:row>
      <xdr:rowOff>66675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Obdĺžnik 8">
              <a:extLst>
                <a:ext uri="{FF2B5EF4-FFF2-40B4-BE49-F238E27FC236}">
                  <a16:creationId xmlns:a16="http://schemas.microsoft.com/office/drawing/2014/main" id="{00000000-0008-0000-0400-000009000000}"/>
                </a:ext>
              </a:extLst>
            </xdr:cNvPr>
            <xdr:cNvSpPr/>
          </xdr:nvSpPr>
          <xdr:spPr>
            <a:xfrm>
              <a:off x="3181350" y="9048750"/>
              <a:ext cx="6534150" cy="628650"/>
            </a:xfrm>
            <a:prstGeom prst="rect">
              <a:avLst/>
            </a:prstGeom>
          </xdr:spPr>
          <xdr:txBody>
            <a:bodyPr wrap="square">
              <a:noAutofit/>
            </a:bodyPr>
            <a:lstStyle>
              <a:defPPr>
                <a:defRPr lang="sk-SK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sk-SK" sz="1100" b="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sSup>
                          <m:sSupPr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sk-SK" sz="1100" b="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</m:d>
                          </m:e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sk-SK" sz="1100" b="0" i="1">
                        <a:solidFill>
                          <a:schemeClr val="tx2"/>
                        </a:solidFill>
                        <a:latin typeface="Cambria Math" panose="02040503050406030204" pitchFamily="18" charset="0"/>
                      </a:rPr>
                      <m:t>=</m:t>
                    </m:r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=1</m:t>
                        </m:r>
                      </m:sub>
                      <m:sup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sSup>
                          <m:sSupPr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  <m:sub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𝑖</m:t>
                                    </m:r>
                                  </m:sub>
                                </m:sSub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acc>
                                      <m:accPr>
                                        <m:chr m:val="̂"/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</m:acc>
                                  </m:e>
                                  <m:sub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/>
                                      </a:rPr>
                                      <m:t>𝑖</m:t>
                                    </m:r>
                                  </m:sub>
                                </m:sSub>
                              </m:e>
                            </m:d>
                          </m:e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e>
                    </m:nary>
                    <m:r>
                      <a:rPr lang="sk-SK" sz="1100" b="0" i="1">
                        <a:solidFill>
                          <a:schemeClr val="tx2"/>
                        </a:solidFill>
                        <a:latin typeface="Cambria Math" panose="02040503050406030204" pitchFamily="18" charset="0"/>
                      </a:rPr>
                      <m:t>+</m:t>
                    </m:r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=1</m:t>
                        </m:r>
                      </m:sub>
                      <m:sup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𝑛</m:t>
                        </m:r>
                      </m:sup>
                      <m:e>
                        <m:sSup>
                          <m:sSupPr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d>
                              <m:d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acc>
                                  <m:accPr>
                                    <m:chr m:val="̂"/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sSub>
                                      <m:sSubPr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/>
                                          </a:rPr>
                                          <m:t>𝑖</m:t>
                                        </m:r>
                                      </m:sub>
                                    </m:sSub>
                                  </m:e>
                                </m:acc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acc>
                                  <m:accPr>
                                    <m:chr m:val="̅"/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accPr>
                                  <m:e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𝑦</m:t>
                                    </m:r>
                                  </m:e>
                                </m:acc>
                              </m:e>
                            </m:d>
                          </m:e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/>
                              </a:rPr>
                              <m:t>2</m:t>
                            </m:r>
                          </m:sup>
                        </m:sSup>
                      </m:e>
                    </m:nary>
                  </m:oMath>
                </m:oMathPara>
              </a14:m>
              <a:endParaRPr lang="sk-SK" sz="1100">
                <a:solidFill>
                  <a:schemeClr val="tx2"/>
                </a:solidFill>
              </a:endParaRPr>
            </a:p>
            <a:p>
              <a:endParaRPr lang="sk-SK">
                <a:solidFill>
                  <a:schemeClr val="tx2"/>
                </a:solidFill>
              </a:endParaRPr>
            </a:p>
          </xdr:txBody>
        </xdr:sp>
      </mc:Choice>
      <mc:Fallback xmlns="">
        <xdr:sp macro="" textlink="">
          <xdr:nvSpPr>
            <xdr:cNvPr id="9" name="Obdĺžnik 8"/>
            <xdr:cNvSpPr/>
          </xdr:nvSpPr>
          <xdr:spPr>
            <a:xfrm>
              <a:off x="3181350" y="9048750"/>
              <a:ext cx="6534150" cy="628650"/>
            </a:xfrm>
            <a:prstGeom prst="rect">
              <a:avLst/>
            </a:prstGeom>
          </xdr:spPr>
          <xdr:txBody>
            <a:bodyPr wrap="square">
              <a:noAutofit/>
            </a:bodyPr>
            <a:lstStyle>
              <a:defPPr>
                <a:defRPr lang="sk-SK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∑1_(𝑖=1)</a:t>
              </a:r>
              <a:r>
                <a:rPr lang="sk-SK" sz="1100" b="0" i="0">
                  <a:solidFill>
                    <a:schemeClr val="tx2"/>
                  </a:solidFill>
                  <a:latin typeface="Cambria Math" panose="02040503050406030204" pitchFamily="18" charset="0"/>
                </a:rPr>
                <a:t>^𝑛▒(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𝑦_𝑖−</a:t>
              </a:r>
              <a:r>
                <a:rPr lang="sk-SK" sz="1100" b="0" i="0">
                  <a:solidFill>
                    <a:schemeClr val="tx2"/>
                  </a:solidFill>
                  <a:latin typeface="Cambria Math" panose="02040503050406030204" pitchFamily="18" charset="0"/>
                </a:rPr>
                <a:t>𝑦 ̅ )^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2 </a:t>
              </a:r>
              <a:r>
                <a:rPr lang="sk-SK" sz="1100" b="0" i="0">
                  <a:solidFill>
                    <a:schemeClr val="tx2"/>
                  </a:solidFill>
                  <a:latin typeface="Cambria Math" panose="02040503050406030204" pitchFamily="18" charset="0"/>
                </a:rPr>
                <a:t>=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∑1_(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𝑖=1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)^𝑛▒(𝑦_𝑖−𝑦 ̂_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)^2 </a:t>
              </a:r>
              <a:r>
                <a:rPr lang="sk-SK" sz="1100" b="0" i="0">
                  <a:solidFill>
                    <a:schemeClr val="tx2"/>
                  </a:solidFill>
                  <a:latin typeface="Cambria Math" panose="02040503050406030204" pitchFamily="18" charset="0"/>
                </a:rPr>
                <a:t>+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∑1_(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𝑖=1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)^𝑛▒((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𝑦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_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) ̂−𝑦 ̅ )^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2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</a:t>
              </a:r>
              <a:endParaRPr lang="sk-SK" sz="1100">
                <a:solidFill>
                  <a:schemeClr val="tx2"/>
                </a:solidFill>
              </a:endParaRPr>
            </a:p>
            <a:p>
              <a:endParaRPr lang="sk-SK">
                <a:solidFill>
                  <a:schemeClr val="tx2"/>
                </a:solidFill>
              </a:endParaRPr>
            </a:p>
          </xdr:txBody>
        </xdr:sp>
      </mc:Fallback>
    </mc:AlternateContent>
    <xdr:clientData/>
  </xdr:twoCellAnchor>
  <xdr:twoCellAnchor>
    <xdr:from>
      <xdr:col>3</xdr:col>
      <xdr:colOff>381000</xdr:colOff>
      <xdr:row>53</xdr:row>
      <xdr:rowOff>95250</xdr:rowOff>
    </xdr:from>
    <xdr:to>
      <xdr:col>11</xdr:col>
      <xdr:colOff>520774</xdr:colOff>
      <xdr:row>56</xdr:row>
      <xdr:rowOff>117118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Obdĺžnik 9">
              <a:extLs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/>
          </xdr:nvSpPr>
          <xdr:spPr>
            <a:xfrm>
              <a:off x="2838450" y="10086975"/>
              <a:ext cx="7988374" cy="59336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sk-SK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𝑚</m:t>
                        </m:r>
                      </m:sup>
                      <m:e>
                        <m:nary>
                          <m:naryPr>
                            <m:chr m:val="∑"/>
                            <m:limLoc m:val="undOvr"/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𝑗</m:t>
                            </m:r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𝑛𝑖</m:t>
                            </m:r>
                          </m:sup>
                          <m:e>
                            <m:sSup>
                              <m:sSup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𝑖𝑗</m:t>
                                        </m:r>
                                      </m:sub>
                                    </m:sSub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̂"/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sSub>
                                          <m:sSubPr>
                                            <m:ctrlP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  <m:t>𝑦</m:t>
                                            </m:r>
                                          </m:e>
                                          <m:sub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=</m:t>
                            </m:r>
                          </m:e>
                        </m:nary>
                      </m:e>
                    </m:nary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=1</m:t>
                        </m:r>
                      </m:sub>
                      <m:sup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  <m:t>𝑚</m:t>
                        </m:r>
                      </m:sup>
                      <m:e>
                        <m:nary>
                          <m:naryPr>
                            <m:chr m:val="∑"/>
                            <m:limLoc m:val="undOvr"/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𝑗</m:t>
                            </m:r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=1</m:t>
                            </m:r>
                          </m:sub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𝑛𝑖</m:t>
                            </m:r>
                          </m:sup>
                          <m:e>
                            <m:sSup>
                              <m:sSup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sSub>
                                      <m:sSubPr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sSubPr>
                                      <m:e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𝑦</m:t>
                                        </m:r>
                                      </m:e>
                                      <m:sub>
                                        <m: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  <m:t>𝑖𝑗</m:t>
                                        </m:r>
                                      </m:sub>
                                    </m:sSub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̅"/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sSub>
                                          <m:sSubPr>
                                            <m:ctrlP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  <m:t>𝑦</m:t>
                                            </m:r>
                                          </m:e>
                                          <m:sub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  <m:t>+</m:t>
                            </m:r>
                          </m:e>
                        </m:nary>
                      </m:e>
                    </m:nary>
                    <m:nary>
                      <m:naryPr>
                        <m:chr m:val="∑"/>
                        <m:limLoc m:val="undOvr"/>
                        <m:ctrlPr>
                          <a:rPr lang="sk-SK" sz="1100" i="1">
                            <a:solidFill>
                              <a:schemeClr val="tx2"/>
                            </a:solidFill>
                            <a:latin typeface="Cambria Math" panose="02040503050406030204" pitchFamily="18" charset="0"/>
                          </a:rPr>
                        </m:ctrlPr>
                      </m:naryPr>
                      <m:sub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𝑖</m:t>
                        </m:r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=1</m:t>
                        </m:r>
                      </m:sub>
                      <m:sup>
                        <m:r>
                          <a:rPr lang="sk-SK" sz="1100" i="1">
                            <a:solidFill>
                              <a:schemeClr val="tx2"/>
                            </a:solidFill>
                            <a:latin typeface="Cambria Math"/>
                          </a:rPr>
                          <m:t>𝑚</m:t>
                        </m:r>
                      </m:sup>
                      <m:e>
                        <m:nary>
                          <m:naryPr>
                            <m:chr m:val="∑"/>
                            <m:limLoc m:val="undOvr"/>
                            <m:ctrlP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 panose="02040503050406030204" pitchFamily="18" charset="0"/>
                              </a:rPr>
                            </m:ctrlPr>
                          </m:naryPr>
                          <m:sub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/>
                              </a:rPr>
                              <m:t>𝑗</m:t>
                            </m:r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/>
                              </a:rPr>
                              <m:t>=1</m:t>
                            </m:r>
                          </m:sub>
                          <m:sup>
                            <m:r>
                              <a:rPr lang="sk-SK" sz="1100" i="1">
                                <a:solidFill>
                                  <a:schemeClr val="tx2"/>
                                </a:solidFill>
                                <a:latin typeface="Cambria Math"/>
                              </a:rPr>
                              <m:t>𝑛𝑖</m:t>
                            </m:r>
                          </m:sup>
                          <m:e>
                            <m:sSup>
                              <m:sSupPr>
                                <m:ctrlP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 panose="02040503050406030204" pitchFamily="18" charset="0"/>
                                      </a:rPr>
                                    </m:ctrlPr>
                                  </m:dPr>
                                  <m:e>
                                    <m:acc>
                                      <m:accPr>
                                        <m:chr m:val="̅"/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sSub>
                                          <m:sSubPr>
                                            <m:ctrlP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/>
                                              </a:rPr>
                                              <m:t>𝑦</m:t>
                                            </m:r>
                                          </m:e>
                                          <m:sub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e>
                                    </m:acc>
                                    <m:r>
                                      <a:rPr lang="sk-SK" sz="1100" i="1">
                                        <a:solidFill>
                                          <a:schemeClr val="tx2"/>
                                        </a:solidFill>
                                        <a:latin typeface="Cambria Math"/>
                                      </a:rPr>
                                      <m:t>−</m:t>
                                    </m:r>
                                    <m:acc>
                                      <m:accPr>
                                        <m:chr m:val="̂"/>
                                        <m:ctrlPr>
                                          <a:rPr lang="sk-SK" sz="1100" i="1">
                                            <a:solidFill>
                                              <a:schemeClr val="tx2"/>
                                            </a:solidFill>
                                            <a:latin typeface="Cambria Math" panose="02040503050406030204" pitchFamily="18" charset="0"/>
                                          </a:rPr>
                                        </m:ctrlPr>
                                      </m:accPr>
                                      <m:e>
                                        <m:sSub>
                                          <m:sSubPr>
                                            <m:ctrlP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 panose="02040503050406030204" pitchFamily="18" charset="0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/>
                                              </a:rPr>
                                              <m:t>𝑦</m:t>
                                            </m:r>
                                          </m:e>
                                          <m:sub>
                                            <m:r>
                                              <a:rPr lang="sk-SK" sz="1100" i="1">
                                                <a:solidFill>
                                                  <a:schemeClr val="tx2"/>
                                                </a:solidFill>
                                                <a:latin typeface="Cambria Math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e>
                                    </m:acc>
                                  </m:e>
                                </m:d>
                              </m:e>
                              <m:sup>
                                <m:r>
                                  <a:rPr lang="sk-SK" sz="1100" i="1">
                                    <a:solidFill>
                                      <a:schemeClr val="tx2"/>
                                    </a:solidFill>
                                    <a:latin typeface="Cambria Math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e>
                    </m:nary>
                  </m:oMath>
                </m:oMathPara>
              </a14:m>
              <a:endParaRPr lang="sk-SK" sz="1100">
                <a:solidFill>
                  <a:schemeClr val="tx2"/>
                </a:solidFill>
              </a:endParaRPr>
            </a:p>
          </xdr:txBody>
        </xdr:sp>
      </mc:Choice>
      <mc:Fallback xmlns="">
        <xdr:sp macro="" textlink="">
          <xdr:nvSpPr>
            <xdr:cNvPr id="10" name="Obdĺžnik 9"/>
            <xdr:cNvSpPr/>
          </xdr:nvSpPr>
          <xdr:spPr>
            <a:xfrm>
              <a:off x="2838450" y="10086975"/>
              <a:ext cx="7988374" cy="593368"/>
            </a:xfrm>
            <a:prstGeom prst="rect">
              <a:avLst/>
            </a:prstGeom>
          </xdr:spPr>
          <xdr:txBody>
            <a:bodyPr wrap="square">
              <a:spAutoFit/>
            </a:bodyPr>
            <a:lstStyle>
              <a:defPPr>
                <a:defRPr lang="sk-SK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∑1_(𝑖=1)^𝑚▒∑1_(𝑗=1)^𝑛𝑖▒〖(𝑦_𝑖𝑗−(𝑦_𝑖 ) ̂ )^2=〗 ∑1_(𝑖=1)^𝑚▒∑1_(𝑗=1)^𝑛𝑖▒〖(𝑦_𝑖𝑗−(𝑦_𝑖 ) ̅ )^2+〗 ∑1_(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𝑖=1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)^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𝑚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▒∑1_(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𝑗=1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)^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𝑛𝑖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▒((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𝑦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_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) ̅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−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(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𝑦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_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𝑖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) ̂ )^</a:t>
              </a:r>
              <a:r>
                <a:rPr lang="sk-SK" sz="1100" i="0">
                  <a:solidFill>
                    <a:schemeClr val="tx2"/>
                  </a:solidFill>
                  <a:latin typeface="Cambria Math"/>
                </a:rPr>
                <a:t>2</a:t>
              </a:r>
              <a:r>
                <a:rPr lang="sk-SK" sz="1100" i="0">
                  <a:solidFill>
                    <a:schemeClr val="tx2"/>
                  </a:solidFill>
                  <a:latin typeface="Cambria Math" panose="02040503050406030204" pitchFamily="18" charset="0"/>
                </a:rPr>
                <a:t> </a:t>
              </a:r>
              <a:endParaRPr lang="sk-SK" sz="1100">
                <a:solidFill>
                  <a:schemeClr val="tx2"/>
                </a:solidFill>
              </a:endParaRPr>
            </a:p>
          </xdr:txBody>
        </xdr:sp>
      </mc:Fallback>
    </mc:AlternateContent>
    <xdr:clientData/>
  </xdr:twoCellAnchor>
  <xdr:twoCellAnchor editAs="oneCell">
    <xdr:from>
      <xdr:col>9</xdr:col>
      <xdr:colOff>209550</xdr:colOff>
      <xdr:row>69</xdr:row>
      <xdr:rowOff>57150</xdr:rowOff>
    </xdr:from>
    <xdr:to>
      <xdr:col>11</xdr:col>
      <xdr:colOff>1191062</xdr:colOff>
      <xdr:row>82</xdr:row>
      <xdr:rowOff>100060</xdr:rowOff>
    </xdr:to>
    <xdr:pic>
      <xdr:nvPicPr>
        <xdr:cNvPr id="11" name="Obrázok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800975" y="13287375"/>
          <a:ext cx="3696137" cy="2528936"/>
        </a:xfrm>
        <a:prstGeom prst="rect">
          <a:avLst/>
        </a:prstGeom>
      </xdr:spPr>
    </xdr:pic>
    <xdr:clientData/>
  </xdr:twoCellAnchor>
  <xdr:twoCellAnchor editAs="oneCell">
    <xdr:from>
      <xdr:col>12</xdr:col>
      <xdr:colOff>9525</xdr:colOff>
      <xdr:row>68</xdr:row>
      <xdr:rowOff>133350</xdr:rowOff>
    </xdr:from>
    <xdr:to>
      <xdr:col>16</xdr:col>
      <xdr:colOff>587334</xdr:colOff>
      <xdr:row>82</xdr:row>
      <xdr:rowOff>84217</xdr:rowOff>
    </xdr:to>
    <xdr:pic>
      <xdr:nvPicPr>
        <xdr:cNvPr id="12" name="Obrázok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1591925" y="13173075"/>
          <a:ext cx="3921084" cy="2627393"/>
        </a:xfrm>
        <a:prstGeom prst="rect">
          <a:avLst/>
        </a:prstGeom>
      </xdr:spPr>
    </xdr:pic>
    <xdr:clientData/>
  </xdr:twoCellAnchor>
  <xdr:twoCellAnchor editAs="oneCell">
    <xdr:from>
      <xdr:col>9</xdr:col>
      <xdr:colOff>1266825</xdr:colOff>
      <xdr:row>46</xdr:row>
      <xdr:rowOff>85725</xdr:rowOff>
    </xdr:from>
    <xdr:to>
      <xdr:col>12</xdr:col>
      <xdr:colOff>737809</xdr:colOff>
      <xdr:row>58</xdr:row>
      <xdr:rowOff>120378</xdr:rowOff>
    </xdr:to>
    <xdr:pic>
      <xdr:nvPicPr>
        <xdr:cNvPr id="13" name="Obrázok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858250" y="8743950"/>
          <a:ext cx="3461959" cy="2320653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762000</xdr:colOff>
      <xdr:row>46</xdr:row>
      <xdr:rowOff>76200</xdr:rowOff>
    </xdr:from>
    <xdr:to>
      <xdr:col>17</xdr:col>
      <xdr:colOff>591169</xdr:colOff>
      <xdr:row>58</xdr:row>
      <xdr:rowOff>94456</xdr:rowOff>
    </xdr:to>
    <xdr:pic>
      <xdr:nvPicPr>
        <xdr:cNvPr id="14" name="Obrázok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2344400" y="8734425"/>
          <a:ext cx="3782045" cy="2304256"/>
        </a:xfrm>
        <a:prstGeom prst="rect">
          <a:avLst/>
        </a:prstGeom>
      </xdr:spPr>
    </xdr:pic>
    <xdr:clientData/>
  </xdr:twoCellAnchor>
  <xdr:twoCellAnchor>
    <xdr:from>
      <xdr:col>7</xdr:col>
      <xdr:colOff>797859</xdr:colOff>
      <xdr:row>61</xdr:row>
      <xdr:rowOff>71718</xdr:rowOff>
    </xdr:from>
    <xdr:to>
      <xdr:col>7</xdr:col>
      <xdr:colOff>878541</xdr:colOff>
      <xdr:row>66</xdr:row>
      <xdr:rowOff>125506</xdr:rowOff>
    </xdr:to>
    <xdr:cxnSp macro="">
      <xdr:nvCxnSpPr>
        <xdr:cNvPr id="16" name="Rovná spojovacia šípka 15">
          <a:extLst>
            <a:ext uri="{FF2B5EF4-FFF2-40B4-BE49-F238E27FC236}">
              <a16:creationId xmlns:a16="http://schemas.microsoft.com/office/drawing/2014/main" id="{3476C3DF-9F6F-0AB1-9FE8-29E9DC6C024D}"/>
            </a:ext>
          </a:extLst>
        </xdr:cNvPr>
        <xdr:cNvCxnSpPr/>
      </xdr:nvCxnSpPr>
      <xdr:spPr>
        <a:xfrm>
          <a:off x="7046259" y="11098306"/>
          <a:ext cx="80682" cy="95025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638734</xdr:colOff>
      <xdr:row>84</xdr:row>
      <xdr:rowOff>112058</xdr:rowOff>
    </xdr:from>
    <xdr:to>
      <xdr:col>13</xdr:col>
      <xdr:colOff>102823</xdr:colOff>
      <xdr:row>99</xdr:row>
      <xdr:rowOff>76235</xdr:rowOff>
    </xdr:to>
    <xdr:pic>
      <xdr:nvPicPr>
        <xdr:cNvPr id="15" name="Obrázok 14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9749116" y="16416617"/>
          <a:ext cx="3621472" cy="2821677"/>
        </a:xfrm>
        <a:prstGeom prst="rect">
          <a:avLst/>
        </a:prstGeom>
      </xdr:spPr>
    </xdr:pic>
    <xdr:clientData/>
  </xdr:twoCellAnchor>
  <xdr:twoCellAnchor editAs="oneCell">
    <xdr:from>
      <xdr:col>10</xdr:col>
      <xdr:colOff>646948</xdr:colOff>
      <xdr:row>100</xdr:row>
      <xdr:rowOff>134472</xdr:rowOff>
    </xdr:from>
    <xdr:to>
      <xdr:col>13</xdr:col>
      <xdr:colOff>198812</xdr:colOff>
      <xdr:row>115</xdr:row>
      <xdr:rowOff>140131</xdr:rowOff>
    </xdr:to>
    <xdr:pic>
      <xdr:nvPicPr>
        <xdr:cNvPr id="17" name="Obrázok 16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9757330" y="19487031"/>
          <a:ext cx="3709247" cy="286315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571500</xdr:colOff>
      <xdr:row>2</xdr:row>
      <xdr:rowOff>19050</xdr:rowOff>
    </xdr:from>
    <xdr:to>
      <xdr:col>17</xdr:col>
      <xdr:colOff>266700</xdr:colOff>
      <xdr:row>16</xdr:row>
      <xdr:rowOff>95250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285750</xdr:colOff>
      <xdr:row>10</xdr:row>
      <xdr:rowOff>38100</xdr:rowOff>
    </xdr:from>
    <xdr:to>
      <xdr:col>12</xdr:col>
      <xdr:colOff>95250</xdr:colOff>
      <xdr:row>18</xdr:row>
      <xdr:rowOff>66675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1943100"/>
          <a:ext cx="2857500" cy="1552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447675</xdr:colOff>
      <xdr:row>19</xdr:row>
      <xdr:rowOff>152400</xdr:rowOff>
    </xdr:from>
    <xdr:to>
      <xdr:col>6</xdr:col>
      <xdr:colOff>342900</xdr:colOff>
      <xdr:row>21</xdr:row>
      <xdr:rowOff>114300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95675" y="3771900"/>
          <a:ext cx="504825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0</xdr:colOff>
      <xdr:row>19</xdr:row>
      <xdr:rowOff>152400</xdr:rowOff>
    </xdr:from>
    <xdr:to>
      <xdr:col>7</xdr:col>
      <xdr:colOff>504825</xdr:colOff>
      <xdr:row>21</xdr:row>
      <xdr:rowOff>114300</xdr:rowOff>
    </xdr:to>
    <xdr:pic>
      <xdr:nvPicPr>
        <xdr:cNvPr id="10" name="Obrázok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67200" y="3771900"/>
          <a:ext cx="504825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180975</xdr:colOff>
      <xdr:row>19</xdr:row>
      <xdr:rowOff>152400</xdr:rowOff>
    </xdr:from>
    <xdr:to>
      <xdr:col>9</xdr:col>
      <xdr:colOff>85725</xdr:colOff>
      <xdr:row>21</xdr:row>
      <xdr:rowOff>114300</xdr:rowOff>
    </xdr:to>
    <xdr:pic>
      <xdr:nvPicPr>
        <xdr:cNvPr id="11" name="Obrázok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57775" y="3771900"/>
          <a:ext cx="514350" cy="342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0</xdr:colOff>
      <xdr:row>1</xdr:row>
      <xdr:rowOff>133350</xdr:rowOff>
    </xdr:from>
    <xdr:to>
      <xdr:col>21</xdr:col>
      <xdr:colOff>304800</xdr:colOff>
      <xdr:row>19</xdr:row>
      <xdr:rowOff>19050</xdr:rowOff>
    </xdr:to>
    <xdr:graphicFrame macro="">
      <xdr:nvGraphicFramePr>
        <xdr:cNvPr id="12" name="Graf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7</xdr:col>
      <xdr:colOff>344366</xdr:colOff>
      <xdr:row>47</xdr:row>
      <xdr:rowOff>131884</xdr:rowOff>
    </xdr:to>
    <xdr:graphicFrame macro="">
      <xdr:nvGraphicFramePr>
        <xdr:cNvPr id="13" name="Graf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47625</xdr:colOff>
      <xdr:row>12</xdr:row>
      <xdr:rowOff>123825</xdr:rowOff>
    </xdr:from>
    <xdr:to>
      <xdr:col>18</xdr:col>
      <xdr:colOff>352425</xdr:colOff>
      <xdr:row>27</xdr:row>
      <xdr:rowOff>9525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200025</xdr:colOff>
      <xdr:row>20</xdr:row>
      <xdr:rowOff>0</xdr:rowOff>
    </xdr:from>
    <xdr:to>
      <xdr:col>15</xdr:col>
      <xdr:colOff>257175</xdr:colOff>
      <xdr:row>20</xdr:row>
      <xdr:rowOff>57150</xdr:rowOff>
    </xdr:to>
    <xdr:sp macro="" textlink="">
      <xdr:nvSpPr>
        <xdr:cNvPr id="3" name="Ovál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9620250" y="3829050"/>
          <a:ext cx="57150" cy="57150"/>
        </a:xfrm>
        <a:prstGeom prst="ellipse">
          <a:avLst/>
        </a:prstGeom>
        <a:solidFill>
          <a:srgbClr val="C0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sk-SK"/>
        </a:p>
      </xdr:txBody>
    </xdr:sp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0.59375</cdr:x>
      <cdr:y>0.53925</cdr:y>
    </cdr:from>
    <cdr:to>
      <cdr:x>0.60625</cdr:x>
      <cdr:y>0.55973</cdr:y>
    </cdr:to>
    <cdr:sp macro="" textlink="">
      <cdr:nvSpPr>
        <cdr:cNvPr id="2" name="Ovál 1"/>
        <cdr:cNvSpPr/>
      </cdr:nvSpPr>
      <cdr:spPr>
        <a:xfrm xmlns:a="http://schemas.openxmlformats.org/drawingml/2006/main">
          <a:off x="2714625" y="1504950"/>
          <a:ext cx="57150" cy="57150"/>
        </a:xfrm>
        <a:prstGeom xmlns:a="http://schemas.openxmlformats.org/drawingml/2006/main" prst="ellipse">
          <a:avLst/>
        </a:prstGeom>
        <a:solidFill xmlns:a="http://schemas.openxmlformats.org/drawingml/2006/main">
          <a:srgbClr val="C00000"/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sk-SK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MPVE_2023\MMPVE_jk_2023\Regresna_analyza_cvicenie_2023_2211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MPVE_2021\cvicenia%20online%202021\streda%2015.00_16.40\MMPVE_cvicenie_regresi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gresna_analyza_cvicenie_2023_cv2111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tianova/Desktop/all/MMPVE/ntb_plocha/MMPVE_cvicenia_sablony/JK/2018/pondelok%2013.00_14.40/MMPVE_cvicenie_regresia_LO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1"/>
      <sheetName val="Pr.2neriešený"/>
      <sheetName val="Pr.2riešený"/>
      <sheetName val="Pr.3"/>
      <sheetName val="Pr.4"/>
      <sheetName val="Pr.5"/>
      <sheetName val="Pr.6"/>
      <sheetName val="Pr.8"/>
      <sheetName val="Pr.9."/>
      <sheetName val="kvadraticka regresia"/>
      <sheetName val="linearna regresia"/>
      <sheetName val="porovnanie"/>
      <sheetName val="transformacia"/>
      <sheetName val="Lack of fit"/>
      <sheetName val="Lack of fit (2 merania) "/>
      <sheetName val="lack of fit (4 merania)"/>
    </sheetNames>
    <sheetDataSet>
      <sheetData sheetId="0"/>
      <sheetData sheetId="1">
        <row r="5">
          <cell r="B5">
            <v>5</v>
          </cell>
          <cell r="C5">
            <v>19</v>
          </cell>
        </row>
        <row r="6">
          <cell r="B6">
            <v>12</v>
          </cell>
          <cell r="C6">
            <v>17</v>
          </cell>
        </row>
        <row r="7">
          <cell r="B7">
            <v>20</v>
          </cell>
          <cell r="C7">
            <v>18</v>
          </cell>
        </row>
        <row r="8">
          <cell r="B8">
            <v>26</v>
          </cell>
          <cell r="C8">
            <v>17</v>
          </cell>
        </row>
        <row r="9">
          <cell r="B9">
            <v>29</v>
          </cell>
          <cell r="C9">
            <v>17</v>
          </cell>
        </row>
        <row r="10">
          <cell r="B10">
            <v>38</v>
          </cell>
          <cell r="C10">
            <v>15</v>
          </cell>
        </row>
        <row r="11">
          <cell r="B11">
            <v>65</v>
          </cell>
          <cell r="C11">
            <v>14</v>
          </cell>
        </row>
        <row r="12">
          <cell r="B12">
            <v>126</v>
          </cell>
          <cell r="C12">
            <v>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1"/>
      <sheetName val="Pr.2neriešený"/>
      <sheetName val="Pr.2riešený"/>
      <sheetName val="Pr.3"/>
      <sheetName val="naklady vs vek"/>
      <sheetName val="Pr.4"/>
      <sheetName val="Pr.5"/>
      <sheetName val="Pr.6"/>
      <sheetName val="Pr.8"/>
      <sheetName val="Pr.9."/>
      <sheetName val="kvadraticka regresia"/>
      <sheetName val="linearna regresia"/>
      <sheetName val="porovnanie"/>
      <sheetName val="transformacia"/>
      <sheetName val="Lack of fit"/>
      <sheetName val="Lack of fit (2 merania) "/>
      <sheetName val="lack of fit (4 merania)"/>
    </sheetNames>
    <sheetDataSet>
      <sheetData sheetId="0"/>
      <sheetData sheetId="1"/>
      <sheetData sheetId="2"/>
      <sheetData sheetId="3"/>
      <sheetData sheetId="4"/>
      <sheetData sheetId="5">
        <row r="7">
          <cell r="B7">
            <v>1</v>
          </cell>
          <cell r="C7">
            <v>35</v>
          </cell>
        </row>
        <row r="8">
          <cell r="B8">
            <v>1</v>
          </cell>
          <cell r="C8">
            <v>12</v>
          </cell>
        </row>
        <row r="9">
          <cell r="B9">
            <v>3</v>
          </cell>
          <cell r="C9">
            <v>81</v>
          </cell>
        </row>
        <row r="10">
          <cell r="B10">
            <v>3</v>
          </cell>
          <cell r="C10">
            <v>105</v>
          </cell>
        </row>
        <row r="11">
          <cell r="B11">
            <v>5</v>
          </cell>
          <cell r="C11">
            <v>100</v>
          </cell>
        </row>
        <row r="12">
          <cell r="B12">
            <v>6</v>
          </cell>
          <cell r="C12">
            <v>125</v>
          </cell>
        </row>
        <row r="38">
          <cell r="B38">
            <v>34.247999999999998</v>
          </cell>
          <cell r="C38">
            <v>0.75200000000000244</v>
          </cell>
          <cell r="F38">
            <v>8.3333333333333339</v>
          </cell>
          <cell r="G38">
            <v>12</v>
          </cell>
        </row>
        <row r="39">
          <cell r="B39">
            <v>34.247999999999998</v>
          </cell>
          <cell r="C39">
            <v>-22.247999999999998</v>
          </cell>
          <cell r="F39">
            <v>25</v>
          </cell>
          <cell r="G39">
            <v>35</v>
          </cell>
        </row>
        <row r="40">
          <cell r="B40">
            <v>73.096000000000004</v>
          </cell>
          <cell r="C40">
            <v>7.9039999999999964</v>
          </cell>
          <cell r="F40">
            <v>41.666666666666671</v>
          </cell>
          <cell r="G40">
            <v>81</v>
          </cell>
        </row>
        <row r="41">
          <cell r="B41">
            <v>73.096000000000004</v>
          </cell>
          <cell r="C41">
            <v>31.903999999999996</v>
          </cell>
          <cell r="F41">
            <v>58.333333333333336</v>
          </cell>
          <cell r="G41">
            <v>100</v>
          </cell>
        </row>
        <row r="42">
          <cell r="B42">
            <v>111.944</v>
          </cell>
          <cell r="C42">
            <v>-11.944000000000003</v>
          </cell>
          <cell r="F42">
            <v>75</v>
          </cell>
          <cell r="G42">
            <v>105</v>
          </cell>
        </row>
        <row r="43">
          <cell r="B43">
            <v>131.36799999999999</v>
          </cell>
          <cell r="C43">
            <v>-6.367999999999995</v>
          </cell>
          <cell r="F43">
            <v>91.666666666666671</v>
          </cell>
          <cell r="G43">
            <v>125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1"/>
      <sheetName val="Pr.2neriešený"/>
      <sheetName val="Pr.2riešený"/>
      <sheetName val="Pr.3"/>
      <sheetName val="Pr.4"/>
      <sheetName val="Pr.5"/>
      <sheetName val="Pr.6"/>
      <sheetName val="Pr.8"/>
      <sheetName val="Pr.9."/>
      <sheetName val="kvadraticka regresia"/>
      <sheetName val="linearna regresia"/>
      <sheetName val="porovnanie"/>
      <sheetName val="transformacia"/>
      <sheetName val="Lack of fit"/>
      <sheetName val="Lack of fit (2 merania) "/>
      <sheetName val="lack of fit (4 merania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C3">
            <v>1</v>
          </cell>
          <cell r="D3">
            <v>2</v>
          </cell>
          <cell r="E3">
            <v>3</v>
          </cell>
          <cell r="F3">
            <v>4</v>
          </cell>
          <cell r="G3">
            <v>5</v>
          </cell>
          <cell r="H3">
            <v>6</v>
          </cell>
          <cell r="I3">
            <v>7</v>
          </cell>
          <cell r="J3">
            <v>8</v>
          </cell>
          <cell r="K3">
            <v>9</v>
          </cell>
          <cell r="L3">
            <v>10</v>
          </cell>
        </row>
        <row r="4">
          <cell r="C4">
            <v>2.1299000000000001</v>
          </cell>
          <cell r="D4">
            <v>2.1532</v>
          </cell>
          <cell r="E4">
            <v>2.1610999999999998</v>
          </cell>
          <cell r="F4">
            <v>2.1516000000000002</v>
          </cell>
          <cell r="G4">
            <v>2.1282000000000001</v>
          </cell>
          <cell r="H4">
            <v>2.0807000000000002</v>
          </cell>
          <cell r="I4">
            <v>2.0266000000000002</v>
          </cell>
          <cell r="J4">
            <v>1.9594</v>
          </cell>
          <cell r="K4">
            <v>1.8758999999999999</v>
          </cell>
          <cell r="L4">
            <v>1.7723</v>
          </cell>
        </row>
      </sheetData>
      <sheetData sheetId="10"/>
      <sheetData sheetId="11">
        <row r="8">
          <cell r="B8">
            <v>10</v>
          </cell>
          <cell r="C8">
            <v>1</v>
          </cell>
        </row>
        <row r="9">
          <cell r="B9">
            <v>20</v>
          </cell>
          <cell r="C9">
            <v>0.997</v>
          </cell>
        </row>
        <row r="10">
          <cell r="B10">
            <v>30</v>
          </cell>
          <cell r="C10">
            <v>0.996</v>
          </cell>
        </row>
        <row r="11">
          <cell r="B11">
            <v>40</v>
          </cell>
          <cell r="C11">
            <v>0.99299999999999999</v>
          </cell>
        </row>
        <row r="12">
          <cell r="B12">
            <v>50</v>
          </cell>
          <cell r="C12">
            <v>0.98699999999999999</v>
          </cell>
        </row>
        <row r="13">
          <cell r="B13">
            <v>60</v>
          </cell>
          <cell r="C13">
            <v>0.98299999999999998</v>
          </cell>
        </row>
      </sheetData>
      <sheetData sheetId="12">
        <row r="3">
          <cell r="C3">
            <v>10000</v>
          </cell>
          <cell r="D3">
            <v>20000</v>
          </cell>
          <cell r="E3">
            <v>50000</v>
          </cell>
          <cell r="F3">
            <v>100000</v>
          </cell>
          <cell r="G3">
            <v>150000</v>
          </cell>
          <cell r="H3">
            <v>200000</v>
          </cell>
        </row>
        <row r="4">
          <cell r="B4" t="str">
            <v>y</v>
          </cell>
          <cell r="C4">
            <v>3.2000000000000001E-2</v>
          </cell>
          <cell r="D4">
            <v>2.5999999999999999E-2</v>
          </cell>
          <cell r="E4">
            <v>2.1000000000000001E-2</v>
          </cell>
          <cell r="F4">
            <v>1.7999999999999999E-2</v>
          </cell>
          <cell r="G4">
            <v>1.6E-2</v>
          </cell>
          <cell r="H4">
            <v>1.4999999999999999E-2</v>
          </cell>
        </row>
        <row r="10">
          <cell r="E10">
            <v>9.2103403719761836</v>
          </cell>
          <cell r="F10">
            <v>-3.4420193761824103</v>
          </cell>
        </row>
        <row r="11">
          <cell r="E11">
            <v>9.9034875525361272</v>
          </cell>
          <cell r="F11">
            <v>-3.6496587409606551</v>
          </cell>
        </row>
        <row r="12">
          <cell r="E12">
            <v>10.819778284410283</v>
          </cell>
          <cell r="F12">
            <v>-3.8632328412587138</v>
          </cell>
        </row>
        <row r="13">
          <cell r="E13">
            <v>11.512925464970229</v>
          </cell>
          <cell r="F13">
            <v>-4.0173835210859723</v>
          </cell>
        </row>
        <row r="14">
          <cell r="E14">
            <v>11.918390573078392</v>
          </cell>
          <cell r="F14">
            <v>-4.1351665567423561</v>
          </cell>
        </row>
        <row r="15">
          <cell r="E15">
            <v>12.206072645530174</v>
          </cell>
          <cell r="F15">
            <v>-4.1997050778799272</v>
          </cell>
        </row>
      </sheetData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 1"/>
      <sheetName val="Pr.2neriešený"/>
      <sheetName val="Pr.2riešený"/>
      <sheetName val="Pr.3"/>
      <sheetName val="Pr.4"/>
      <sheetName val="Pr.5"/>
      <sheetName val="Pr.6"/>
      <sheetName val="Pr.8"/>
      <sheetName val="Pr.9."/>
      <sheetName val="kvadraticka regresia"/>
      <sheetName val="linearna regresia"/>
      <sheetName val="porovnanie"/>
      <sheetName val="transformacia"/>
      <sheetName val="Lack of fit"/>
      <sheetName val="Lack of fit (2 merania) "/>
      <sheetName val="lack of fit (4 merania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>
            <v>1</v>
          </cell>
          <cell r="C3">
            <v>2.2999999999999998</v>
          </cell>
        </row>
        <row r="4">
          <cell r="B4">
            <v>1</v>
          </cell>
          <cell r="C4">
            <v>1.8</v>
          </cell>
        </row>
        <row r="5">
          <cell r="B5">
            <v>2</v>
          </cell>
          <cell r="C5">
            <v>2.8</v>
          </cell>
        </row>
        <row r="6">
          <cell r="B6">
            <v>2</v>
          </cell>
          <cell r="C6">
            <v>2</v>
          </cell>
        </row>
        <row r="7">
          <cell r="B7">
            <v>3</v>
          </cell>
          <cell r="C7">
            <v>2.7</v>
          </cell>
        </row>
        <row r="8">
          <cell r="B8">
            <v>3</v>
          </cell>
          <cell r="C8">
            <v>3.5</v>
          </cell>
        </row>
        <row r="9">
          <cell r="B9">
            <v>4</v>
          </cell>
          <cell r="C9">
            <v>3.2</v>
          </cell>
        </row>
        <row r="10">
          <cell r="B10">
            <v>4</v>
          </cell>
          <cell r="C10">
            <v>3.7</v>
          </cell>
        </row>
        <row r="11">
          <cell r="B11">
            <v>5</v>
          </cell>
          <cell r="C11">
            <v>4</v>
          </cell>
        </row>
        <row r="12">
          <cell r="B12">
            <v>5</v>
          </cell>
          <cell r="C12">
            <v>3.5</v>
          </cell>
        </row>
        <row r="13">
          <cell r="B13">
            <v>6</v>
          </cell>
          <cell r="C13">
            <v>4.2</v>
          </cell>
        </row>
        <row r="14">
          <cell r="B14">
            <v>6</v>
          </cell>
          <cell r="C14">
            <v>4.3</v>
          </cell>
        </row>
        <row r="15">
          <cell r="B15">
            <v>7</v>
          </cell>
          <cell r="C15">
            <v>5.2</v>
          </cell>
        </row>
        <row r="16">
          <cell r="B16">
            <v>7</v>
          </cell>
          <cell r="C16">
            <v>4.9000000000000004</v>
          </cell>
        </row>
        <row r="17">
          <cell r="B17">
            <v>8</v>
          </cell>
          <cell r="C17">
            <v>5.3</v>
          </cell>
        </row>
        <row r="18">
          <cell r="B18">
            <v>8</v>
          </cell>
          <cell r="C18">
            <v>5.2</v>
          </cell>
        </row>
        <row r="19">
          <cell r="B19">
            <v>9</v>
          </cell>
          <cell r="C19">
            <v>6</v>
          </cell>
        </row>
        <row r="20">
          <cell r="B20">
            <v>9</v>
          </cell>
          <cell r="C20">
            <v>6.2</v>
          </cell>
        </row>
        <row r="21">
          <cell r="B21">
            <v>10</v>
          </cell>
          <cell r="C21">
            <v>6.9</v>
          </cell>
        </row>
        <row r="22">
          <cell r="B22">
            <v>10</v>
          </cell>
          <cell r="C22">
            <v>7</v>
          </cell>
        </row>
      </sheetData>
      <sheetData sheetId="1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anette Kotianová" id="{F253CD54-576E-4BA6-A6B7-84A140211BDE}" userId="S::janette.kotianova@stuba.sk::66d87b4b-5099-4449-9969-e8101311ebeb" providerId="AD"/>
</personList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24" dT="2025-11-17T10:51:39.57" personId="{F253CD54-576E-4BA6-A6B7-84A140211BDE}" id="{491B44EE-DFC3-4BD2-9354-15170551FCD9}">
    <text>Testujeme štatistickú významnosť regresného modelu ako celku</text>
  </threadedComment>
  <threadedComment ref="L41" dT="2025-11-17T10:52:19.53" personId="{F253CD54-576E-4BA6-A6B7-84A140211BDE}" id="{B7CF1084-6837-4FF7-A96A-6C83A07D01BF}">
    <text>Testujeme štatistickú významnosť regresného koeficientu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83" dT="2025-11-17T13:59:06.37" personId="{F253CD54-576E-4BA6-A6B7-84A140211BDE}" id="{A37776AC-DC54-4732-BC53-A5A88C979135}">
    <text>Testujeme adekvátnosť regresného modelu - či je model dostatočný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6"/>
  <sheetViews>
    <sheetView zoomScaleNormal="100" workbookViewId="0">
      <selection activeCell="B63" sqref="B63:C64"/>
    </sheetView>
  </sheetViews>
  <sheetFormatPr defaultRowHeight="15"/>
  <cols>
    <col min="1" max="1" width="19.28515625" customWidth="1"/>
    <col min="2" max="3" width="8.140625" customWidth="1"/>
    <col min="5" max="6" width="8.140625" customWidth="1"/>
    <col min="8" max="8" width="8.140625" customWidth="1"/>
    <col min="9" max="9" width="12.85546875" customWidth="1"/>
    <col min="10" max="10" width="10.5703125" customWidth="1"/>
    <col min="12" max="12" width="15" customWidth="1"/>
    <col min="13" max="13" width="14.5703125" customWidth="1"/>
    <col min="15" max="15" width="20.85546875" customWidth="1"/>
  </cols>
  <sheetData>
    <row r="1" spans="1:13">
      <c r="A1" t="s">
        <v>140</v>
      </c>
    </row>
    <row r="2" spans="1:13">
      <c r="A2" t="s">
        <v>105</v>
      </c>
      <c r="G2" s="8" t="s">
        <v>30</v>
      </c>
      <c r="H2" s="7"/>
      <c r="I2" s="7"/>
      <c r="J2" s="7"/>
      <c r="K2" s="9"/>
      <c r="M2" s="10" t="s">
        <v>31</v>
      </c>
    </row>
    <row r="3" spans="1:13">
      <c r="A3" t="s">
        <v>106</v>
      </c>
      <c r="G3" s="11"/>
      <c r="K3" s="12"/>
    </row>
    <row r="4" spans="1:13">
      <c r="B4" s="6" t="s">
        <v>0</v>
      </c>
      <c r="C4" s="13" t="s">
        <v>1</v>
      </c>
      <c r="D4" s="1" t="s">
        <v>277</v>
      </c>
      <c r="E4" s="1"/>
      <c r="F4" s="1"/>
      <c r="G4" s="11"/>
      <c r="K4" s="12"/>
      <c r="M4" s="14" t="s">
        <v>32</v>
      </c>
    </row>
    <row r="5" spans="1:13">
      <c r="B5" s="1">
        <v>9</v>
      </c>
      <c r="C5" s="15">
        <v>3.9</v>
      </c>
      <c r="D5" s="1">
        <f>B5*C5</f>
        <v>35.1</v>
      </c>
      <c r="E5" s="1"/>
      <c r="F5" s="1"/>
      <c r="G5" s="16"/>
      <c r="H5" s="17"/>
      <c r="I5" s="17"/>
      <c r="J5" s="17"/>
      <c r="K5" s="18"/>
    </row>
    <row r="6" spans="1:13">
      <c r="B6" s="1">
        <v>12</v>
      </c>
      <c r="C6" s="15">
        <v>4.8</v>
      </c>
      <c r="D6" s="1">
        <f t="shared" ref="D6:D10" si="0">B6*C6</f>
        <v>57.599999999999994</v>
      </c>
      <c r="E6" s="1"/>
      <c r="F6" s="1"/>
    </row>
    <row r="7" spans="1:13">
      <c r="B7" s="1">
        <v>13</v>
      </c>
      <c r="C7" s="15">
        <v>4.5999999999999996</v>
      </c>
      <c r="D7" s="1">
        <f t="shared" si="0"/>
        <v>59.8</v>
      </c>
      <c r="E7" s="1"/>
      <c r="F7" s="1"/>
      <c r="G7" s="19" t="s">
        <v>33</v>
      </c>
      <c r="H7" s="81">
        <f>COUNT(C5:C10)</f>
        <v>6</v>
      </c>
    </row>
    <row r="8" spans="1:13">
      <c r="B8" s="1">
        <v>13</v>
      </c>
      <c r="C8" s="15">
        <v>4.9000000000000004</v>
      </c>
      <c r="D8" s="1">
        <f t="shared" si="0"/>
        <v>63.7</v>
      </c>
      <c r="E8" s="1"/>
      <c r="F8" s="1"/>
      <c r="G8" s="19" t="s">
        <v>34</v>
      </c>
      <c r="H8" s="81">
        <f>SUM(B5:B10)</f>
        <v>78</v>
      </c>
    </row>
    <row r="9" spans="1:13">
      <c r="B9" s="1">
        <v>14</v>
      </c>
      <c r="C9" s="15">
        <v>5.7</v>
      </c>
      <c r="D9" s="1">
        <f t="shared" si="0"/>
        <v>79.8</v>
      </c>
      <c r="E9" s="1"/>
      <c r="F9" s="1"/>
      <c r="G9" s="19" t="s">
        <v>35</v>
      </c>
      <c r="H9" s="81">
        <f>SUMSQ(B5:B10)</f>
        <v>1048</v>
      </c>
    </row>
    <row r="10" spans="1:13">
      <c r="B10" s="1">
        <v>17</v>
      </c>
      <c r="C10" s="15">
        <v>5.9</v>
      </c>
      <c r="D10" s="1">
        <f t="shared" si="0"/>
        <v>100.30000000000001</v>
      </c>
      <c r="E10" s="1"/>
      <c r="F10" s="1"/>
      <c r="G10" s="19" t="s">
        <v>36</v>
      </c>
      <c r="H10" s="81">
        <f>SUM(C5:C10)</f>
        <v>29.799999999999997</v>
      </c>
    </row>
    <row r="11" spans="1:13">
      <c r="B11" s="21"/>
      <c r="C11" s="21"/>
      <c r="D11" s="21"/>
      <c r="E11" s="21"/>
      <c r="F11" s="21"/>
      <c r="G11" s="19" t="s">
        <v>37</v>
      </c>
      <c r="H11" s="81">
        <f>SUMPRODUCT(B5:B10,C5:C10)</f>
        <v>396.3</v>
      </c>
    </row>
    <row r="12" spans="1:13">
      <c r="A12" t="s">
        <v>107</v>
      </c>
      <c r="B12" s="1"/>
    </row>
    <row r="13" spans="1:13">
      <c r="K13" s="1"/>
      <c r="L13" s="1"/>
    </row>
    <row r="14" spans="1:13">
      <c r="A14" s="14" t="s">
        <v>108</v>
      </c>
    </row>
    <row r="16" spans="1:13" ht="16.5">
      <c r="A16" s="21" t="s">
        <v>38</v>
      </c>
      <c r="B16" s="22">
        <f>H7</f>
        <v>6</v>
      </c>
      <c r="C16" s="23">
        <f>H8</f>
        <v>78</v>
      </c>
      <c r="D16" s="24" t="s">
        <v>39</v>
      </c>
      <c r="E16" s="110">
        <f>H10</f>
        <v>29.799999999999997</v>
      </c>
      <c r="F16" s="23">
        <v>78</v>
      </c>
      <c r="G16" s="21" t="s">
        <v>40</v>
      </c>
      <c r="H16" s="22">
        <v>6</v>
      </c>
      <c r="I16" s="111">
        <f>H10</f>
        <v>29.799999999999997</v>
      </c>
    </row>
    <row r="17" spans="1:10">
      <c r="A17" s="1"/>
      <c r="B17" s="22">
        <f>H8</f>
        <v>78</v>
      </c>
      <c r="C17" s="23">
        <f>H9</f>
        <v>1048</v>
      </c>
      <c r="D17" s="1"/>
      <c r="E17" s="110">
        <f>H11</f>
        <v>396.3</v>
      </c>
      <c r="F17" s="23">
        <v>1048</v>
      </c>
      <c r="G17" s="1"/>
      <c r="H17" s="22">
        <v>78</v>
      </c>
      <c r="I17" s="111">
        <f>H11</f>
        <v>396.3</v>
      </c>
    </row>
    <row r="18" spans="1:10">
      <c r="A18" s="21" t="s">
        <v>38</v>
      </c>
      <c r="B18" s="25">
        <f>MDETERM(B16:C17)</f>
        <v>203.99999999999983</v>
      </c>
      <c r="C18" s="1"/>
      <c r="D18" s="24" t="s">
        <v>41</v>
      </c>
      <c r="E18" s="25">
        <f>MDETERM(E16:F17)</f>
        <v>318.99999999999585</v>
      </c>
      <c r="F18" s="1"/>
      <c r="G18" s="21" t="s">
        <v>42</v>
      </c>
      <c r="H18" s="25">
        <f>MDETERM(H16:I17)</f>
        <v>53.400000000000503</v>
      </c>
    </row>
    <row r="19" spans="1:10">
      <c r="A19" s="24" t="s">
        <v>43</v>
      </c>
      <c r="B19" s="25">
        <f>E18/B18</f>
        <v>1.5637254901960593</v>
      </c>
      <c r="C19" s="1"/>
      <c r="D19" s="1"/>
      <c r="E19" s="1"/>
      <c r="F19" s="1"/>
      <c r="G19" s="1"/>
      <c r="H19" s="1"/>
    </row>
    <row r="20" spans="1:10">
      <c r="A20" s="24" t="s">
        <v>44</v>
      </c>
      <c r="B20" s="25">
        <f>H18/B18</f>
        <v>0.26176470588235562</v>
      </c>
      <c r="C20" s="1"/>
      <c r="D20" s="1"/>
      <c r="E20" s="1"/>
      <c r="F20" s="1"/>
      <c r="G20" s="1"/>
      <c r="H20" s="1"/>
    </row>
    <row r="21" spans="1:10">
      <c r="A21" s="26" t="s">
        <v>45</v>
      </c>
      <c r="B21" s="27"/>
      <c r="C21" s="27"/>
      <c r="D21" s="27"/>
      <c r="E21" s="28"/>
      <c r="F21" s="1"/>
      <c r="G21" s="1"/>
      <c r="H21" s="1"/>
    </row>
    <row r="22" spans="1:10">
      <c r="A22" s="29" t="s">
        <v>46</v>
      </c>
      <c r="B22" s="30">
        <v>1.5637000000000001</v>
      </c>
      <c r="C22" s="31" t="s">
        <v>47</v>
      </c>
      <c r="D22" s="30">
        <v>0.26179999999999998</v>
      </c>
      <c r="E22" s="32" t="s">
        <v>48</v>
      </c>
      <c r="F22" s="1"/>
      <c r="G22" s="1"/>
      <c r="H22" s="1"/>
    </row>
    <row r="23" spans="1:10">
      <c r="A23" s="45"/>
      <c r="B23" s="46"/>
      <c r="C23" s="46"/>
      <c r="D23" s="46"/>
      <c r="E23" s="44"/>
      <c r="F23" s="1"/>
      <c r="G23" s="1"/>
      <c r="H23" s="1"/>
    </row>
    <row r="24" spans="1:10">
      <c r="A24" s="14" t="s">
        <v>82</v>
      </c>
      <c r="B24" s="46"/>
      <c r="C24" s="46"/>
      <c r="D24" s="46"/>
      <c r="E24" s="44"/>
      <c r="F24" s="1"/>
      <c r="G24" s="1"/>
      <c r="H24" s="1"/>
    </row>
    <row r="25" spans="1:10" s="47" customFormat="1">
      <c r="A25" s="41" t="s">
        <v>84</v>
      </c>
      <c r="B25" s="41"/>
      <c r="C25" s="41"/>
      <c r="D25" s="41"/>
      <c r="E25" s="41"/>
    </row>
    <row r="26" spans="1:10" s="47" customFormat="1">
      <c r="A26" t="s">
        <v>83</v>
      </c>
      <c r="B26" s="41"/>
      <c r="C26" s="41"/>
      <c r="D26" s="48">
        <f>B22+D22*15</f>
        <v>5.4906999999999995</v>
      </c>
      <c r="E26" s="41" t="s">
        <v>267</v>
      </c>
    </row>
    <row r="27" spans="1:10" s="47" customFormat="1">
      <c r="A27" s="41" t="s">
        <v>86</v>
      </c>
      <c r="B27" s="41"/>
      <c r="C27" s="41"/>
      <c r="D27" s="41"/>
      <c r="E27" s="41"/>
    </row>
    <row r="28" spans="1:10" s="47" customFormat="1">
      <c r="A28" t="s">
        <v>85</v>
      </c>
      <c r="B28" s="41"/>
      <c r="C28" s="41"/>
      <c r="D28" s="48">
        <f>(4.7-B22)/D22</f>
        <v>11.97975553857907</v>
      </c>
      <c r="E28" s="47" t="s">
        <v>268</v>
      </c>
    </row>
    <row r="30" spans="1:10">
      <c r="A30" s="14" t="s">
        <v>109</v>
      </c>
      <c r="B30" s="34"/>
      <c r="C30" s="34"/>
      <c r="D30" s="34"/>
      <c r="E30" s="35"/>
      <c r="G30" s="1"/>
      <c r="H30" s="1"/>
    </row>
    <row r="31" spans="1:10">
      <c r="A31" s="33"/>
      <c r="B31" s="24" t="s">
        <v>49</v>
      </c>
      <c r="C31" s="22">
        <v>6</v>
      </c>
      <c r="D31" s="23">
        <v>78</v>
      </c>
      <c r="E31" s="35"/>
      <c r="F31" s="21" t="s">
        <v>50</v>
      </c>
      <c r="G31" s="36" t="s">
        <v>51</v>
      </c>
      <c r="H31" s="1"/>
      <c r="I31" s="21" t="s">
        <v>52</v>
      </c>
      <c r="J31" s="37">
        <v>29.799999999999997</v>
      </c>
    </row>
    <row r="32" spans="1:10">
      <c r="A32" s="33"/>
      <c r="C32" s="22">
        <v>78</v>
      </c>
      <c r="D32" s="23">
        <v>1048</v>
      </c>
      <c r="E32" s="35"/>
      <c r="G32" s="36" t="s">
        <v>53</v>
      </c>
      <c r="H32" s="1"/>
      <c r="J32" s="37">
        <v>396.3</v>
      </c>
    </row>
    <row r="33" spans="1:10">
      <c r="A33" s="33"/>
      <c r="C33" s="1"/>
      <c r="D33" s="1"/>
      <c r="E33" s="35"/>
      <c r="F33" s="1"/>
      <c r="G33" s="1"/>
      <c r="H33" s="1"/>
    </row>
    <row r="34" spans="1:10">
      <c r="A34" s="33"/>
      <c r="B34" s="24" t="s">
        <v>54</v>
      </c>
      <c r="C34" s="22">
        <f t="array" ref="C34:D35">MINVERSE(C31:D32)</f>
        <v>5.1372549019607883</v>
      </c>
      <c r="D34" s="23">
        <v>-0.38235294117647095</v>
      </c>
      <c r="E34" s="35"/>
      <c r="F34" s="21" t="s">
        <v>55</v>
      </c>
      <c r="G34" s="37">
        <f t="array" ref="G34:G35">MMULT(C34:D35,J31:J32)</f>
        <v>1.5637254901960489</v>
      </c>
      <c r="H34" s="1"/>
    </row>
    <row r="35" spans="1:10">
      <c r="A35" s="33"/>
      <c r="C35" s="22">
        <v>-0.3823529411764709</v>
      </c>
      <c r="D35" s="23">
        <v>2.941176470588238E-2</v>
      </c>
      <c r="E35" s="35"/>
      <c r="F35" s="1"/>
      <c r="G35" s="37">
        <v>0.26176470588235645</v>
      </c>
      <c r="H35" s="1"/>
    </row>
    <row r="36" spans="1:10">
      <c r="A36" s="33"/>
      <c r="C36" s="1"/>
      <c r="D36" s="1"/>
      <c r="E36" s="35"/>
      <c r="F36" s="1"/>
      <c r="G36" s="1"/>
      <c r="H36" s="1"/>
    </row>
    <row r="37" spans="1:10">
      <c r="A37" s="14" t="s">
        <v>110</v>
      </c>
    </row>
    <row r="38" spans="1:10">
      <c r="A38" s="14"/>
    </row>
    <row r="39" spans="1:10">
      <c r="A39" s="14"/>
    </row>
    <row r="40" spans="1:10">
      <c r="B40" s="1" t="s">
        <v>56</v>
      </c>
      <c r="C40" s="1" t="s">
        <v>57</v>
      </c>
      <c r="F40" s="1" t="s">
        <v>56</v>
      </c>
      <c r="G40" s="1" t="s">
        <v>57</v>
      </c>
    </row>
    <row r="41" spans="1:10">
      <c r="A41" s="38" t="s">
        <v>58</v>
      </c>
      <c r="B41" s="20">
        <f>B42-B43*B44</f>
        <v>1.4833333333333343</v>
      </c>
      <c r="C41" s="25">
        <f>_xlfn.COVARIANCE.P(B5:B10,C5:C10)</f>
        <v>1.4833333333333336</v>
      </c>
      <c r="D41" s="1"/>
    </row>
    <row r="42" spans="1:10" ht="15.75">
      <c r="A42" s="38" t="s">
        <v>59</v>
      </c>
      <c r="B42" s="25">
        <f>SUM(D5:D10)/COUNT(D5:D10)</f>
        <v>66.05</v>
      </c>
      <c r="C42" s="25">
        <f>AVERAGE(D5:D10)</f>
        <v>66.05</v>
      </c>
      <c r="D42" s="1"/>
      <c r="E42" s="24" t="s">
        <v>60</v>
      </c>
      <c r="F42" s="25">
        <f>DEVSQ(B5:B10)/6</f>
        <v>5.666666666666667</v>
      </c>
      <c r="G42" s="25">
        <f>_xlfn.VAR.P(B5:B10)</f>
        <v>5.666666666666667</v>
      </c>
      <c r="H42" s="1"/>
    </row>
    <row r="43" spans="1:10">
      <c r="A43" s="38" t="s">
        <v>61</v>
      </c>
      <c r="B43" s="25">
        <f>SUM(B5:B10)/COUNT(B5:B10)</f>
        <v>13</v>
      </c>
      <c r="C43" s="25">
        <f>AVERAGE(B5:B10)</f>
        <v>13</v>
      </c>
      <c r="D43" s="1"/>
      <c r="E43" s="24" t="s">
        <v>62</v>
      </c>
      <c r="F43" s="25">
        <f>DEVSQ(C5:C10)/6</f>
        <v>0.45222222222222247</v>
      </c>
      <c r="G43" s="25">
        <f>_xlfn.VAR.P(C5:C10)</f>
        <v>0.45222222222222463</v>
      </c>
      <c r="H43" s="1"/>
    </row>
    <row r="44" spans="1:10" ht="15.75">
      <c r="A44" s="38" t="s">
        <v>63</v>
      </c>
      <c r="B44" s="25">
        <f>SUM(C5:C10)/COUNT(C5:C10)</f>
        <v>4.9666666666666659</v>
      </c>
      <c r="C44" s="25">
        <f>AVERAGE(C5:C10)</f>
        <v>4.9666666666666659</v>
      </c>
      <c r="D44" s="1"/>
      <c r="E44" s="24" t="s">
        <v>64</v>
      </c>
      <c r="F44" s="25">
        <f>SQRT(F42)</f>
        <v>2.3804761428476167</v>
      </c>
      <c r="G44" s="25">
        <f>_xlfn.STDEV.P(B5:B10)</f>
        <v>2.3804761428476167</v>
      </c>
      <c r="H44" s="1"/>
    </row>
    <row r="45" spans="1:10" ht="15.75">
      <c r="A45" s="38" t="s">
        <v>65</v>
      </c>
      <c r="B45" s="25"/>
      <c r="C45" s="25"/>
      <c r="D45" s="1"/>
      <c r="E45" s="24" t="s">
        <v>66</v>
      </c>
      <c r="F45" s="25">
        <f>SQRT(F43)</f>
        <v>0.67247470006106735</v>
      </c>
      <c r="G45" s="25">
        <f>_xlfn.STDEV.P(C5:C10)</f>
        <v>0.67247470006106891</v>
      </c>
      <c r="H45" s="1"/>
    </row>
    <row r="46" spans="1:10">
      <c r="A46" s="38" t="s">
        <v>67</v>
      </c>
      <c r="B46" s="25"/>
      <c r="C46" s="25"/>
      <c r="D46" s="1"/>
      <c r="E46" s="24" t="s">
        <v>68</v>
      </c>
      <c r="F46" s="25">
        <f>C41/(F44*F45)</f>
        <v>0.9266142463588275</v>
      </c>
      <c r="G46" s="25">
        <f>PEARSON(B5:B10,C5:C10)</f>
        <v>0.9266142463588275</v>
      </c>
      <c r="H46" s="1"/>
      <c r="I46" s="24" t="s">
        <v>69</v>
      </c>
      <c r="J46" s="81">
        <f>G46^2</f>
        <v>0.85861396155513781</v>
      </c>
    </row>
    <row r="47" spans="1:10">
      <c r="A47" s="1"/>
      <c r="B47" s="1"/>
      <c r="C47" s="1"/>
      <c r="D47" s="1"/>
      <c r="E47" s="1"/>
      <c r="F47" s="1"/>
      <c r="G47" s="1"/>
      <c r="H47" s="1"/>
    </row>
    <row r="48" spans="1:10">
      <c r="A48" s="24" t="s">
        <v>43</v>
      </c>
      <c r="B48" s="25">
        <f>C44-B49*C43</f>
        <v>1.5637254901960755</v>
      </c>
      <c r="C48" s="1"/>
      <c r="D48" s="1"/>
      <c r="E48" s="1"/>
      <c r="F48" s="1"/>
      <c r="G48" s="1"/>
      <c r="H48" s="1"/>
    </row>
    <row r="49" spans="1:15">
      <c r="A49" s="24" t="s">
        <v>44</v>
      </c>
      <c r="B49" s="25">
        <f>B41/G42</f>
        <v>0.26176470588235312</v>
      </c>
      <c r="C49" s="1"/>
      <c r="D49" s="1"/>
      <c r="E49" s="1"/>
      <c r="F49" s="1"/>
      <c r="G49" s="1"/>
      <c r="H49" s="1"/>
    </row>
    <row r="51" spans="1:15">
      <c r="A51" s="14" t="s">
        <v>111</v>
      </c>
    </row>
    <row r="53" spans="1:15">
      <c r="A53" s="24" t="s">
        <v>70</v>
      </c>
      <c r="B53" s="15">
        <v>1</v>
      </c>
      <c r="C53" s="82">
        <v>9</v>
      </c>
      <c r="E53" s="21" t="s">
        <v>50</v>
      </c>
      <c r="F53" s="36" t="s">
        <v>51</v>
      </c>
      <c r="H53" s="21" t="s">
        <v>71</v>
      </c>
      <c r="I53" s="36">
        <v>3.9</v>
      </c>
    </row>
    <row r="54" spans="1:15">
      <c r="B54" s="15">
        <v>1</v>
      </c>
      <c r="C54" s="82">
        <v>12</v>
      </c>
      <c r="F54" s="36" t="s">
        <v>53</v>
      </c>
      <c r="I54" s="36">
        <v>4.8</v>
      </c>
    </row>
    <row r="55" spans="1:15">
      <c r="B55" s="15">
        <v>1</v>
      </c>
      <c r="C55" s="82">
        <v>13</v>
      </c>
      <c r="I55" s="36">
        <v>4.5999999999999996</v>
      </c>
    </row>
    <row r="56" spans="1:15">
      <c r="B56" s="15">
        <v>1</v>
      </c>
      <c r="C56" s="82">
        <v>13</v>
      </c>
      <c r="I56" s="36">
        <v>4.9000000000000004</v>
      </c>
    </row>
    <row r="57" spans="1:15">
      <c r="B57" s="15">
        <v>1</v>
      </c>
      <c r="C57" s="82">
        <v>14</v>
      </c>
      <c r="I57" s="36">
        <v>5.7</v>
      </c>
    </row>
    <row r="58" spans="1:15">
      <c r="B58" s="15">
        <v>1</v>
      </c>
      <c r="C58" s="82">
        <v>17</v>
      </c>
      <c r="I58" s="36">
        <v>5.9</v>
      </c>
    </row>
    <row r="60" spans="1:15">
      <c r="A60" s="24" t="s">
        <v>72</v>
      </c>
      <c r="B60" s="39">
        <f t="array" ref="B60:G61">TRANSPOSE(B53:C58)</f>
        <v>1</v>
      </c>
      <c r="C60" s="20">
        <v>1</v>
      </c>
      <c r="D60" s="20">
        <v>1</v>
      </c>
      <c r="E60" s="20">
        <v>1</v>
      </c>
      <c r="F60" s="20">
        <v>1</v>
      </c>
      <c r="G60" s="40">
        <v>1</v>
      </c>
    </row>
    <row r="61" spans="1:15">
      <c r="B61" s="39">
        <v>9</v>
      </c>
      <c r="C61" s="20">
        <v>12</v>
      </c>
      <c r="D61" s="20">
        <v>13</v>
      </c>
      <c r="E61" s="20">
        <v>13</v>
      </c>
      <c r="F61" s="20">
        <v>14</v>
      </c>
      <c r="G61" s="40">
        <v>17</v>
      </c>
    </row>
    <row r="63" spans="1:15">
      <c r="A63" s="24" t="s">
        <v>73</v>
      </c>
      <c r="B63" s="39">
        <f t="array" ref="B63:C64">MMULT(B60:G61,B53:C58)</f>
        <v>6</v>
      </c>
      <c r="C63" s="40">
        <v>78</v>
      </c>
      <c r="E63" s="24" t="s">
        <v>74</v>
      </c>
      <c r="F63" s="39">
        <f t="array" ref="F63:G64">MINVERSE(B63:C64)</f>
        <v>5.1372549019607883</v>
      </c>
      <c r="G63" s="40">
        <v>-0.38235294117647095</v>
      </c>
      <c r="I63" s="24" t="s">
        <v>75</v>
      </c>
      <c r="J63" s="39">
        <f t="array" ref="J63:O64">MMULT(F63:G64,B60:G61)</f>
        <v>1.6960784313725497</v>
      </c>
      <c r="K63" s="20">
        <v>0.54901960784313708</v>
      </c>
      <c r="L63" s="20">
        <v>0.16666666666666607</v>
      </c>
      <c r="M63" s="20">
        <v>0.16666666666666607</v>
      </c>
      <c r="N63" s="20">
        <v>-0.21568627450980493</v>
      </c>
      <c r="O63" s="40">
        <v>-1.362745098039218</v>
      </c>
    </row>
    <row r="64" spans="1:15">
      <c r="B64" s="39">
        <v>78</v>
      </c>
      <c r="C64" s="40">
        <v>1048</v>
      </c>
      <c r="F64" s="39">
        <v>-0.3823529411764709</v>
      </c>
      <c r="G64" s="40">
        <v>2.941176470588238E-2</v>
      </c>
      <c r="J64" s="39">
        <v>-0.11764705882352949</v>
      </c>
      <c r="K64" s="20">
        <v>-2.9411764705882359E-2</v>
      </c>
      <c r="L64" s="20">
        <v>5.5511151231257827E-17</v>
      </c>
      <c r="M64" s="20">
        <v>5.5511151231257827E-17</v>
      </c>
      <c r="N64" s="20">
        <v>2.9411764705882415E-2</v>
      </c>
      <c r="O64" s="40">
        <v>0.11764705882352955</v>
      </c>
    </row>
    <row r="66" spans="1:10">
      <c r="A66" s="41" t="s">
        <v>76</v>
      </c>
      <c r="C66" s="42">
        <f t="array" ref="C66:C67">MMULT(J63:O64,I53:I58)</f>
        <v>1.563725490196056</v>
      </c>
    </row>
    <row r="67" spans="1:10">
      <c r="C67" s="42">
        <v>0.26176470588235429</v>
      </c>
    </row>
    <row r="68" spans="1:10">
      <c r="I68" s="5"/>
      <c r="J68" s="5"/>
    </row>
    <row r="69" spans="1:10">
      <c r="A69" s="14" t="s">
        <v>112</v>
      </c>
    </row>
    <row r="70" spans="1:10">
      <c r="A70" s="24" t="s">
        <v>77</v>
      </c>
      <c r="B70" s="25">
        <f>INTERCEPT(C5:C10,B5:B10)</f>
        <v>1.5637254901960769</v>
      </c>
      <c r="D70" t="s">
        <v>295</v>
      </c>
    </row>
    <row r="71" spans="1:10">
      <c r="A71" s="24"/>
      <c r="B71" s="137"/>
      <c r="D71" t="s">
        <v>296</v>
      </c>
    </row>
    <row r="72" spans="1:10">
      <c r="A72" s="24" t="s">
        <v>78</v>
      </c>
      <c r="B72" s="25">
        <f>SLOPE(C5:C10,B5:B10)</f>
        <v>0.26176470588235301</v>
      </c>
      <c r="D72" t="s">
        <v>297</v>
      </c>
    </row>
    <row r="73" spans="1:10">
      <c r="A73" s="24"/>
      <c r="B73" s="137"/>
      <c r="D73" t="s">
        <v>298</v>
      </c>
    </row>
    <row r="74" spans="1:10">
      <c r="A74" s="24" t="s">
        <v>68</v>
      </c>
      <c r="B74" s="25">
        <f>CORREL(B5:B10,C5:C10)</f>
        <v>0.9266142463588275</v>
      </c>
      <c r="D74" t="s">
        <v>299</v>
      </c>
    </row>
    <row r="75" spans="1:10">
      <c r="A75" s="24"/>
      <c r="B75" s="137"/>
      <c r="D75" t="s">
        <v>300</v>
      </c>
    </row>
    <row r="76" spans="1:10">
      <c r="A76" s="24" t="s">
        <v>69</v>
      </c>
      <c r="B76" s="20">
        <f>B74^2</f>
        <v>0.85861396155513781</v>
      </c>
      <c r="D76" t="s">
        <v>301</v>
      </c>
    </row>
    <row r="77" spans="1:10">
      <c r="A77" s="24"/>
      <c r="B77" s="126"/>
      <c r="D77" t="s">
        <v>302</v>
      </c>
    </row>
    <row r="78" spans="1:10">
      <c r="A78" s="24"/>
      <c r="B78" s="126"/>
      <c r="E78" t="s">
        <v>303</v>
      </c>
    </row>
    <row r="79" spans="1:10">
      <c r="A79" s="24" t="s">
        <v>58</v>
      </c>
      <c r="B79" s="20">
        <f>_xlfn.COVARIANCE.P(B5:B10,C5:C10)</f>
        <v>1.4833333333333336</v>
      </c>
      <c r="D79" t="s">
        <v>304</v>
      </c>
    </row>
    <row r="80" spans="1:10">
      <c r="A80" s="24"/>
      <c r="B80" s="126"/>
      <c r="D80" t="s">
        <v>305</v>
      </c>
    </row>
    <row r="81" spans="1:17">
      <c r="A81" s="49" t="s">
        <v>101</v>
      </c>
      <c r="B81" s="38"/>
      <c r="C81" s="38"/>
      <c r="D81" s="38"/>
      <c r="E81" s="41"/>
      <c r="F81" s="50">
        <f>_xlfn.FORECAST.LINEAR(15,C5:C10,B5:B10)</f>
        <v>5.4901960784313726</v>
      </c>
    </row>
    <row r="82" spans="1:17">
      <c r="A82" s="24"/>
      <c r="I82" s="43"/>
      <c r="J82" s="43"/>
      <c r="K82" s="43"/>
      <c r="L82" s="43"/>
      <c r="M82" s="43"/>
      <c r="N82" s="43"/>
    </row>
    <row r="83" spans="1:17">
      <c r="A83" s="14" t="s">
        <v>113</v>
      </c>
    </row>
    <row r="84" spans="1:17">
      <c r="C84" t="s">
        <v>2</v>
      </c>
    </row>
    <row r="85" spans="1:17" ht="15.75" thickBot="1"/>
    <row r="86" spans="1:17">
      <c r="C86" s="4" t="s">
        <v>3</v>
      </c>
      <c r="D86" s="4"/>
      <c r="G86" t="s">
        <v>278</v>
      </c>
      <c r="H86">
        <f>_xlfn.T.INV(0.975,5)</f>
        <v>2.570581835636315</v>
      </c>
    </row>
    <row r="87" spans="1:17">
      <c r="C87" t="s">
        <v>4</v>
      </c>
      <c r="D87">
        <v>0.92661424635882761</v>
      </c>
      <c r="E87" t="s">
        <v>279</v>
      </c>
      <c r="L87" s="43"/>
      <c r="M87" s="43"/>
      <c r="N87" s="43"/>
      <c r="O87" s="43"/>
      <c r="P87" s="43"/>
      <c r="Q87" s="43"/>
    </row>
    <row r="88" spans="1:17">
      <c r="C88" t="s">
        <v>5</v>
      </c>
      <c r="D88">
        <v>0.85861396155513803</v>
      </c>
      <c r="E88" t="s">
        <v>280</v>
      </c>
      <c r="F88">
        <f>E95/E97</f>
        <v>0.85861396155513803</v>
      </c>
      <c r="G88" t="s">
        <v>253</v>
      </c>
      <c r="H88">
        <f>1-_xlfn.F.DIST(G95,D95,D96,1)</f>
        <v>7.8805949115494656E-3</v>
      </c>
    </row>
    <row r="89" spans="1:17">
      <c r="C89" t="s">
        <v>6</v>
      </c>
      <c r="D89">
        <v>0.82326745194392248</v>
      </c>
      <c r="G89" t="s">
        <v>281</v>
      </c>
      <c r="H89">
        <f>_xlfn.F.INV(0.95,D95,D96)</f>
        <v>7.7086474221767833</v>
      </c>
    </row>
    <row r="90" spans="1:17">
      <c r="C90" t="s">
        <v>7</v>
      </c>
      <c r="D90">
        <v>0.3096883316256816</v>
      </c>
    </row>
    <row r="91" spans="1:17" ht="15.75" thickBot="1">
      <c r="C91" s="2" t="s">
        <v>8</v>
      </c>
      <c r="D91" s="2">
        <v>6</v>
      </c>
    </row>
    <row r="93" spans="1:17" ht="15.75" thickBot="1">
      <c r="C93" t="s">
        <v>9</v>
      </c>
    </row>
    <row r="94" spans="1:17">
      <c r="C94" s="3"/>
      <c r="D94" s="3" t="s">
        <v>13</v>
      </c>
      <c r="E94" s="3" t="s">
        <v>14</v>
      </c>
      <c r="F94" s="3" t="s">
        <v>15</v>
      </c>
      <c r="G94" s="3" t="s">
        <v>282</v>
      </c>
      <c r="H94" s="3" t="s">
        <v>265</v>
      </c>
    </row>
    <row r="95" spans="1:17">
      <c r="C95" t="s">
        <v>10</v>
      </c>
      <c r="D95">
        <v>1</v>
      </c>
      <c r="E95" s="117">
        <v>2.3297058823529424</v>
      </c>
      <c r="F95">
        <v>2.3297058823529424</v>
      </c>
      <c r="G95">
        <v>24.291336570406326</v>
      </c>
      <c r="H95">
        <v>7.8805949115494187E-3</v>
      </c>
      <c r="J95">
        <f>F95/F96</f>
        <v>24.291336570406326</v>
      </c>
      <c r="K95">
        <f>F95/F96</f>
        <v>24.291336570406326</v>
      </c>
      <c r="L95" s="43"/>
      <c r="M95" s="43"/>
      <c r="N95" s="43"/>
      <c r="O95" s="43"/>
    </row>
    <row r="96" spans="1:17">
      <c r="C96" t="s">
        <v>11</v>
      </c>
      <c r="D96">
        <v>4</v>
      </c>
      <c r="E96" s="118">
        <v>0.38362745098039253</v>
      </c>
      <c r="F96">
        <v>9.5906862745098131E-2</v>
      </c>
      <c r="J96">
        <f>E96/D96</f>
        <v>9.5906862745098131E-2</v>
      </c>
    </row>
    <row r="97" spans="1:11" ht="15.75" thickBot="1">
      <c r="C97" s="2" t="s">
        <v>12</v>
      </c>
      <c r="D97" s="2">
        <v>5</v>
      </c>
      <c r="E97" s="119">
        <v>2.7133333333333347</v>
      </c>
      <c r="F97" s="2"/>
      <c r="G97" s="2"/>
      <c r="H97" s="2"/>
    </row>
    <row r="98" spans="1:11" ht="15.75" thickBot="1"/>
    <row r="99" spans="1:11">
      <c r="C99" s="3"/>
      <c r="D99" s="3" t="s">
        <v>266</v>
      </c>
      <c r="E99" s="3" t="s">
        <v>7</v>
      </c>
      <c r="F99" s="3" t="s">
        <v>17</v>
      </c>
      <c r="G99" s="3" t="s">
        <v>18</v>
      </c>
      <c r="H99" s="3" t="s">
        <v>19</v>
      </c>
      <c r="I99" s="3" t="s">
        <v>20</v>
      </c>
      <c r="J99" s="3" t="s">
        <v>21</v>
      </c>
      <c r="K99" s="3" t="s">
        <v>22</v>
      </c>
    </row>
    <row r="100" spans="1:11">
      <c r="C100" t="s">
        <v>283</v>
      </c>
      <c r="D100" s="109">
        <v>1.563725490196076</v>
      </c>
      <c r="E100">
        <v>0.70192449791194456</v>
      </c>
      <c r="F100">
        <v>2.2277687911560013</v>
      </c>
      <c r="G100">
        <v>8.9833255673882478E-2</v>
      </c>
      <c r="H100">
        <v>-0.3851293462499612</v>
      </c>
      <c r="I100">
        <v>3.5125803266421132</v>
      </c>
      <c r="J100">
        <v>-0.3851293462499612</v>
      </c>
      <c r="K100">
        <v>3.5125803266421132</v>
      </c>
    </row>
    <row r="101" spans="1:11" ht="15.75" thickBot="1">
      <c r="C101" s="2" t="s">
        <v>284</v>
      </c>
      <c r="D101" s="120">
        <v>0.26176470588235307</v>
      </c>
      <c r="E101" s="2">
        <v>5.3111110708948459E-2</v>
      </c>
      <c r="F101" s="121">
        <v>4.9286242066530432</v>
      </c>
      <c r="G101" s="122">
        <v>7.8805949115494118E-3</v>
      </c>
      <c r="H101" s="123">
        <v>0.11430462252287502</v>
      </c>
      <c r="I101" s="123">
        <v>0.40922478924183114</v>
      </c>
      <c r="J101" s="2">
        <v>0.11430462252287502</v>
      </c>
      <c r="K101" s="2">
        <v>0.40922478924183114</v>
      </c>
    </row>
    <row r="105" spans="1:11">
      <c r="C105" t="s">
        <v>23</v>
      </c>
    </row>
    <row r="106" spans="1:11" ht="15.75" thickBot="1">
      <c r="D106" t="s">
        <v>285</v>
      </c>
      <c r="E106" t="s">
        <v>286</v>
      </c>
      <c r="F106" t="s">
        <v>287</v>
      </c>
    </row>
    <row r="107" spans="1:11">
      <c r="A107" s="6" t="s">
        <v>0</v>
      </c>
      <c r="B107" s="13" t="s">
        <v>1</v>
      </c>
      <c r="C107" s="3" t="s">
        <v>24</v>
      </c>
      <c r="D107" s="3" t="s">
        <v>25</v>
      </c>
      <c r="E107" s="3" t="s">
        <v>26</v>
      </c>
      <c r="G107" s="43" t="s">
        <v>288</v>
      </c>
      <c r="H107" s="43" t="s">
        <v>289</v>
      </c>
      <c r="I107" s="43" t="s">
        <v>290</v>
      </c>
    </row>
    <row r="108" spans="1:11">
      <c r="A108" s="1">
        <v>9</v>
      </c>
      <c r="B108" s="15">
        <v>3.9</v>
      </c>
      <c r="C108">
        <v>1</v>
      </c>
      <c r="D108">
        <v>3.9196078431372534</v>
      </c>
      <c r="E108">
        <v>-1.96078431372535E-2</v>
      </c>
      <c r="F108">
        <f>D100+A108*D101</f>
        <v>3.9196078431372534</v>
      </c>
      <c r="G108">
        <f>B108-D108</f>
        <v>-1.96078431372535E-2</v>
      </c>
      <c r="H108">
        <f>B108-$Q$33</f>
        <v>3.9</v>
      </c>
      <c r="I108">
        <f>D108-$Q$33</f>
        <v>3.9196078431372534</v>
      </c>
    </row>
    <row r="109" spans="1:11">
      <c r="A109" s="1">
        <v>12</v>
      </c>
      <c r="B109" s="15">
        <v>4.8</v>
      </c>
      <c r="C109">
        <v>2</v>
      </c>
      <c r="D109">
        <v>4.7049019607843121</v>
      </c>
      <c r="E109">
        <v>9.5098039215687713E-2</v>
      </c>
      <c r="G109">
        <f t="shared" ref="G109:G113" si="1">B109-D109</f>
        <v>9.5098039215687713E-2</v>
      </c>
      <c r="H109">
        <f t="shared" ref="H109:H113" si="2">B109-$Q$33</f>
        <v>4.8</v>
      </c>
      <c r="I109">
        <f t="shared" ref="I109:I113" si="3">D109-$Q$33</f>
        <v>4.7049019607843121</v>
      </c>
    </row>
    <row r="110" spans="1:11">
      <c r="A110" s="1">
        <v>13</v>
      </c>
      <c r="B110" s="15">
        <v>4.5999999999999996</v>
      </c>
      <c r="C110">
        <v>3</v>
      </c>
      <c r="D110">
        <v>4.9666666666666659</v>
      </c>
      <c r="E110">
        <v>-0.36666666666666625</v>
      </c>
      <c r="G110">
        <f t="shared" si="1"/>
        <v>-0.36666666666666625</v>
      </c>
      <c r="H110">
        <f t="shared" si="2"/>
        <v>4.5999999999999996</v>
      </c>
      <c r="I110">
        <f t="shared" si="3"/>
        <v>4.9666666666666659</v>
      </c>
    </row>
    <row r="111" spans="1:11">
      <c r="A111" s="1">
        <v>13</v>
      </c>
      <c r="B111" s="15">
        <v>4.9000000000000004</v>
      </c>
      <c r="C111">
        <v>4</v>
      </c>
      <c r="D111">
        <v>4.9666666666666659</v>
      </c>
      <c r="E111">
        <v>-6.6666666666665542E-2</v>
      </c>
      <c r="G111">
        <f t="shared" si="1"/>
        <v>-6.6666666666665542E-2</v>
      </c>
      <c r="H111">
        <f t="shared" si="2"/>
        <v>4.9000000000000004</v>
      </c>
      <c r="I111">
        <f t="shared" si="3"/>
        <v>4.9666666666666659</v>
      </c>
    </row>
    <row r="112" spans="1:11">
      <c r="A112" s="1">
        <v>14</v>
      </c>
      <c r="B112" s="15">
        <v>5.7</v>
      </c>
      <c r="C112">
        <v>5</v>
      </c>
      <c r="D112">
        <v>5.2284313725490188</v>
      </c>
      <c r="E112">
        <v>0.47156862745098138</v>
      </c>
      <c r="G112">
        <f t="shared" si="1"/>
        <v>0.47156862745098138</v>
      </c>
      <c r="H112">
        <f t="shared" si="2"/>
        <v>5.7</v>
      </c>
      <c r="I112">
        <f t="shared" si="3"/>
        <v>5.2284313725490188</v>
      </c>
    </row>
    <row r="113" spans="1:9" ht="15.75" thickBot="1">
      <c r="A113" s="1">
        <v>17</v>
      </c>
      <c r="B113" s="15">
        <v>5.9</v>
      </c>
      <c r="C113" s="2">
        <v>6</v>
      </c>
      <c r="D113" s="2">
        <v>6.0137254901960784</v>
      </c>
      <c r="E113" s="2">
        <v>-0.11372549019607803</v>
      </c>
      <c r="G113">
        <f t="shared" si="1"/>
        <v>-0.11372549019607803</v>
      </c>
      <c r="H113">
        <f t="shared" si="2"/>
        <v>5.9</v>
      </c>
      <c r="I113">
        <f t="shared" si="3"/>
        <v>6.0137254901960784</v>
      </c>
    </row>
    <row r="114" spans="1:9">
      <c r="E114" s="118">
        <f>SUMSQ(E108:E113)</f>
        <v>0.3836274509803928</v>
      </c>
      <c r="H114" s="124">
        <f>SUMSQ(H108:H113)</f>
        <v>150.72</v>
      </c>
      <c r="I114" s="117">
        <f>SUMSQ(I108:I113)</f>
        <v>150.33637254901956</v>
      </c>
    </row>
    <row r="116" spans="1:9">
      <c r="C116" t="s">
        <v>291</v>
      </c>
      <c r="D116" s="125">
        <f>AVERAGE(B108:B113)</f>
        <v>4.9666666666666659</v>
      </c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4"/>
  <sheetViews>
    <sheetView topLeftCell="A36" workbookViewId="0">
      <selection activeCell="Q66" sqref="Q66"/>
    </sheetView>
  </sheetViews>
  <sheetFormatPr defaultRowHeight="15"/>
  <cols>
    <col min="1" max="1" width="9.140625" customWidth="1"/>
    <col min="2" max="2" width="11.28515625" customWidth="1"/>
  </cols>
  <sheetData>
    <row r="1" spans="1:13">
      <c r="A1" t="s">
        <v>179</v>
      </c>
      <c r="B1" t="s">
        <v>180</v>
      </c>
    </row>
    <row r="2" spans="1:13">
      <c r="B2" t="s">
        <v>181</v>
      </c>
    </row>
    <row r="3" spans="1:13">
      <c r="B3" s="80" t="s">
        <v>182</v>
      </c>
      <c r="C3" s="80">
        <v>1</v>
      </c>
      <c r="D3" s="80">
        <v>2</v>
      </c>
      <c r="E3" s="80">
        <v>3</v>
      </c>
      <c r="F3" s="80">
        <v>4</v>
      </c>
      <c r="G3" s="80">
        <v>5</v>
      </c>
      <c r="H3" s="80">
        <v>6</v>
      </c>
      <c r="I3" s="80">
        <v>7</v>
      </c>
      <c r="J3" s="80">
        <v>8</v>
      </c>
      <c r="K3" s="80">
        <v>9</v>
      </c>
      <c r="L3" s="80">
        <v>10</v>
      </c>
    </row>
    <row r="4" spans="1:13">
      <c r="B4" s="80" t="s">
        <v>183</v>
      </c>
      <c r="C4" s="80">
        <v>2.1299000000000001</v>
      </c>
      <c r="D4" s="80">
        <v>2.1532</v>
      </c>
      <c r="E4" s="80">
        <v>2.1610999999999998</v>
      </c>
      <c r="F4" s="80">
        <v>2.1516000000000002</v>
      </c>
      <c r="G4" s="80">
        <v>2.1282000000000001</v>
      </c>
      <c r="H4" s="80">
        <v>2.0807000000000002</v>
      </c>
      <c r="I4" s="80">
        <v>2.0266000000000002</v>
      </c>
      <c r="J4" s="80">
        <v>1.9594</v>
      </c>
      <c r="K4" s="80">
        <v>1.8758999999999999</v>
      </c>
      <c r="L4" s="80">
        <v>1.7723</v>
      </c>
    </row>
    <row r="5" spans="1:13">
      <c r="B5" s="138" t="s">
        <v>318</v>
      </c>
      <c r="C5" s="1">
        <f>C3*C3</f>
        <v>1</v>
      </c>
      <c r="D5" s="1">
        <f t="shared" ref="D5:L5" si="0">D3*D3</f>
        <v>4</v>
      </c>
      <c r="E5" s="1">
        <f t="shared" si="0"/>
        <v>9</v>
      </c>
      <c r="F5" s="1">
        <f t="shared" si="0"/>
        <v>16</v>
      </c>
      <c r="G5" s="1">
        <f t="shared" si="0"/>
        <v>25</v>
      </c>
      <c r="H5" s="1">
        <f t="shared" si="0"/>
        <v>36</v>
      </c>
      <c r="I5" s="1">
        <f t="shared" si="0"/>
        <v>49</v>
      </c>
      <c r="J5" s="1">
        <f t="shared" si="0"/>
        <v>64</v>
      </c>
      <c r="K5" s="1">
        <f t="shared" si="0"/>
        <v>81</v>
      </c>
      <c r="L5" s="1">
        <f t="shared" si="0"/>
        <v>100</v>
      </c>
    </row>
    <row r="6" spans="1:13">
      <c r="B6" s="138" t="s">
        <v>319</v>
      </c>
      <c r="C6" s="1">
        <f>C3^3</f>
        <v>1</v>
      </c>
      <c r="D6" s="1">
        <f t="shared" ref="D6:L6" si="1">D3^3</f>
        <v>8</v>
      </c>
      <c r="E6" s="1">
        <f t="shared" si="1"/>
        <v>27</v>
      </c>
      <c r="F6" s="1">
        <f t="shared" si="1"/>
        <v>64</v>
      </c>
      <c r="G6" s="1">
        <f t="shared" si="1"/>
        <v>125</v>
      </c>
      <c r="H6" s="1">
        <f t="shared" si="1"/>
        <v>216</v>
      </c>
      <c r="I6" s="1">
        <f t="shared" si="1"/>
        <v>343</v>
      </c>
      <c r="J6" s="1">
        <f t="shared" si="1"/>
        <v>512</v>
      </c>
      <c r="K6" s="1">
        <f t="shared" si="1"/>
        <v>729</v>
      </c>
      <c r="L6" s="1">
        <f t="shared" si="1"/>
        <v>1000</v>
      </c>
    </row>
    <row r="7" spans="1:13">
      <c r="B7" s="138" t="s">
        <v>320</v>
      </c>
      <c r="C7" s="1">
        <f>C3^4</f>
        <v>1</v>
      </c>
      <c r="D7" s="1">
        <f t="shared" ref="D7:L7" si="2">D3^4</f>
        <v>16</v>
      </c>
      <c r="E7" s="1">
        <f t="shared" si="2"/>
        <v>81</v>
      </c>
      <c r="F7" s="1">
        <f t="shared" si="2"/>
        <v>256</v>
      </c>
      <c r="G7" s="1">
        <f t="shared" si="2"/>
        <v>625</v>
      </c>
      <c r="H7" s="1">
        <f t="shared" si="2"/>
        <v>1296</v>
      </c>
      <c r="I7" s="1">
        <f t="shared" si="2"/>
        <v>2401</v>
      </c>
      <c r="J7" s="1">
        <f t="shared" si="2"/>
        <v>4096</v>
      </c>
      <c r="K7" s="1">
        <f t="shared" si="2"/>
        <v>6561</v>
      </c>
      <c r="L7" s="1">
        <f t="shared" si="2"/>
        <v>10000</v>
      </c>
    </row>
    <row r="8" spans="1:13">
      <c r="B8" t="s">
        <v>184</v>
      </c>
    </row>
    <row r="10" spans="1:13">
      <c r="B10" s="86" t="s">
        <v>321</v>
      </c>
      <c r="H10" s="8" t="s">
        <v>30</v>
      </c>
      <c r="I10" s="7"/>
      <c r="J10" s="7"/>
      <c r="K10" s="7"/>
      <c r="L10" s="7"/>
      <c r="M10" s="9"/>
    </row>
    <row r="11" spans="1:13">
      <c r="H11" s="11"/>
      <c r="M11" s="12"/>
    </row>
    <row r="12" spans="1:13">
      <c r="B12" s="19" t="s">
        <v>33</v>
      </c>
      <c r="C12" s="81">
        <v>10</v>
      </c>
      <c r="H12" s="11"/>
      <c r="M12" s="12"/>
    </row>
    <row r="13" spans="1:13">
      <c r="B13" s="19" t="s">
        <v>34</v>
      </c>
      <c r="C13" s="81">
        <f>SUM(C3:L3)</f>
        <v>55</v>
      </c>
      <c r="H13" s="11"/>
      <c r="M13" s="12"/>
    </row>
    <row r="14" spans="1:13">
      <c r="B14" s="19" t="s">
        <v>35</v>
      </c>
      <c r="C14" s="81">
        <f>SUMSQ(C3:L3)</f>
        <v>385</v>
      </c>
      <c r="H14" s="11"/>
      <c r="M14" s="12"/>
    </row>
    <row r="15" spans="1:13">
      <c r="B15" s="19" t="s">
        <v>185</v>
      </c>
      <c r="C15" s="81">
        <f>SUM(C6:L6)</f>
        <v>3025</v>
      </c>
      <c r="H15" s="11"/>
      <c r="M15" s="12"/>
    </row>
    <row r="16" spans="1:13">
      <c r="B16" s="19" t="s">
        <v>186</v>
      </c>
      <c r="C16" s="81">
        <f>SUM(C7:L7)</f>
        <v>25333</v>
      </c>
      <c r="H16" s="11"/>
      <c r="M16" s="12"/>
    </row>
    <row r="17" spans="1:19">
      <c r="B17" s="19" t="s">
        <v>36</v>
      </c>
      <c r="C17" s="81">
        <f>SUM(C4:L4)</f>
        <v>20.438900000000004</v>
      </c>
      <c r="H17" s="11"/>
      <c r="M17" s="12"/>
    </row>
    <row r="18" spans="1:19">
      <c r="B18" s="19" t="s">
        <v>37</v>
      </c>
      <c r="C18" s="81">
        <f>SUMPRODUCT(C3:L3,C4:L4)</f>
        <v>109.1187</v>
      </c>
      <c r="H18" s="11"/>
      <c r="M18" s="12"/>
    </row>
    <row r="19" spans="1:19">
      <c r="B19" s="19" t="s">
        <v>187</v>
      </c>
      <c r="C19" s="81">
        <f>SUMPRODUCT(C5:L5,C4:L4)</f>
        <v>746.61130000000003</v>
      </c>
      <c r="H19" s="16"/>
      <c r="I19" s="17"/>
      <c r="J19" s="17"/>
      <c r="K19" s="17"/>
      <c r="L19" s="17"/>
      <c r="M19" s="18"/>
    </row>
    <row r="21" spans="1:19">
      <c r="A21" s="14" t="s">
        <v>108</v>
      </c>
    </row>
    <row r="23" spans="1:19" ht="15.75">
      <c r="A23" s="21" t="s">
        <v>38</v>
      </c>
      <c r="B23" s="22">
        <f>C12</f>
        <v>10</v>
      </c>
      <c r="C23" s="25">
        <f>C13</f>
        <v>55</v>
      </c>
      <c r="D23" s="23">
        <f>C14</f>
        <v>385</v>
      </c>
      <c r="F23" s="24" t="s">
        <v>39</v>
      </c>
      <c r="G23" s="84">
        <f>C17</f>
        <v>20.438900000000004</v>
      </c>
      <c r="H23" s="25">
        <v>55</v>
      </c>
      <c r="I23" s="23">
        <v>385</v>
      </c>
      <c r="K23" s="24" t="s">
        <v>188</v>
      </c>
      <c r="L23" s="22">
        <v>10</v>
      </c>
      <c r="M23" s="83">
        <v>20.438900000000004</v>
      </c>
      <c r="N23" s="23">
        <v>385</v>
      </c>
      <c r="P23" s="24" t="s">
        <v>189</v>
      </c>
      <c r="Q23" s="22">
        <v>10</v>
      </c>
      <c r="R23" s="25">
        <v>55</v>
      </c>
      <c r="S23" s="85">
        <v>20.438900000000004</v>
      </c>
    </row>
    <row r="24" spans="1:19">
      <c r="B24" s="22">
        <f>C13</f>
        <v>55</v>
      </c>
      <c r="C24" s="25">
        <f>C14</f>
        <v>385</v>
      </c>
      <c r="D24" s="23">
        <f>C15</f>
        <v>3025</v>
      </c>
      <c r="F24" s="1"/>
      <c r="G24" s="84">
        <f>C18</f>
        <v>109.1187</v>
      </c>
      <c r="H24" s="25">
        <v>385</v>
      </c>
      <c r="I24" s="23">
        <v>3025</v>
      </c>
      <c r="K24" s="1"/>
      <c r="L24" s="22">
        <v>55</v>
      </c>
      <c r="M24" s="83">
        <v>109.1187</v>
      </c>
      <c r="N24" s="23">
        <v>3025</v>
      </c>
      <c r="P24" s="1"/>
      <c r="Q24" s="22">
        <v>55</v>
      </c>
      <c r="R24" s="25">
        <v>385</v>
      </c>
      <c r="S24" s="85">
        <v>109.1187</v>
      </c>
    </row>
    <row r="25" spans="1:19">
      <c r="B25" s="22">
        <f>C14</f>
        <v>385</v>
      </c>
      <c r="C25" s="25">
        <f>C15</f>
        <v>3025</v>
      </c>
      <c r="D25" s="23">
        <f>C16</f>
        <v>25333</v>
      </c>
      <c r="G25" s="84">
        <f>C19</f>
        <v>746.61130000000003</v>
      </c>
      <c r="H25" s="25">
        <v>3025</v>
      </c>
      <c r="I25" s="23">
        <v>25333</v>
      </c>
      <c r="L25" s="22">
        <v>385</v>
      </c>
      <c r="M25" s="83">
        <v>746.61130000000003</v>
      </c>
      <c r="N25" s="23">
        <v>25333</v>
      </c>
      <c r="Q25" s="22">
        <v>385</v>
      </c>
      <c r="R25" s="25">
        <v>3025</v>
      </c>
      <c r="S25" s="85">
        <v>746.61130000000003</v>
      </c>
    </row>
    <row r="26" spans="1:19" ht="15.75">
      <c r="A26" s="21" t="s">
        <v>38</v>
      </c>
      <c r="B26" s="20">
        <f>MDETERM(B23:D25)</f>
        <v>435600.00000000594</v>
      </c>
      <c r="F26" s="24" t="s">
        <v>41</v>
      </c>
      <c r="G26" s="20">
        <f>MDETERM(G23:I25)</f>
        <v>912711.95400000131</v>
      </c>
      <c r="K26" s="24" t="s">
        <v>188</v>
      </c>
      <c r="L26" s="20">
        <f>MDETERM(L23:N25)</f>
        <v>19251.375000000349</v>
      </c>
      <c r="P26" s="24" t="s">
        <v>189</v>
      </c>
      <c r="Q26" s="20">
        <f>MDETERM(Q23:S25)</f>
        <v>-3331.8450000000535</v>
      </c>
    </row>
    <row r="27" spans="1:19">
      <c r="A27" s="24" t="s">
        <v>43</v>
      </c>
      <c r="B27" s="25">
        <f>G26/B26</f>
        <v>2.0952983333333077</v>
      </c>
    </row>
    <row r="28" spans="1:19">
      <c r="A28" s="24" t="s">
        <v>44</v>
      </c>
      <c r="B28" s="25">
        <f>L26/B26</f>
        <v>4.4195075757575954E-2</v>
      </c>
    </row>
    <row r="29" spans="1:19">
      <c r="A29" s="24" t="s">
        <v>190</v>
      </c>
      <c r="B29" s="25">
        <f>Q26/B26</f>
        <v>-7.648863636363655E-3</v>
      </c>
    </row>
    <row r="30" spans="1:19">
      <c r="A30" s="88"/>
      <c r="B30" s="88"/>
      <c r="C30" s="88"/>
      <c r="D30" s="88"/>
      <c r="E30" s="88"/>
      <c r="F30" s="88"/>
      <c r="G30" s="88"/>
      <c r="H30" s="88"/>
    </row>
    <row r="31" spans="1:19">
      <c r="A31" s="44" t="s">
        <v>191</v>
      </c>
      <c r="B31" s="87"/>
      <c r="C31" s="87"/>
      <c r="D31" s="87"/>
      <c r="E31" s="87"/>
      <c r="H31" s="90"/>
    </row>
    <row r="32" spans="1:19">
      <c r="A32" s="91" t="s">
        <v>46</v>
      </c>
      <c r="B32" s="30">
        <f>B27</f>
        <v>2.0952983333333077</v>
      </c>
      <c r="C32" s="31" t="s">
        <v>47</v>
      </c>
      <c r="D32" s="30">
        <f>B28</f>
        <v>4.4195075757575954E-2</v>
      </c>
      <c r="E32" s="89" t="s">
        <v>48</v>
      </c>
      <c r="F32" s="31" t="s">
        <v>47</v>
      </c>
      <c r="G32" s="30">
        <f>B29</f>
        <v>-7.648863636363655E-3</v>
      </c>
      <c r="H32" s="32" t="s">
        <v>192</v>
      </c>
    </row>
    <row r="34" spans="1:17">
      <c r="A34" s="14" t="s">
        <v>193</v>
      </c>
    </row>
    <row r="48" spans="1:17">
      <c r="Q48" t="s">
        <v>2</v>
      </c>
    </row>
    <row r="49" spans="1:25" ht="15.75" thickBot="1"/>
    <row r="50" spans="1:25">
      <c r="Q50" s="171" t="s">
        <v>3</v>
      </c>
      <c r="R50" s="171"/>
    </row>
    <row r="51" spans="1:25">
      <c r="A51" s="14" t="s">
        <v>385</v>
      </c>
      <c r="Q51" s="168" t="s">
        <v>4</v>
      </c>
      <c r="R51" s="168">
        <v>0.99982321319255929</v>
      </c>
    </row>
    <row r="52" spans="1:25">
      <c r="B52" s="80" t="s">
        <v>182</v>
      </c>
      <c r="C52" s="80" t="s">
        <v>322</v>
      </c>
      <c r="D52" s="80" t="s">
        <v>183</v>
      </c>
      <c r="F52" t="s">
        <v>2</v>
      </c>
      <c r="Q52" s="168" t="s">
        <v>5</v>
      </c>
      <c r="R52" s="168">
        <v>0.99964645763869397</v>
      </c>
    </row>
    <row r="53" spans="1:25" ht="15.75" thickBot="1">
      <c r="B53" s="80">
        <v>1</v>
      </c>
      <c r="C53" s="139">
        <f>B53^2</f>
        <v>1</v>
      </c>
      <c r="D53" s="80">
        <v>2.1299000000000001</v>
      </c>
      <c r="E53" s="1"/>
      <c r="Q53" s="168" t="s">
        <v>6</v>
      </c>
      <c r="R53" s="168">
        <v>0.99954544553546376</v>
      </c>
    </row>
    <row r="54" spans="1:25">
      <c r="B54" s="80">
        <v>2</v>
      </c>
      <c r="C54" s="139">
        <f t="shared" ref="C54:C62" si="3">B54^2</f>
        <v>4</v>
      </c>
      <c r="D54" s="80">
        <v>2.1532</v>
      </c>
      <c r="E54" s="1"/>
      <c r="F54" s="4" t="s">
        <v>3</v>
      </c>
      <c r="G54" s="4"/>
      <c r="Q54" s="168" t="s">
        <v>7</v>
      </c>
      <c r="R54" s="168">
        <v>2.8654302427715784E-3</v>
      </c>
    </row>
    <row r="55" spans="1:25" ht="15.75" thickBot="1">
      <c r="B55" s="80">
        <v>3</v>
      </c>
      <c r="C55" s="139">
        <f t="shared" si="3"/>
        <v>9</v>
      </c>
      <c r="D55" s="80">
        <v>2.1610999999999998</v>
      </c>
      <c r="E55" s="1"/>
      <c r="F55" t="s">
        <v>4</v>
      </c>
      <c r="G55">
        <v>0.99982321319255929</v>
      </c>
      <c r="Q55" s="169" t="s">
        <v>8</v>
      </c>
      <c r="R55" s="169">
        <v>10</v>
      </c>
    </row>
    <row r="56" spans="1:25">
      <c r="B56" s="80">
        <v>4</v>
      </c>
      <c r="C56" s="139">
        <f t="shared" si="3"/>
        <v>16</v>
      </c>
      <c r="D56" s="80">
        <v>2.1516000000000002</v>
      </c>
      <c r="F56" t="s">
        <v>5</v>
      </c>
      <c r="G56" s="140">
        <v>0.99964645763869397</v>
      </c>
    </row>
    <row r="57" spans="1:25" ht="15.75" thickBot="1">
      <c r="B57" s="80">
        <v>5</v>
      </c>
      <c r="C57" s="139">
        <f t="shared" si="3"/>
        <v>25</v>
      </c>
      <c r="D57" s="80">
        <v>2.1282000000000001</v>
      </c>
      <c r="F57" t="s">
        <v>6</v>
      </c>
      <c r="G57">
        <v>0.99954544553546376</v>
      </c>
      <c r="Q57" t="s">
        <v>9</v>
      </c>
    </row>
    <row r="58" spans="1:25">
      <c r="B58" s="80">
        <v>6</v>
      </c>
      <c r="C58" s="139">
        <f t="shared" si="3"/>
        <v>36</v>
      </c>
      <c r="D58" s="80">
        <v>2.0807000000000002</v>
      </c>
      <c r="F58" t="s">
        <v>7</v>
      </c>
      <c r="G58">
        <v>2.8654302427715784E-3</v>
      </c>
      <c r="Q58" s="170"/>
      <c r="R58" s="170" t="s">
        <v>13</v>
      </c>
      <c r="S58" s="170" t="s">
        <v>14</v>
      </c>
      <c r="T58" s="170" t="s">
        <v>15</v>
      </c>
      <c r="U58" s="170" t="s">
        <v>16</v>
      </c>
      <c r="V58" s="170" t="s">
        <v>265</v>
      </c>
    </row>
    <row r="59" spans="1:25" ht="15.75" thickBot="1">
      <c r="B59" s="80">
        <v>7</v>
      </c>
      <c r="C59" s="139">
        <f t="shared" si="3"/>
        <v>49</v>
      </c>
      <c r="D59" s="80">
        <v>2.0266000000000002</v>
      </c>
      <c r="F59" s="2" t="s">
        <v>8</v>
      </c>
      <c r="G59" s="2">
        <v>10</v>
      </c>
      <c r="Q59" s="168" t="s">
        <v>10</v>
      </c>
      <c r="R59" s="168">
        <v>2</v>
      </c>
      <c r="S59" s="168">
        <v>0.16251097416666674</v>
      </c>
      <c r="T59" s="168">
        <v>8.1255487083333369E-2</v>
      </c>
      <c r="U59" s="168">
        <v>9896.3037662867082</v>
      </c>
      <c r="V59" s="168">
        <v>8.3089300699798961E-13</v>
      </c>
    </row>
    <row r="60" spans="1:25">
      <c r="B60" s="80">
        <v>8</v>
      </c>
      <c r="C60" s="139">
        <f t="shared" si="3"/>
        <v>64</v>
      </c>
      <c r="D60" s="80">
        <v>1.9594</v>
      </c>
      <c r="Q60" s="168" t="s">
        <v>11</v>
      </c>
      <c r="R60" s="168">
        <v>7</v>
      </c>
      <c r="S60" s="168">
        <v>5.7474833333329905E-5</v>
      </c>
      <c r="T60" s="168">
        <v>8.2106904761899867E-6</v>
      </c>
      <c r="U60" s="168"/>
      <c r="V60" s="168"/>
    </row>
    <row r="61" spans="1:25" ht="15.75" thickBot="1">
      <c r="B61" s="80">
        <v>9</v>
      </c>
      <c r="C61" s="139">
        <f t="shared" si="3"/>
        <v>81</v>
      </c>
      <c r="D61" s="80">
        <v>1.8758999999999999</v>
      </c>
      <c r="F61" t="s">
        <v>9</v>
      </c>
      <c r="Q61" s="169" t="s">
        <v>12</v>
      </c>
      <c r="R61" s="169">
        <v>9</v>
      </c>
      <c r="S61" s="169">
        <v>0.16256844900000006</v>
      </c>
      <c r="T61" s="169"/>
      <c r="U61" s="169"/>
      <c r="V61" s="169"/>
    </row>
    <row r="62" spans="1:25" ht="15.75" thickBot="1">
      <c r="B62" s="80">
        <v>10</v>
      </c>
      <c r="C62" s="139">
        <f t="shared" si="3"/>
        <v>100</v>
      </c>
      <c r="D62" s="80">
        <v>1.7723</v>
      </c>
      <c r="F62" s="3"/>
      <c r="G62" s="3" t="s">
        <v>13</v>
      </c>
      <c r="H62" s="3" t="s">
        <v>14</v>
      </c>
      <c r="I62" s="3" t="s">
        <v>15</v>
      </c>
      <c r="J62" s="3" t="s">
        <v>16</v>
      </c>
      <c r="K62" s="3" t="s">
        <v>265</v>
      </c>
    </row>
    <row r="63" spans="1:25">
      <c r="B63" s="1"/>
      <c r="C63" s="1"/>
      <c r="D63" s="1"/>
      <c r="F63" t="s">
        <v>10</v>
      </c>
      <c r="G63">
        <v>2</v>
      </c>
      <c r="H63">
        <v>0.16251097416666674</v>
      </c>
      <c r="I63">
        <v>8.1255487083333369E-2</v>
      </c>
      <c r="J63">
        <v>9896.3037662867082</v>
      </c>
      <c r="K63">
        <v>8.3089300699798961E-13</v>
      </c>
      <c r="Q63" s="170"/>
      <c r="R63" s="170" t="s">
        <v>266</v>
      </c>
      <c r="S63" s="170" t="s">
        <v>7</v>
      </c>
      <c r="T63" s="170" t="s">
        <v>17</v>
      </c>
      <c r="U63" s="170" t="s">
        <v>18</v>
      </c>
      <c r="V63" s="170" t="s">
        <v>19</v>
      </c>
      <c r="W63" s="170" t="s">
        <v>20</v>
      </c>
      <c r="X63" s="170" t="s">
        <v>391</v>
      </c>
      <c r="Y63" s="170" t="s">
        <v>392</v>
      </c>
    </row>
    <row r="64" spans="1:25">
      <c r="B64" s="1"/>
      <c r="C64" s="1"/>
      <c r="D64" s="1"/>
      <c r="F64" t="s">
        <v>11</v>
      </c>
      <c r="G64">
        <v>7</v>
      </c>
      <c r="H64">
        <v>5.7474833333329905E-5</v>
      </c>
      <c r="I64">
        <v>8.2106904761899867E-6</v>
      </c>
      <c r="Q64" s="168" t="s">
        <v>80</v>
      </c>
      <c r="R64" s="168">
        <v>2.0952983333333335</v>
      </c>
      <c r="S64" s="168">
        <v>3.3701812748569079E-3</v>
      </c>
      <c r="T64" s="168">
        <v>621.71680466128521</v>
      </c>
      <c r="U64" s="168">
        <v>7.3553355309070788E-18</v>
      </c>
      <c r="V64" s="168">
        <v>2.0873291209585432</v>
      </c>
      <c r="W64" s="168">
        <v>2.1032675457081238</v>
      </c>
      <c r="X64" s="168">
        <v>2.0873291209585432</v>
      </c>
      <c r="Y64" s="168">
        <v>2.1032675457081238</v>
      </c>
    </row>
    <row r="65" spans="1:25" ht="15.75" thickBot="1">
      <c r="B65" s="1"/>
      <c r="C65" s="1"/>
      <c r="D65" s="1"/>
      <c r="F65" s="2" t="s">
        <v>12</v>
      </c>
      <c r="G65" s="2">
        <v>9</v>
      </c>
      <c r="H65" s="2">
        <v>0.16256844900000006</v>
      </c>
      <c r="I65" s="2"/>
      <c r="J65" s="2"/>
      <c r="K65" s="2"/>
      <c r="Q65" s="168" t="s">
        <v>182</v>
      </c>
      <c r="R65" s="168">
        <v>4.4195075757575822E-2</v>
      </c>
      <c r="S65" s="168">
        <v>1.4075297824144681E-3</v>
      </c>
      <c r="T65" s="168">
        <v>31.39903418722967</v>
      </c>
      <c r="U65" s="168">
        <v>8.5862028890595174E-9</v>
      </c>
      <c r="V65" s="168">
        <v>4.0866796699239455E-2</v>
      </c>
      <c r="W65" s="168">
        <v>4.7523354815912189E-2</v>
      </c>
      <c r="X65" s="168">
        <v>4.0866796699239455E-2</v>
      </c>
      <c r="Y65" s="168">
        <v>4.7523354815912189E-2</v>
      </c>
    </row>
    <row r="66" spans="1:25" ht="15.75" thickBot="1">
      <c r="B66" s="1"/>
      <c r="C66" s="1"/>
      <c r="D66" s="1"/>
      <c r="Q66" s="169" t="s">
        <v>322</v>
      </c>
      <c r="R66" s="169">
        <v>-7.648863636363642E-3</v>
      </c>
      <c r="S66" s="169">
        <v>1.2470184499156065E-4</v>
      </c>
      <c r="T66" s="169">
        <v>-61.337213069151368</v>
      </c>
      <c r="U66" s="169">
        <v>8.0388755197580405E-11</v>
      </c>
      <c r="V66" s="169">
        <v>-7.9437366432490511E-3</v>
      </c>
      <c r="W66" s="169">
        <v>-7.3539906294782338E-3</v>
      </c>
      <c r="X66" s="169">
        <v>-7.9437366432490511E-3</v>
      </c>
      <c r="Y66" s="169">
        <v>-7.3539906294782338E-3</v>
      </c>
    </row>
    <row r="67" spans="1:25">
      <c r="B67" s="1"/>
      <c r="C67" s="1"/>
      <c r="D67" s="1"/>
      <c r="F67" s="3"/>
      <c r="G67" s="3" t="s">
        <v>266</v>
      </c>
      <c r="H67" s="3" t="s">
        <v>7</v>
      </c>
      <c r="I67" s="3" t="s">
        <v>17</v>
      </c>
      <c r="J67" s="3" t="s">
        <v>18</v>
      </c>
      <c r="K67" s="3" t="s">
        <v>19</v>
      </c>
      <c r="L67" s="3" t="s">
        <v>20</v>
      </c>
      <c r="M67" s="3" t="s">
        <v>21</v>
      </c>
      <c r="N67" s="3" t="s">
        <v>22</v>
      </c>
    </row>
    <row r="68" spans="1:25">
      <c r="F68" t="s">
        <v>80</v>
      </c>
      <c r="G68" s="109">
        <v>2.0952983333333335</v>
      </c>
      <c r="H68">
        <v>3.3701812748569079E-3</v>
      </c>
      <c r="I68">
        <v>621.71680466128521</v>
      </c>
      <c r="J68">
        <v>7.3553355309070788E-18</v>
      </c>
      <c r="K68">
        <v>2.0873291209585432</v>
      </c>
      <c r="L68">
        <v>2.1032675457081238</v>
      </c>
      <c r="M68">
        <v>2.0873291209585432</v>
      </c>
      <c r="N68">
        <v>2.1032675457081238</v>
      </c>
    </row>
    <row r="69" spans="1:25">
      <c r="F69" t="s">
        <v>182</v>
      </c>
      <c r="G69" s="109">
        <v>4.4195075757575822E-2</v>
      </c>
      <c r="H69">
        <v>1.4075297824144681E-3</v>
      </c>
      <c r="I69">
        <v>31.39903418722967</v>
      </c>
      <c r="J69">
        <v>8.5862028890595174E-9</v>
      </c>
      <c r="K69">
        <v>4.0866796699239455E-2</v>
      </c>
      <c r="L69">
        <v>4.7523354815912189E-2</v>
      </c>
      <c r="M69">
        <v>4.0866796699239455E-2</v>
      </c>
      <c r="N69">
        <v>4.7523354815912189E-2</v>
      </c>
    </row>
    <row r="70" spans="1:25" ht="15.75" thickBot="1">
      <c r="F70" s="2" t="s">
        <v>322</v>
      </c>
      <c r="G70" s="120">
        <v>-7.648863636363642E-3</v>
      </c>
      <c r="H70" s="2">
        <v>1.2470184499156065E-4</v>
      </c>
      <c r="I70" s="2">
        <v>-61.337213069151368</v>
      </c>
      <c r="J70" s="2">
        <v>8.0388755197580405E-11</v>
      </c>
      <c r="K70" s="2">
        <v>-7.9437366432490511E-3</v>
      </c>
      <c r="L70" s="2">
        <v>-7.3539906294782338E-3</v>
      </c>
      <c r="M70" s="2">
        <v>-7.9437366432490511E-3</v>
      </c>
      <c r="N70" s="2">
        <v>-7.3539906294782338E-3</v>
      </c>
    </row>
    <row r="71" spans="1:25">
      <c r="A71" s="5"/>
      <c r="B71" s="5"/>
      <c r="F71" s="161" t="s">
        <v>71</v>
      </c>
      <c r="G71" s="78">
        <f>G68</f>
        <v>2.0952983333333335</v>
      </c>
      <c r="H71" s="78" t="s">
        <v>374</v>
      </c>
      <c r="I71" s="78">
        <f>G69</f>
        <v>4.4195075757575822E-2</v>
      </c>
      <c r="J71" s="78" t="s">
        <v>375</v>
      </c>
      <c r="K71" s="78">
        <f>G70</f>
        <v>-7.648863636363642E-3</v>
      </c>
      <c r="L71" s="78" t="s">
        <v>376</v>
      </c>
    </row>
    <row r="79" spans="1:25">
      <c r="A79" s="43"/>
      <c r="B79" s="43"/>
      <c r="C79" s="43"/>
      <c r="D79" s="43"/>
      <c r="E79" s="43"/>
      <c r="F79" s="43"/>
    </row>
    <row r="84" spans="1:9">
      <c r="A84" s="43"/>
      <c r="B84" s="43"/>
      <c r="C84" s="43"/>
      <c r="D84" s="43"/>
      <c r="E84" s="43"/>
      <c r="F84" s="43"/>
      <c r="G84" s="43"/>
      <c r="H84" s="43"/>
      <c r="I84" s="43"/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35"/>
  <sheetViews>
    <sheetView workbookViewId="0">
      <selection activeCell="O31" sqref="O31"/>
    </sheetView>
  </sheetViews>
  <sheetFormatPr defaultRowHeight="15"/>
  <cols>
    <col min="1" max="1" width="15.5703125" customWidth="1"/>
  </cols>
  <sheetData>
    <row r="1" spans="1:12">
      <c r="A1" t="s">
        <v>197</v>
      </c>
      <c r="B1" t="s">
        <v>194</v>
      </c>
    </row>
    <row r="2" spans="1:12">
      <c r="B2" t="s">
        <v>195</v>
      </c>
    </row>
    <row r="3" spans="1:12">
      <c r="B3" t="s">
        <v>196</v>
      </c>
    </row>
    <row r="4" spans="1:12">
      <c r="B4" s="92" t="s">
        <v>0</v>
      </c>
      <c r="C4" s="6" t="s">
        <v>1</v>
      </c>
    </row>
    <row r="5" spans="1:12">
      <c r="B5" s="82">
        <v>560</v>
      </c>
      <c r="C5" s="1">
        <v>2845</v>
      </c>
    </row>
    <row r="6" spans="1:12">
      <c r="B6" s="82">
        <v>580</v>
      </c>
      <c r="C6" s="1">
        <v>2597</v>
      </c>
    </row>
    <row r="7" spans="1:12">
      <c r="B7" s="82">
        <v>600</v>
      </c>
      <c r="C7" s="1">
        <v>1227</v>
      </c>
    </row>
    <row r="8" spans="1:12">
      <c r="B8" s="82">
        <v>630</v>
      </c>
      <c r="C8" s="1">
        <v>1200</v>
      </c>
    </row>
    <row r="9" spans="1:12">
      <c r="B9" s="82">
        <v>650</v>
      </c>
      <c r="C9" s="1">
        <v>728</v>
      </c>
    </row>
    <row r="10" spans="1:12">
      <c r="B10" s="82">
        <v>700</v>
      </c>
      <c r="C10" s="1">
        <v>600</v>
      </c>
    </row>
    <row r="12" spans="1:12">
      <c r="A12" t="s">
        <v>2</v>
      </c>
      <c r="L12" t="s">
        <v>32</v>
      </c>
    </row>
    <row r="13" spans="1:12" ht="15.75" thickBot="1"/>
    <row r="14" spans="1:12">
      <c r="A14" s="4" t="s">
        <v>3</v>
      </c>
      <c r="B14" s="4"/>
    </row>
    <row r="15" spans="1:12">
      <c r="A15" t="s">
        <v>4</v>
      </c>
      <c r="B15" s="143">
        <v>0.89080438753050106</v>
      </c>
    </row>
    <row r="16" spans="1:12">
      <c r="A16" t="s">
        <v>5</v>
      </c>
      <c r="B16">
        <v>0.79353245684359119</v>
      </c>
    </row>
    <row r="17" spans="1:9">
      <c r="A17" t="s">
        <v>6</v>
      </c>
      <c r="B17">
        <v>0.74191557105448902</v>
      </c>
    </row>
    <row r="18" spans="1:9">
      <c r="A18" t="s">
        <v>7</v>
      </c>
      <c r="B18">
        <v>486.0283790648549</v>
      </c>
    </row>
    <row r="19" spans="1:9" ht="15.75" thickBot="1">
      <c r="A19" s="2" t="s">
        <v>8</v>
      </c>
      <c r="B19" s="2">
        <v>6</v>
      </c>
    </row>
    <row r="21" spans="1:9" ht="15.75" thickBot="1">
      <c r="A21" t="s">
        <v>9</v>
      </c>
    </row>
    <row r="22" spans="1:9">
      <c r="A22" s="3"/>
      <c r="B22" s="3" t="s">
        <v>13</v>
      </c>
      <c r="C22" s="3" t="s">
        <v>14</v>
      </c>
      <c r="D22" s="3" t="s">
        <v>15</v>
      </c>
      <c r="E22" s="3" t="s">
        <v>16</v>
      </c>
      <c r="F22" s="3" t="s">
        <v>265</v>
      </c>
    </row>
    <row r="23" spans="1:9">
      <c r="A23" t="s">
        <v>10</v>
      </c>
      <c r="B23">
        <v>1</v>
      </c>
      <c r="C23">
        <v>3631584.4923076918</v>
      </c>
      <c r="D23">
        <v>3631584.4923076918</v>
      </c>
      <c r="E23">
        <v>15.37350509842515</v>
      </c>
      <c r="F23">
        <v>1.723451580631287E-2</v>
      </c>
    </row>
    <row r="24" spans="1:9">
      <c r="A24" t="s">
        <v>11</v>
      </c>
      <c r="B24">
        <v>4</v>
      </c>
      <c r="C24">
        <v>944894.34102564119</v>
      </c>
      <c r="D24">
        <v>236223.5852564103</v>
      </c>
    </row>
    <row r="25" spans="1:9" ht="15.75" thickBot="1">
      <c r="A25" s="2" t="s">
        <v>12</v>
      </c>
      <c r="B25" s="2">
        <v>5</v>
      </c>
      <c r="C25" s="2">
        <v>4576478.833333333</v>
      </c>
      <c r="D25" s="2"/>
      <c r="E25" s="2"/>
      <c r="F25" s="2"/>
    </row>
    <row r="26" spans="1:9" ht="15.75" thickBot="1"/>
    <row r="27" spans="1:9">
      <c r="A27" s="3"/>
      <c r="B27" s="3" t="s">
        <v>266</v>
      </c>
      <c r="C27" s="3" t="s">
        <v>7</v>
      </c>
      <c r="D27" s="3" t="s">
        <v>17</v>
      </c>
      <c r="E27" s="3" t="s">
        <v>18</v>
      </c>
      <c r="F27" s="3" t="s">
        <v>19</v>
      </c>
      <c r="G27" s="3" t="s">
        <v>20</v>
      </c>
      <c r="H27" s="3" t="s">
        <v>21</v>
      </c>
      <c r="I27" s="3" t="s">
        <v>22</v>
      </c>
    </row>
    <row r="28" spans="1:9">
      <c r="A28" t="s">
        <v>80</v>
      </c>
      <c r="B28">
        <v>11895.417948717948</v>
      </c>
      <c r="C28">
        <v>2650.3434311659666</v>
      </c>
      <c r="D28">
        <v>4.4882552988556625</v>
      </c>
      <c r="E28">
        <v>1.0920419129450508E-2</v>
      </c>
      <c r="F28">
        <v>4536.8849021640754</v>
      </c>
      <c r="G28">
        <v>19253.950995271822</v>
      </c>
      <c r="H28">
        <v>4536.8849021640754</v>
      </c>
      <c r="I28">
        <v>19253.950995271822</v>
      </c>
    </row>
    <row r="29" spans="1:9" ht="15.75" thickBot="1">
      <c r="A29" s="2" t="s">
        <v>0</v>
      </c>
      <c r="B29" s="144">
        <v>-16.713846153846152</v>
      </c>
      <c r="C29" s="2">
        <v>4.2627508746962759</v>
      </c>
      <c r="D29" s="2">
        <v>-3.9209061578192803</v>
      </c>
      <c r="E29" s="2">
        <v>1.723451580631287E-2</v>
      </c>
      <c r="F29" s="2">
        <v>-28.54913995457424</v>
      </c>
      <c r="G29" s="2">
        <v>-4.8785523531180637</v>
      </c>
      <c r="H29" s="2">
        <v>-28.54913995457424</v>
      </c>
      <c r="I29" s="2">
        <v>-4.8785523531180637</v>
      </c>
    </row>
    <row r="31" spans="1:9">
      <c r="A31" s="165" t="s">
        <v>46</v>
      </c>
      <c r="B31" s="78">
        <f>B28</f>
        <v>11895.417948717948</v>
      </c>
      <c r="C31" s="87" t="s">
        <v>47</v>
      </c>
      <c r="D31" s="78">
        <f>B29</f>
        <v>-16.713846153846152</v>
      </c>
      <c r="E31" s="78" t="s">
        <v>48</v>
      </c>
    </row>
    <row r="32" spans="1:9">
      <c r="A32" s="165" t="s">
        <v>383</v>
      </c>
      <c r="B32" s="78">
        <f>B28</f>
        <v>11895.417948717948</v>
      </c>
      <c r="C32" s="87" t="s">
        <v>47</v>
      </c>
      <c r="D32" s="78">
        <f>B29</f>
        <v>-16.713846153846152</v>
      </c>
      <c r="E32" s="78" t="s">
        <v>384</v>
      </c>
    </row>
    <row r="33" spans="1:4">
      <c r="A33" s="21" t="s">
        <v>214</v>
      </c>
      <c r="B33" s="143">
        <f>CORREL(B5:B10,C5:C10)</f>
        <v>-0.89080438753050106</v>
      </c>
      <c r="C33" s="143">
        <f>PEARSON(B5:B10,C5:C10)</f>
        <v>-0.89080438753050106</v>
      </c>
    </row>
    <row r="34" spans="1:4">
      <c r="A34" s="21" t="s">
        <v>215</v>
      </c>
      <c r="B34">
        <f>B28+B29*640</f>
        <v>1198.5564102564113</v>
      </c>
      <c r="C34" t="s">
        <v>381</v>
      </c>
    </row>
    <row r="35" spans="1:4">
      <c r="B35" s="21" t="s">
        <v>380</v>
      </c>
      <c r="C35">
        <f>(1300-B28)/B29</f>
        <v>633.93056578301423</v>
      </c>
      <c r="D35" t="s">
        <v>382</v>
      </c>
    </row>
  </sheetData>
  <pageMargins left="0.7" right="0.7" top="0.75" bottom="0.75" header="0.3" footer="0.3"/>
  <drawing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topLeftCell="A7" workbookViewId="0">
      <selection activeCell="M55" sqref="M55"/>
    </sheetView>
  </sheetViews>
  <sheetFormatPr defaultRowHeight="15"/>
  <cols>
    <col min="2" max="2" width="10.140625" customWidth="1"/>
  </cols>
  <sheetData>
    <row r="1" spans="2:13" ht="17.25">
      <c r="B1" t="s">
        <v>386</v>
      </c>
    </row>
    <row r="2" spans="2:13">
      <c r="B2" t="s">
        <v>198</v>
      </c>
    </row>
    <row r="3" spans="2:13">
      <c r="B3" t="s">
        <v>199</v>
      </c>
    </row>
    <row r="4" spans="2:13">
      <c r="B4" t="s">
        <v>201</v>
      </c>
    </row>
    <row r="5" spans="2:13">
      <c r="B5" t="s">
        <v>200</v>
      </c>
    </row>
    <row r="7" spans="2:13">
      <c r="B7" s="6" t="s">
        <v>0</v>
      </c>
      <c r="C7" s="6" t="s">
        <v>1</v>
      </c>
      <c r="E7" t="s">
        <v>216</v>
      </c>
      <c r="M7" t="s">
        <v>217</v>
      </c>
    </row>
    <row r="8" spans="2:13">
      <c r="B8" s="1">
        <v>10</v>
      </c>
      <c r="C8">
        <v>1</v>
      </c>
    </row>
    <row r="9" spans="2:13">
      <c r="B9" s="1">
        <v>20</v>
      </c>
      <c r="C9">
        <v>0.997</v>
      </c>
    </row>
    <row r="10" spans="2:13">
      <c r="B10" s="1">
        <v>30</v>
      </c>
      <c r="C10">
        <v>0.996</v>
      </c>
    </row>
    <row r="11" spans="2:13">
      <c r="B11" s="1">
        <v>40</v>
      </c>
      <c r="C11">
        <v>0.99299999999999999</v>
      </c>
    </row>
    <row r="12" spans="2:13">
      <c r="B12" s="1">
        <v>50</v>
      </c>
      <c r="C12">
        <v>0.98699999999999999</v>
      </c>
    </row>
    <row r="13" spans="2:13">
      <c r="B13" s="1">
        <v>60</v>
      </c>
      <c r="C13">
        <v>0.98299999999999998</v>
      </c>
    </row>
    <row r="23" spans="1:13">
      <c r="B23" s="21" t="s">
        <v>306</v>
      </c>
      <c r="C23" s="166">
        <f>CORREL(B8:B13,C8:C13)</f>
        <v>-0.97479612203108534</v>
      </c>
      <c r="M23" t="s">
        <v>350</v>
      </c>
    </row>
    <row r="24" spans="1:13">
      <c r="B24" s="21" t="s">
        <v>307</v>
      </c>
      <c r="C24" s="167">
        <f>SQRT(0.9502)</f>
        <v>0.97478202691678717</v>
      </c>
      <c r="D24" t="s">
        <v>308</v>
      </c>
      <c r="M24" t="s">
        <v>337</v>
      </c>
    </row>
    <row r="25" spans="1:13">
      <c r="M25" t="s">
        <v>338</v>
      </c>
    </row>
    <row r="26" spans="1:13">
      <c r="A26" t="s">
        <v>367</v>
      </c>
    </row>
    <row r="27" spans="1:13">
      <c r="B27" t="s">
        <v>309</v>
      </c>
    </row>
    <row r="28" spans="1:13">
      <c r="B28" t="s">
        <v>310</v>
      </c>
      <c r="D28" s="21" t="s">
        <v>311</v>
      </c>
      <c r="E28">
        <f>-0.0003*100+1.0045</f>
        <v>0.97449999999999992</v>
      </c>
    </row>
    <row r="29" spans="1:13">
      <c r="D29" s="21" t="s">
        <v>312</v>
      </c>
      <c r="E29">
        <f>-0.0003*0+1.0045</f>
        <v>1.0044999999999999</v>
      </c>
      <c r="G29" t="s">
        <v>387</v>
      </c>
    </row>
    <row r="31" spans="1:13">
      <c r="B31" t="s">
        <v>313</v>
      </c>
    </row>
    <row r="32" spans="1:13">
      <c r="D32" s="21" t="s">
        <v>311</v>
      </c>
      <c r="E32">
        <f>-4*10^(-6)*100^2-2*10^(-5)*100+1.0003</f>
        <v>0.95829999999999993</v>
      </c>
    </row>
    <row r="33" spans="2:5">
      <c r="D33" s="21" t="s">
        <v>312</v>
      </c>
      <c r="E33">
        <f>-4*10^(-6)*0^2-2*10^(-5)*0+1.0003</f>
        <v>1.0003</v>
      </c>
    </row>
    <row r="35" spans="2:5">
      <c r="B35" t="s">
        <v>314</v>
      </c>
    </row>
    <row r="36" spans="2:5">
      <c r="B36" t="s">
        <v>315</v>
      </c>
    </row>
    <row r="37" spans="2:5">
      <c r="C37" t="s">
        <v>316</v>
      </c>
    </row>
    <row r="39" spans="2:5">
      <c r="B39" t="s">
        <v>388</v>
      </c>
    </row>
    <row r="40" spans="2:5">
      <c r="B40" s="20">
        <f>(0.99-1.0045)/(-0.0003)</f>
        <v>48.333333333333194</v>
      </c>
      <c r="C40" t="s">
        <v>317</v>
      </c>
    </row>
    <row r="52" spans="2:8">
      <c r="B52" t="s">
        <v>327</v>
      </c>
    </row>
    <row r="53" spans="2:8">
      <c r="B53" t="s">
        <v>328</v>
      </c>
      <c r="G53" t="s">
        <v>329</v>
      </c>
    </row>
    <row r="54" spans="2:8">
      <c r="B54" t="s">
        <v>330</v>
      </c>
      <c r="C54">
        <v>0.97450000000000003</v>
      </c>
      <c r="G54" t="s">
        <v>330</v>
      </c>
      <c r="H54">
        <v>0.95830000000000004</v>
      </c>
    </row>
    <row r="55" spans="2:8">
      <c r="B55" t="s">
        <v>331</v>
      </c>
      <c r="C55">
        <v>1.0044999999999999</v>
      </c>
      <c r="G55" t="s">
        <v>331</v>
      </c>
      <c r="H55">
        <v>1.0003</v>
      </c>
    </row>
    <row r="57" spans="2:8">
      <c r="B57" t="s">
        <v>332</v>
      </c>
    </row>
    <row r="58" spans="2:8">
      <c r="B58" t="s">
        <v>333</v>
      </c>
    </row>
    <row r="59" spans="2:8">
      <c r="B59" t="s">
        <v>328</v>
      </c>
    </row>
    <row r="60" spans="2:8">
      <c r="B60" t="s">
        <v>334</v>
      </c>
      <c r="C60">
        <v>0.99399999999999999</v>
      </c>
    </row>
    <row r="62" spans="2:8">
      <c r="B62" t="s">
        <v>335</v>
      </c>
    </row>
    <row r="63" spans="2:8">
      <c r="B63" t="s">
        <v>336</v>
      </c>
      <c r="C63">
        <v>45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N36"/>
  <sheetViews>
    <sheetView workbookViewId="0">
      <selection activeCell="N35" sqref="N35"/>
    </sheetView>
  </sheetViews>
  <sheetFormatPr defaultRowHeight="15"/>
  <sheetData>
    <row r="1" spans="2:13">
      <c r="B1" t="s">
        <v>202</v>
      </c>
    </row>
    <row r="2" spans="2:13">
      <c r="B2" t="s">
        <v>203</v>
      </c>
    </row>
    <row r="3" spans="2:13">
      <c r="B3" s="80" t="s">
        <v>204</v>
      </c>
      <c r="C3" s="80">
        <v>10000</v>
      </c>
      <c r="D3" s="80">
        <v>20000</v>
      </c>
      <c r="E3" s="80">
        <v>50000</v>
      </c>
      <c r="F3" s="80">
        <v>100000</v>
      </c>
      <c r="G3" s="80">
        <v>150000</v>
      </c>
      <c r="H3" s="80">
        <v>200000</v>
      </c>
    </row>
    <row r="4" spans="2:13">
      <c r="B4" s="80" t="s">
        <v>205</v>
      </c>
      <c r="C4" s="80">
        <v>3.2000000000000001E-2</v>
      </c>
      <c r="D4" s="80">
        <v>2.5999999999999999E-2</v>
      </c>
      <c r="E4" s="80">
        <v>2.1000000000000001E-2</v>
      </c>
      <c r="F4" s="80">
        <v>1.7999999999999999E-2</v>
      </c>
      <c r="G4" s="80">
        <v>1.6E-2</v>
      </c>
      <c r="H4" s="80">
        <v>1.4999999999999999E-2</v>
      </c>
    </row>
    <row r="5" spans="2:13">
      <c r="B5" t="s">
        <v>206</v>
      </c>
      <c r="M5" t="s">
        <v>323</v>
      </c>
    </row>
    <row r="6" spans="2:13">
      <c r="B6" t="s">
        <v>207</v>
      </c>
    </row>
    <row r="7" spans="2:13">
      <c r="B7" t="s">
        <v>208</v>
      </c>
    </row>
    <row r="8" spans="2:13">
      <c r="I8" t="s">
        <v>325</v>
      </c>
    </row>
    <row r="9" spans="2:13">
      <c r="B9" s="80" t="s">
        <v>204</v>
      </c>
      <c r="C9" s="80" t="s">
        <v>205</v>
      </c>
      <c r="E9" s="1" t="s">
        <v>209</v>
      </c>
      <c r="F9" s="1" t="s">
        <v>210</v>
      </c>
    </row>
    <row r="10" spans="2:13">
      <c r="B10" s="80">
        <v>10000</v>
      </c>
      <c r="C10" s="80">
        <v>3.2000000000000001E-2</v>
      </c>
      <c r="E10" s="79">
        <f>LN(B10)</f>
        <v>9.2103403719761836</v>
      </c>
      <c r="F10" s="79">
        <f>LN(C10)</f>
        <v>-3.4420193761824103</v>
      </c>
    </row>
    <row r="11" spans="2:13">
      <c r="B11" s="80">
        <v>20000</v>
      </c>
      <c r="C11" s="80">
        <v>2.5999999999999999E-2</v>
      </c>
      <c r="E11" s="79">
        <f t="shared" ref="E11:F15" si="0">LN(B11)</f>
        <v>9.9034875525361272</v>
      </c>
      <c r="F11" s="79">
        <f t="shared" si="0"/>
        <v>-3.6496587409606551</v>
      </c>
    </row>
    <row r="12" spans="2:13">
      <c r="B12" s="80">
        <v>50000</v>
      </c>
      <c r="C12" s="80">
        <v>2.1000000000000001E-2</v>
      </c>
      <c r="E12" s="79">
        <f t="shared" si="0"/>
        <v>10.819778284410283</v>
      </c>
      <c r="F12" s="79">
        <f t="shared" si="0"/>
        <v>-3.8632328412587138</v>
      </c>
    </row>
    <row r="13" spans="2:13">
      <c r="B13" s="80">
        <v>100000</v>
      </c>
      <c r="C13" s="80">
        <v>1.7999999999999999E-2</v>
      </c>
      <c r="E13" s="79">
        <f t="shared" si="0"/>
        <v>11.512925464970229</v>
      </c>
      <c r="F13" s="79">
        <f t="shared" si="0"/>
        <v>-4.0173835210859723</v>
      </c>
    </row>
    <row r="14" spans="2:13">
      <c r="B14" s="80">
        <v>150000</v>
      </c>
      <c r="C14" s="80">
        <v>1.6E-2</v>
      </c>
      <c r="E14" s="79">
        <f t="shared" si="0"/>
        <v>11.918390573078392</v>
      </c>
      <c r="F14" s="79">
        <f>LN(C14)</f>
        <v>-4.1351665567423561</v>
      </c>
    </row>
    <row r="15" spans="2:13">
      <c r="B15" s="80">
        <v>200000</v>
      </c>
      <c r="C15" s="80">
        <v>1.4999999999999999E-2</v>
      </c>
      <c r="E15" s="79">
        <f>LN(B15)</f>
        <v>12.206072645530174</v>
      </c>
      <c r="F15" s="79">
        <f t="shared" si="0"/>
        <v>-4.1997050778799272</v>
      </c>
    </row>
    <row r="17" spans="2:8">
      <c r="B17" t="s">
        <v>324</v>
      </c>
    </row>
    <row r="18" spans="2:8">
      <c r="B18" t="s">
        <v>2</v>
      </c>
    </row>
    <row r="19" spans="2:8" ht="15.75" thickBot="1"/>
    <row r="20" spans="2:8">
      <c r="B20" s="4" t="s">
        <v>3</v>
      </c>
      <c r="C20" s="4"/>
    </row>
    <row r="21" spans="2:8">
      <c r="B21" t="s">
        <v>4</v>
      </c>
      <c r="C21">
        <v>0.99901591492593511</v>
      </c>
    </row>
    <row r="22" spans="2:8">
      <c r="B22" t="s">
        <v>5</v>
      </c>
      <c r="C22">
        <v>0.99803279827530322</v>
      </c>
      <c r="D22">
        <f>D29/D31</f>
        <v>0.99803279827530322</v>
      </c>
      <c r="F22" t="s">
        <v>326</v>
      </c>
      <c r="H22">
        <f>SQRT(D22)</f>
        <v>0.99901591492593511</v>
      </c>
    </row>
    <row r="23" spans="2:8">
      <c r="B23" t="s">
        <v>6</v>
      </c>
      <c r="C23">
        <v>0.99754099784412897</v>
      </c>
      <c r="G23" t="s">
        <v>306</v>
      </c>
      <c r="H23" s="142">
        <f>PEARSON(E10:E15,F10:F15)</f>
        <v>-0.999015914925935</v>
      </c>
    </row>
    <row r="24" spans="2:8">
      <c r="B24" t="s">
        <v>7</v>
      </c>
      <c r="C24">
        <v>1.4563067546942962E-2</v>
      </c>
    </row>
    <row r="25" spans="2:8" ht="15.75" thickBot="1">
      <c r="B25" s="2" t="s">
        <v>8</v>
      </c>
      <c r="C25" s="2">
        <v>6</v>
      </c>
    </row>
    <row r="27" spans="2:8" ht="15.75" thickBot="1">
      <c r="B27" t="s">
        <v>9</v>
      </c>
    </row>
    <row r="28" spans="2:8">
      <c r="B28" s="3"/>
      <c r="C28" s="3" t="s">
        <v>13</v>
      </c>
      <c r="D28" s="3" t="s">
        <v>14</v>
      </c>
      <c r="E28" s="3" t="s">
        <v>15</v>
      </c>
      <c r="F28" s="3" t="s">
        <v>16</v>
      </c>
      <c r="G28" s="3" t="s">
        <v>265</v>
      </c>
    </row>
    <row r="29" spans="2:8">
      <c r="B29" t="s">
        <v>10</v>
      </c>
      <c r="C29">
        <v>1</v>
      </c>
      <c r="D29">
        <v>0.43038946906419073</v>
      </c>
      <c r="E29">
        <v>0.43038946906419073</v>
      </c>
      <c r="F29">
        <v>2029.3451062912775</v>
      </c>
      <c r="G29">
        <v>1.4521586439730832E-6</v>
      </c>
    </row>
    <row r="30" spans="2:8">
      <c r="B30" t="s">
        <v>11</v>
      </c>
      <c r="C30">
        <v>4</v>
      </c>
      <c r="D30">
        <v>8.4833174550729318E-4</v>
      </c>
      <c r="E30">
        <v>2.1208293637682329E-4</v>
      </c>
    </row>
    <row r="31" spans="2:8" ht="15.75" thickBot="1">
      <c r="B31" s="2" t="s">
        <v>12</v>
      </c>
      <c r="C31" s="2">
        <v>5</v>
      </c>
      <c r="D31" s="2">
        <v>0.43123780080969804</v>
      </c>
      <c r="E31" s="2"/>
      <c r="F31" s="2"/>
      <c r="G31" s="2"/>
    </row>
    <row r="32" spans="2:8" ht="15.75" thickBot="1"/>
    <row r="33" spans="2:14">
      <c r="B33" s="3"/>
      <c r="C33" s="3" t="s">
        <v>266</v>
      </c>
      <c r="D33" s="3" t="s">
        <v>7</v>
      </c>
      <c r="E33" s="3" t="s">
        <v>17</v>
      </c>
      <c r="F33" s="3" t="s">
        <v>18</v>
      </c>
      <c r="G33" s="3" t="s">
        <v>19</v>
      </c>
      <c r="H33" s="3" t="s">
        <v>20</v>
      </c>
      <c r="I33" s="3" t="s">
        <v>21</v>
      </c>
      <c r="J33" s="3" t="s">
        <v>22</v>
      </c>
    </row>
    <row r="34" spans="2:14">
      <c r="B34" t="s">
        <v>80</v>
      </c>
      <c r="C34" s="109">
        <v>-1.1685142313059984</v>
      </c>
      <c r="D34">
        <v>6.0583632579077139E-2</v>
      </c>
      <c r="E34">
        <v>-19.287622441272209</v>
      </c>
      <c r="F34">
        <v>4.2588612201664877E-5</v>
      </c>
      <c r="G34">
        <v>-1.3367213614352786</v>
      </c>
      <c r="H34">
        <v>-1.0003071011767182</v>
      </c>
      <c r="I34">
        <v>-1.3367213614352786</v>
      </c>
      <c r="J34">
        <v>-1.0003071011767182</v>
      </c>
      <c r="M34" s="21" t="s">
        <v>211</v>
      </c>
      <c r="N34" s="93">
        <f>EXP(C34)</f>
        <v>0.31082841748904055</v>
      </c>
    </row>
    <row r="35" spans="2:14" ht="15.75" thickBot="1">
      <c r="B35" s="2" t="s">
        <v>81</v>
      </c>
      <c r="C35" s="120">
        <v>-0.24852575064615406</v>
      </c>
      <c r="D35" s="2">
        <v>5.5168787602042834E-3</v>
      </c>
      <c r="E35" s="2">
        <v>-45.048253088119601</v>
      </c>
      <c r="F35" s="2">
        <v>1.4521586439730832E-6</v>
      </c>
      <c r="G35" s="2">
        <v>-0.26384306167589294</v>
      </c>
      <c r="H35" s="2">
        <v>-0.23320843961641521</v>
      </c>
      <c r="I35" s="2">
        <v>-0.26384306167589294</v>
      </c>
      <c r="J35" s="2">
        <v>-0.23320843961641521</v>
      </c>
      <c r="M35" s="21" t="s">
        <v>212</v>
      </c>
      <c r="N35" s="93">
        <f>C35</f>
        <v>-0.24852575064615406</v>
      </c>
    </row>
    <row r="36" spans="2:14">
      <c r="B36" s="161" t="s">
        <v>377</v>
      </c>
      <c r="C36" s="78">
        <f>C34</f>
        <v>-1.1685142313059984</v>
      </c>
      <c r="D36" s="78" t="s">
        <v>369</v>
      </c>
      <c r="E36" s="78">
        <f>C35</f>
        <v>-0.24852575064615406</v>
      </c>
      <c r="F36" s="78" t="s">
        <v>378</v>
      </c>
    </row>
  </sheetData>
  <pageMargins left="0.7" right="0.7" top="0.75" bottom="0.75" header="0.3" footer="0.3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76"/>
  <sheetViews>
    <sheetView topLeftCell="A34" workbookViewId="0">
      <selection activeCell="L64" sqref="L64"/>
    </sheetView>
  </sheetViews>
  <sheetFormatPr defaultRowHeight="15"/>
  <cols>
    <col min="5" max="5" width="10.42578125" customWidth="1"/>
    <col min="8" max="8" width="14" customWidth="1"/>
    <col min="11" max="11" width="10.28515625" customWidth="1"/>
  </cols>
  <sheetData>
    <row r="1" spans="2:5">
      <c r="B1" s="6" t="s">
        <v>218</v>
      </c>
      <c r="C1" s="6" t="s">
        <v>205</v>
      </c>
      <c r="E1" t="s">
        <v>228</v>
      </c>
    </row>
    <row r="2" spans="2:5">
      <c r="B2">
        <v>1.3</v>
      </c>
      <c r="C2">
        <v>2.2999999999999998</v>
      </c>
    </row>
    <row r="3" spans="2:5">
      <c r="B3">
        <v>1.3</v>
      </c>
      <c r="C3">
        <v>1.8</v>
      </c>
    </row>
    <row r="4" spans="2:5">
      <c r="B4">
        <v>2</v>
      </c>
      <c r="C4">
        <v>2.8</v>
      </c>
    </row>
    <row r="5" spans="2:5">
      <c r="B5">
        <v>2</v>
      </c>
      <c r="C5">
        <v>1.5</v>
      </c>
    </row>
    <row r="6" spans="2:5">
      <c r="B6">
        <v>2.7</v>
      </c>
      <c r="C6">
        <v>2.2000000000000002</v>
      </c>
    </row>
    <row r="7" spans="2:5">
      <c r="B7">
        <v>3.3</v>
      </c>
      <c r="C7">
        <v>3.8</v>
      </c>
    </row>
    <row r="8" spans="2:5">
      <c r="B8">
        <v>3.3</v>
      </c>
      <c r="C8">
        <v>1.8</v>
      </c>
    </row>
    <row r="9" spans="2:5">
      <c r="B9">
        <v>3.7</v>
      </c>
      <c r="C9">
        <v>3.7</v>
      </c>
    </row>
    <row r="10" spans="2:5">
      <c r="B10">
        <v>3.7</v>
      </c>
      <c r="C10">
        <v>1.7</v>
      </c>
    </row>
    <row r="11" spans="2:5">
      <c r="B11">
        <v>4</v>
      </c>
      <c r="C11">
        <v>2.8</v>
      </c>
    </row>
    <row r="12" spans="2:5">
      <c r="B12">
        <v>4</v>
      </c>
      <c r="C12">
        <v>2.8</v>
      </c>
    </row>
    <row r="13" spans="2:5">
      <c r="B13">
        <v>4</v>
      </c>
      <c r="C13">
        <v>2.2000000000000002</v>
      </c>
    </row>
    <row r="14" spans="2:5">
      <c r="B14">
        <v>4.7</v>
      </c>
      <c r="C14">
        <v>3.2</v>
      </c>
    </row>
    <row r="15" spans="2:5">
      <c r="B15">
        <v>4.7</v>
      </c>
      <c r="C15">
        <v>1.9</v>
      </c>
    </row>
    <row r="16" spans="2:5">
      <c r="B16">
        <v>5</v>
      </c>
      <c r="C16">
        <v>1.8</v>
      </c>
    </row>
    <row r="17" spans="2:10">
      <c r="B17">
        <v>5.3</v>
      </c>
      <c r="C17">
        <v>3.5</v>
      </c>
    </row>
    <row r="18" spans="2:10">
      <c r="B18">
        <v>5.3</v>
      </c>
      <c r="C18">
        <v>2.8</v>
      </c>
    </row>
    <row r="19" spans="2:10">
      <c r="B19">
        <v>5.3</v>
      </c>
      <c r="C19">
        <v>2.1</v>
      </c>
    </row>
    <row r="20" spans="2:10">
      <c r="B20">
        <v>5.7</v>
      </c>
      <c r="C20">
        <v>3.4</v>
      </c>
    </row>
    <row r="21" spans="2:10">
      <c r="B21">
        <v>6</v>
      </c>
      <c r="C21">
        <v>3.2</v>
      </c>
    </row>
    <row r="22" spans="2:10">
      <c r="B22">
        <v>6</v>
      </c>
      <c r="C22">
        <v>3</v>
      </c>
      <c r="E22" t="s">
        <v>2</v>
      </c>
    </row>
    <row r="23" spans="2:10" ht="15.75" thickBot="1">
      <c r="B23">
        <v>6.3</v>
      </c>
      <c r="C23">
        <v>3</v>
      </c>
    </row>
    <row r="24" spans="2:10">
      <c r="B24">
        <v>6.7</v>
      </c>
      <c r="C24">
        <v>5.9</v>
      </c>
      <c r="E24" s="4" t="s">
        <v>3</v>
      </c>
      <c r="F24" s="4"/>
    </row>
    <row r="25" spans="2:10">
      <c r="E25" t="s">
        <v>4</v>
      </c>
      <c r="F25">
        <v>0.51446324703633317</v>
      </c>
    </row>
    <row r="26" spans="2:10">
      <c r="E26" t="s">
        <v>5</v>
      </c>
      <c r="F26">
        <v>0.26467243255116718</v>
      </c>
    </row>
    <row r="27" spans="2:10">
      <c r="E27" t="s">
        <v>6</v>
      </c>
      <c r="F27">
        <v>0.22965683410122276</v>
      </c>
    </row>
    <row r="28" spans="2:10">
      <c r="E28" t="s">
        <v>7</v>
      </c>
      <c r="F28">
        <v>0.85295532752331782</v>
      </c>
    </row>
    <row r="29" spans="2:10" ht="15.75" thickBot="1">
      <c r="E29" s="2" t="s">
        <v>8</v>
      </c>
      <c r="F29" s="2">
        <v>23</v>
      </c>
    </row>
    <row r="31" spans="2:10" ht="15.75" thickBot="1">
      <c r="E31" t="s">
        <v>9</v>
      </c>
    </row>
    <row r="32" spans="2:10">
      <c r="E32" s="3"/>
      <c r="F32" s="3" t="s">
        <v>13</v>
      </c>
      <c r="G32" s="3" t="s">
        <v>14</v>
      </c>
      <c r="H32" s="3" t="s">
        <v>15</v>
      </c>
      <c r="I32" s="3" t="s">
        <v>16</v>
      </c>
      <c r="J32" s="3" t="s">
        <v>265</v>
      </c>
    </row>
    <row r="33" spans="1:17">
      <c r="E33" t="s">
        <v>10</v>
      </c>
      <c r="F33">
        <v>1</v>
      </c>
      <c r="G33">
        <v>5.4992026985892082</v>
      </c>
      <c r="H33">
        <v>5.4992026985892082</v>
      </c>
      <c r="I33">
        <v>7.5587008152815764</v>
      </c>
      <c r="J33">
        <v>1.2017376847748265E-2</v>
      </c>
    </row>
    <row r="34" spans="1:17">
      <c r="E34" t="s">
        <v>11</v>
      </c>
      <c r="F34">
        <v>21</v>
      </c>
      <c r="G34">
        <v>15.278188605758618</v>
      </c>
      <c r="H34">
        <v>0.72753279075041044</v>
      </c>
    </row>
    <row r="35" spans="1:17" ht="15.75" thickBot="1">
      <c r="E35" s="2" t="s">
        <v>12</v>
      </c>
      <c r="F35" s="2">
        <v>22</v>
      </c>
      <c r="G35" s="2">
        <v>20.777391304347827</v>
      </c>
      <c r="H35" s="2"/>
      <c r="I35" s="2"/>
      <c r="J35" s="2"/>
    </row>
    <row r="36" spans="1:17" ht="15.75" thickBot="1"/>
    <row r="37" spans="1:17">
      <c r="E37" s="3"/>
      <c r="F37" s="3" t="s">
        <v>266</v>
      </c>
      <c r="G37" s="3" t="s">
        <v>7</v>
      </c>
      <c r="H37" s="3" t="s">
        <v>17</v>
      </c>
      <c r="I37" s="3" t="s">
        <v>18</v>
      </c>
      <c r="J37" s="3" t="s">
        <v>19</v>
      </c>
      <c r="K37" s="3" t="s">
        <v>20</v>
      </c>
      <c r="L37" s="3" t="s">
        <v>21</v>
      </c>
      <c r="M37" s="3" t="s">
        <v>22</v>
      </c>
    </row>
    <row r="38" spans="1:17">
      <c r="E38" t="s">
        <v>80</v>
      </c>
      <c r="F38">
        <v>1.4256449273077041</v>
      </c>
      <c r="G38">
        <v>0.51274759888388832</v>
      </c>
      <c r="H38">
        <v>2.7804029319902117</v>
      </c>
      <c r="I38">
        <v>1.1211092246343498E-2</v>
      </c>
      <c r="J38">
        <v>0.35932792181789486</v>
      </c>
      <c r="K38">
        <v>2.4919619327975133</v>
      </c>
      <c r="L38">
        <v>0.35932792181789486</v>
      </c>
      <c r="M38">
        <v>2.4919619327975133</v>
      </c>
    </row>
    <row r="39" spans="1:17" ht="15.75" thickBot="1">
      <c r="E39" s="2" t="s">
        <v>218</v>
      </c>
      <c r="F39" s="2">
        <v>0.31578573906461888</v>
      </c>
      <c r="G39" s="2">
        <v>0.11486003267144373</v>
      </c>
      <c r="H39" s="2">
        <v>2.749309152365659</v>
      </c>
      <c r="I39" s="2">
        <v>1.2017376847748271E-2</v>
      </c>
      <c r="J39" s="2">
        <v>7.6921224915210834E-2</v>
      </c>
      <c r="K39" s="2">
        <v>0.55465025321402694</v>
      </c>
      <c r="L39" s="2">
        <v>7.6921224915210834E-2</v>
      </c>
      <c r="M39" s="2">
        <v>0.55465025321402694</v>
      </c>
    </row>
    <row r="42" spans="1:17">
      <c r="A42" s="94" t="s">
        <v>219</v>
      </c>
    </row>
    <row r="43" spans="1:17">
      <c r="A43" t="s">
        <v>272</v>
      </c>
    </row>
    <row r="44" spans="1:17" ht="30">
      <c r="E44" s="95" t="s">
        <v>220</v>
      </c>
      <c r="F44" s="1" t="s">
        <v>221</v>
      </c>
      <c r="G44" s="1" t="s">
        <v>222</v>
      </c>
      <c r="H44" t="s">
        <v>223</v>
      </c>
      <c r="I44" s="1" t="s">
        <v>224</v>
      </c>
      <c r="L44" t="s">
        <v>14</v>
      </c>
      <c r="M44" t="s">
        <v>13</v>
      </c>
      <c r="N44" t="s">
        <v>15</v>
      </c>
      <c r="O44" t="s">
        <v>16</v>
      </c>
      <c r="P44" t="s">
        <v>225</v>
      </c>
      <c r="Q44" t="s">
        <v>269</v>
      </c>
    </row>
    <row r="45" spans="1:17">
      <c r="A45" t="s">
        <v>237</v>
      </c>
      <c r="E45" s="96">
        <v>1.3</v>
      </c>
      <c r="F45" s="96">
        <v>2.2999999999999998</v>
      </c>
      <c r="G45" s="98">
        <f>AVERAGE(F45:F46)</f>
        <v>2.0499999999999998</v>
      </c>
      <c r="H45" s="98">
        <f>(F45-$G$45)^2</f>
        <v>6.25E-2</v>
      </c>
      <c r="I45" s="98">
        <v>1</v>
      </c>
      <c r="K45" t="s">
        <v>10</v>
      </c>
      <c r="L45">
        <f>G33</f>
        <v>5.4992026985892082</v>
      </c>
      <c r="M45">
        <v>1</v>
      </c>
      <c r="N45">
        <f>L45/M45</f>
        <v>5.4992026985892082</v>
      </c>
    </row>
    <row r="46" spans="1:17">
      <c r="A46" t="s">
        <v>238</v>
      </c>
      <c r="E46" s="1">
        <v>1.3</v>
      </c>
      <c r="F46" s="1">
        <v>1.8</v>
      </c>
      <c r="G46" s="25"/>
      <c r="H46" s="163">
        <f>(F46-$G$45)^2</f>
        <v>6.2499999999999889E-2</v>
      </c>
      <c r="I46" s="25"/>
      <c r="K46" t="s">
        <v>11</v>
      </c>
      <c r="L46">
        <f>G34</f>
        <v>15.278188605758618</v>
      </c>
      <c r="M46">
        <f>F34</f>
        <v>21</v>
      </c>
      <c r="N46">
        <f>L46/M46</f>
        <v>0.72753279075041044</v>
      </c>
    </row>
    <row r="47" spans="1:17">
      <c r="A47" t="s">
        <v>226</v>
      </c>
      <c r="E47" s="1">
        <v>2</v>
      </c>
      <c r="F47" s="1">
        <v>2.8</v>
      </c>
      <c r="G47" s="25">
        <f>AVERAGE(F47:F48)</f>
        <v>2.15</v>
      </c>
      <c r="H47" s="163">
        <f>(F47-$G$47)^2</f>
        <v>0.42249999999999988</v>
      </c>
      <c r="I47" s="25">
        <v>1</v>
      </c>
      <c r="K47" s="21" t="s">
        <v>239</v>
      </c>
      <c r="L47">
        <f>L46-L48</f>
        <v>8.2231886057586188</v>
      </c>
      <c r="M47">
        <f>M46-M48</f>
        <v>11</v>
      </c>
      <c r="N47">
        <f>L47/M47</f>
        <v>0.74756260052351076</v>
      </c>
      <c r="O47" s="97">
        <f>N47/N48</f>
        <v>1.0596209787718085</v>
      </c>
      <c r="P47">
        <f>_xlfn.F.INV(0.95,M47,M48)</f>
        <v>2.9429572680064884</v>
      </c>
      <c r="Q47">
        <f>1-_xlfn.F.DIST(O47,M47,M48,1)</f>
        <v>0.46750713257593268</v>
      </c>
    </row>
    <row r="48" spans="1:17">
      <c r="E48" s="1">
        <v>2</v>
      </c>
      <c r="F48" s="1">
        <v>1.5</v>
      </c>
      <c r="G48" s="25"/>
      <c r="H48" s="163">
        <f>(F48-$G$47)^2</f>
        <v>0.42249999999999988</v>
      </c>
      <c r="I48" s="25"/>
      <c r="K48" s="21" t="s">
        <v>240</v>
      </c>
      <c r="L48">
        <f>H66</f>
        <v>7.0549999999999988</v>
      </c>
      <c r="M48">
        <f>I66</f>
        <v>10</v>
      </c>
      <c r="N48">
        <f>L48/M48</f>
        <v>0.7054999999999999</v>
      </c>
    </row>
    <row r="49" spans="1:16" ht="15.75" thickBot="1">
      <c r="E49" s="1"/>
      <c r="F49" s="1"/>
      <c r="G49" s="25"/>
      <c r="H49" s="163"/>
      <c r="I49" s="25"/>
      <c r="K49" s="2" t="s">
        <v>12</v>
      </c>
      <c r="L49">
        <f>G35</f>
        <v>20.777391304347827</v>
      </c>
    </row>
    <row r="50" spans="1:16">
      <c r="E50" s="1">
        <v>3.3</v>
      </c>
      <c r="F50" s="1">
        <v>3.8</v>
      </c>
      <c r="G50" s="25">
        <f>AVERAGE(F50:F51)</f>
        <v>2.8</v>
      </c>
      <c r="H50" s="163">
        <f>(F50-$G$50)^2</f>
        <v>1</v>
      </c>
      <c r="I50" s="25">
        <v>1</v>
      </c>
    </row>
    <row r="51" spans="1:16">
      <c r="E51" s="1">
        <v>3.3</v>
      </c>
      <c r="F51" s="1">
        <v>1.8</v>
      </c>
      <c r="G51" s="25"/>
      <c r="H51" s="163">
        <f>(F51-$G$50)^2</f>
        <v>0.99999999999999956</v>
      </c>
      <c r="I51" s="25"/>
    </row>
    <row r="52" spans="1:16">
      <c r="E52" s="1">
        <v>3.7</v>
      </c>
      <c r="F52" s="1">
        <v>3.7</v>
      </c>
      <c r="G52" s="25">
        <f>AVERAGE(F52:F53)</f>
        <v>2.7</v>
      </c>
      <c r="H52" s="163">
        <f>(F52-$G$52)^2</f>
        <v>1</v>
      </c>
      <c r="I52" s="25">
        <v>1</v>
      </c>
      <c r="K52" t="s">
        <v>229</v>
      </c>
    </row>
    <row r="53" spans="1:16">
      <c r="E53" s="1">
        <v>3.7</v>
      </c>
      <c r="F53" s="1">
        <v>1.7</v>
      </c>
      <c r="G53" s="25"/>
      <c r="H53" s="163">
        <f>(F53-$G$52)^2</f>
        <v>1.0000000000000004</v>
      </c>
      <c r="I53" s="25"/>
      <c r="P53" s="100" t="s">
        <v>232</v>
      </c>
    </row>
    <row r="54" spans="1:16">
      <c r="E54" s="1">
        <v>4</v>
      </c>
      <c r="F54" s="1">
        <v>2.8</v>
      </c>
      <c r="G54" s="25">
        <f>AVERAGE(F54:F56)</f>
        <v>2.6</v>
      </c>
      <c r="H54" s="163">
        <f>(F54-$G$54)^2</f>
        <v>3.9999999999999897E-2</v>
      </c>
      <c r="I54" s="25">
        <v>2</v>
      </c>
    </row>
    <row r="55" spans="1:16">
      <c r="E55" s="1">
        <v>4</v>
      </c>
      <c r="F55" s="1">
        <v>2.8</v>
      </c>
      <c r="G55" s="25"/>
      <c r="H55" s="163">
        <f>(F55-$G$54)^2</f>
        <v>3.9999999999999897E-2</v>
      </c>
      <c r="I55" s="25"/>
      <c r="K55" t="s">
        <v>236</v>
      </c>
    </row>
    <row r="56" spans="1:16">
      <c r="E56" s="1">
        <v>4</v>
      </c>
      <c r="F56" s="1">
        <v>2.2000000000000002</v>
      </c>
      <c r="G56" s="25"/>
      <c r="H56" s="163">
        <f>(F56-$G$54)^2</f>
        <v>0.15999999999999992</v>
      </c>
      <c r="I56" s="25"/>
      <c r="K56" t="s">
        <v>233</v>
      </c>
    </row>
    <row r="57" spans="1:16">
      <c r="E57" s="1">
        <v>4.7</v>
      </c>
      <c r="F57" s="1">
        <v>3.2</v>
      </c>
      <c r="G57" s="25">
        <f>AVERAGE(F57:F58)</f>
        <v>2.5499999999999998</v>
      </c>
      <c r="H57" s="163">
        <f>(F57-$G$57)^2</f>
        <v>0.42250000000000049</v>
      </c>
      <c r="I57" s="25">
        <v>1</v>
      </c>
      <c r="K57" t="s">
        <v>234</v>
      </c>
    </row>
    <row r="58" spans="1:16">
      <c r="E58" s="1">
        <v>4.7</v>
      </c>
      <c r="F58" s="1">
        <v>1.9</v>
      </c>
      <c r="G58" s="25"/>
      <c r="H58" s="163">
        <f t="shared" ref="H58" si="0">(F58-$G$57)^2</f>
        <v>0.42249999999999988</v>
      </c>
      <c r="I58" s="25"/>
    </row>
    <row r="59" spans="1:16">
      <c r="A59" t="s">
        <v>230</v>
      </c>
      <c r="E59" s="1"/>
      <c r="F59" s="1"/>
      <c r="G59" s="25"/>
      <c r="H59" s="163"/>
      <c r="I59" s="25"/>
      <c r="K59" t="s">
        <v>235</v>
      </c>
    </row>
    <row r="60" spans="1:16">
      <c r="A60" t="s">
        <v>231</v>
      </c>
      <c r="E60" s="1">
        <v>5.3</v>
      </c>
      <c r="F60" s="1">
        <v>3.5</v>
      </c>
      <c r="G60" s="25">
        <f>AVERAGE(F60:F62)</f>
        <v>2.8000000000000003</v>
      </c>
      <c r="H60" s="163">
        <f>(F60-$G$60)^2</f>
        <v>0.4899999999999996</v>
      </c>
      <c r="I60" s="25">
        <v>2</v>
      </c>
    </row>
    <row r="61" spans="1:16">
      <c r="E61" s="1">
        <v>5.3</v>
      </c>
      <c r="F61" s="1">
        <v>2.8</v>
      </c>
      <c r="G61" s="25"/>
      <c r="H61" s="163">
        <f t="shared" ref="H61:H62" si="1">(F61-$G$60)^2</f>
        <v>1.9721522630525295E-31</v>
      </c>
      <c r="I61" s="25"/>
    </row>
    <row r="62" spans="1:16">
      <c r="E62" s="1">
        <v>5.3</v>
      </c>
      <c r="F62" s="1">
        <v>2.1</v>
      </c>
      <c r="G62" s="25"/>
      <c r="H62" s="163">
        <f t="shared" si="1"/>
        <v>0.49000000000000027</v>
      </c>
      <c r="I62" s="25"/>
    </row>
    <row r="63" spans="1:16">
      <c r="E63" s="1"/>
      <c r="F63" s="1"/>
      <c r="G63" s="25"/>
      <c r="H63" s="163"/>
      <c r="I63" s="25"/>
    </row>
    <row r="64" spans="1:16">
      <c r="E64" s="1">
        <v>6</v>
      </c>
      <c r="F64" s="1">
        <v>3.2</v>
      </c>
      <c r="G64" s="25">
        <f>AVERAGE(F64:F65)</f>
        <v>3.1</v>
      </c>
      <c r="H64" s="163">
        <f>(F64-$G$64)^2</f>
        <v>1.0000000000000018E-2</v>
      </c>
      <c r="I64" s="25">
        <v>1</v>
      </c>
    </row>
    <row r="65" spans="5:9">
      <c r="E65" s="1">
        <v>6</v>
      </c>
      <c r="F65" s="1">
        <v>3</v>
      </c>
      <c r="G65" s="1"/>
      <c r="H65" s="164">
        <f>(F65-$G$64)^2</f>
        <v>1.0000000000000018E-2</v>
      </c>
      <c r="I65" s="1"/>
    </row>
    <row r="66" spans="5:9">
      <c r="E66" s="96" t="s">
        <v>227</v>
      </c>
      <c r="F66" s="96"/>
      <c r="G66" s="96"/>
      <c r="H66" s="162">
        <f>SUM(H45:H65)</f>
        <v>7.0549999999999988</v>
      </c>
      <c r="I66" s="98">
        <f>SUM(I45:I64)</f>
        <v>10</v>
      </c>
    </row>
    <row r="67" spans="5:9" ht="13.5" customHeight="1"/>
    <row r="68" spans="5:9" hidden="1"/>
    <row r="69" spans="5:9" hidden="1"/>
    <row r="70" spans="5:9" hidden="1"/>
    <row r="71" spans="5:9" hidden="1"/>
    <row r="72" spans="5:9" hidden="1"/>
    <row r="73" spans="5:9" hidden="1"/>
    <row r="74" spans="5:9" hidden="1"/>
    <row r="75" spans="5:9" hidden="1"/>
    <row r="76" spans="5:9" hidden="1"/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19"/>
  <sheetViews>
    <sheetView topLeftCell="A91" workbookViewId="0">
      <selection activeCell="K103" sqref="K103"/>
    </sheetView>
  </sheetViews>
  <sheetFormatPr defaultRowHeight="15"/>
  <cols>
    <col min="5" max="5" width="10.42578125" customWidth="1"/>
    <col min="8" max="8" width="15.28515625" customWidth="1"/>
    <col min="10" max="10" width="22.42578125" customWidth="1"/>
    <col min="11" max="11" width="13.7109375" customWidth="1"/>
    <col min="12" max="12" width="14" customWidth="1"/>
    <col min="13" max="13" width="16.7109375" customWidth="1"/>
  </cols>
  <sheetData>
    <row r="1" spans="1:13">
      <c r="A1" t="s">
        <v>228</v>
      </c>
    </row>
    <row r="2" spans="1:13">
      <c r="B2" s="6" t="s">
        <v>218</v>
      </c>
      <c r="C2" s="6" t="s">
        <v>205</v>
      </c>
    </row>
    <row r="3" spans="1:13">
      <c r="B3">
        <v>1</v>
      </c>
      <c r="C3">
        <v>2.2999999999999998</v>
      </c>
      <c r="E3" s="104"/>
      <c r="F3" s="101"/>
      <c r="G3" s="101"/>
      <c r="H3" s="101"/>
      <c r="I3" s="101"/>
      <c r="J3" s="101"/>
      <c r="K3" s="101"/>
      <c r="L3" s="101"/>
      <c r="M3" s="105"/>
    </row>
    <row r="4" spans="1:13">
      <c r="B4">
        <v>1</v>
      </c>
      <c r="C4">
        <v>1.8</v>
      </c>
      <c r="E4" s="39"/>
      <c r="F4" s="20"/>
      <c r="G4" s="20"/>
      <c r="H4" s="20"/>
      <c r="I4" s="20"/>
      <c r="J4" s="20"/>
      <c r="K4" s="20"/>
      <c r="L4" s="20"/>
      <c r="M4" s="40"/>
    </row>
    <row r="5" spans="1:13">
      <c r="B5">
        <v>2</v>
      </c>
      <c r="C5">
        <v>2.8</v>
      </c>
      <c r="E5" s="39"/>
      <c r="F5" s="20"/>
      <c r="G5" s="20"/>
      <c r="H5" s="20"/>
      <c r="I5" s="20"/>
      <c r="J5" s="20"/>
      <c r="K5" s="20"/>
      <c r="L5" s="20"/>
      <c r="M5" s="40"/>
    </row>
    <row r="6" spans="1:13">
      <c r="B6">
        <v>2</v>
      </c>
      <c r="C6">
        <v>2</v>
      </c>
      <c r="E6" s="39"/>
      <c r="F6" s="20"/>
      <c r="G6" s="20"/>
      <c r="H6" s="20"/>
      <c r="I6" s="20"/>
      <c r="J6" s="20"/>
      <c r="K6" s="20"/>
      <c r="L6" s="20"/>
      <c r="M6" s="40"/>
    </row>
    <row r="7" spans="1:13">
      <c r="B7">
        <v>3</v>
      </c>
      <c r="C7">
        <v>2.7</v>
      </c>
      <c r="E7" s="39"/>
      <c r="F7" s="20"/>
      <c r="G7" s="20"/>
      <c r="H7" s="20"/>
      <c r="I7" s="20"/>
      <c r="J7" s="20"/>
      <c r="K7" s="20"/>
      <c r="L7" s="20"/>
      <c r="M7" s="40"/>
    </row>
    <row r="8" spans="1:13">
      <c r="B8">
        <v>3</v>
      </c>
      <c r="C8">
        <v>3.5</v>
      </c>
      <c r="E8" s="39"/>
      <c r="F8" s="20"/>
      <c r="G8" s="20"/>
      <c r="H8" s="20"/>
      <c r="I8" s="20"/>
      <c r="J8" s="20"/>
      <c r="K8" s="20"/>
      <c r="L8" s="20"/>
      <c r="M8" s="40"/>
    </row>
    <row r="9" spans="1:13">
      <c r="B9">
        <v>4</v>
      </c>
      <c r="C9">
        <v>3.2</v>
      </c>
      <c r="E9" s="39"/>
      <c r="F9" s="20"/>
      <c r="G9" s="20"/>
      <c r="H9" s="20"/>
      <c r="I9" s="20"/>
      <c r="J9" s="20"/>
      <c r="K9" s="20"/>
      <c r="L9" s="20"/>
      <c r="M9" s="40"/>
    </row>
    <row r="10" spans="1:13">
      <c r="B10">
        <v>4</v>
      </c>
      <c r="C10">
        <v>3.7</v>
      </c>
      <c r="E10" s="39"/>
      <c r="F10" s="20"/>
      <c r="G10" s="20"/>
      <c r="H10" s="20"/>
      <c r="I10" s="20"/>
      <c r="J10" s="20"/>
      <c r="K10" s="20"/>
      <c r="L10" s="20"/>
      <c r="M10" s="40"/>
    </row>
    <row r="11" spans="1:13">
      <c r="B11">
        <v>5</v>
      </c>
      <c r="C11">
        <v>4</v>
      </c>
      <c r="E11" s="39"/>
      <c r="F11" s="20"/>
      <c r="G11" s="20"/>
      <c r="H11" s="20"/>
      <c r="I11" s="20"/>
      <c r="J11" s="20"/>
      <c r="K11" s="20"/>
      <c r="L11" s="20"/>
      <c r="M11" s="40"/>
    </row>
    <row r="12" spans="1:13">
      <c r="B12">
        <v>5</v>
      </c>
      <c r="C12">
        <v>3.5</v>
      </c>
      <c r="E12" s="39"/>
      <c r="F12" s="20"/>
      <c r="G12" s="20"/>
      <c r="H12" s="20"/>
      <c r="I12" s="20"/>
      <c r="J12" s="20"/>
      <c r="K12" s="20"/>
      <c r="L12" s="20"/>
      <c r="M12" s="40"/>
    </row>
    <row r="13" spans="1:13">
      <c r="B13">
        <v>6</v>
      </c>
      <c r="C13">
        <v>4.2</v>
      </c>
      <c r="E13" s="39"/>
      <c r="F13" s="20"/>
      <c r="G13" s="20"/>
      <c r="H13" s="20"/>
      <c r="I13" s="20"/>
      <c r="J13" s="20"/>
      <c r="K13" s="20"/>
      <c r="L13" s="20"/>
      <c r="M13" s="40"/>
    </row>
    <row r="14" spans="1:13">
      <c r="B14">
        <v>6</v>
      </c>
      <c r="C14">
        <v>4.3</v>
      </c>
      <c r="E14" s="39"/>
      <c r="F14" s="20"/>
      <c r="G14" s="20"/>
      <c r="H14" s="20"/>
      <c r="I14" s="20"/>
      <c r="J14" s="20"/>
      <c r="K14" s="20"/>
      <c r="L14" s="20"/>
      <c r="M14" s="40"/>
    </row>
    <row r="15" spans="1:13">
      <c r="B15">
        <v>7</v>
      </c>
      <c r="C15">
        <v>5.2</v>
      </c>
      <c r="E15" s="39"/>
      <c r="F15" s="20"/>
      <c r="G15" s="20"/>
      <c r="H15" s="20"/>
      <c r="I15" s="20"/>
      <c r="J15" s="20"/>
      <c r="K15" s="20"/>
      <c r="L15" s="20"/>
      <c r="M15" s="40"/>
    </row>
    <row r="16" spans="1:13">
      <c r="B16">
        <v>7</v>
      </c>
      <c r="C16">
        <v>4.9000000000000004</v>
      </c>
      <c r="E16" s="39"/>
      <c r="F16" s="20"/>
      <c r="G16" s="20"/>
      <c r="H16" s="20"/>
      <c r="I16" s="20"/>
      <c r="J16" s="20"/>
      <c r="K16" s="20"/>
      <c r="L16" s="20"/>
      <c r="M16" s="40"/>
    </row>
    <row r="17" spans="2:13">
      <c r="B17">
        <v>8</v>
      </c>
      <c r="C17">
        <v>5.3</v>
      </c>
      <c r="E17" s="39"/>
      <c r="F17" s="20"/>
      <c r="G17" s="20"/>
      <c r="H17" s="20"/>
      <c r="I17" s="20"/>
      <c r="J17" s="20"/>
      <c r="K17" s="20"/>
      <c r="L17" s="20"/>
      <c r="M17" s="40"/>
    </row>
    <row r="18" spans="2:13">
      <c r="B18">
        <v>8</v>
      </c>
      <c r="C18">
        <v>5.2</v>
      </c>
      <c r="E18" s="39"/>
      <c r="F18" s="20"/>
      <c r="G18" s="20"/>
      <c r="H18" s="20"/>
      <c r="I18" s="20"/>
      <c r="J18" s="20"/>
      <c r="K18" s="20"/>
      <c r="L18" s="20"/>
      <c r="M18" s="40"/>
    </row>
    <row r="19" spans="2:13">
      <c r="B19">
        <v>9</v>
      </c>
      <c r="C19">
        <v>6</v>
      </c>
      <c r="E19" s="106"/>
      <c r="F19" s="107"/>
      <c r="G19" s="107"/>
      <c r="H19" s="107"/>
      <c r="I19" s="107"/>
      <c r="J19" s="107"/>
      <c r="K19" s="107"/>
      <c r="L19" s="107"/>
      <c r="M19" s="108"/>
    </row>
    <row r="20" spans="2:13">
      <c r="B20">
        <v>9</v>
      </c>
      <c r="C20">
        <v>6.2</v>
      </c>
    </row>
    <row r="21" spans="2:13">
      <c r="B21">
        <v>10</v>
      </c>
      <c r="C21">
        <v>6.9</v>
      </c>
    </row>
    <row r="22" spans="2:13">
      <c r="B22">
        <v>10</v>
      </c>
      <c r="C22">
        <v>7</v>
      </c>
    </row>
    <row r="23" spans="2:13">
      <c r="E23" t="s">
        <v>2</v>
      </c>
    </row>
    <row r="24" spans="2:13" ht="15.75" thickBot="1"/>
    <row r="25" spans="2:13">
      <c r="E25" s="4" t="s">
        <v>3</v>
      </c>
      <c r="F25" s="4"/>
    </row>
    <row r="26" spans="2:13">
      <c r="E26" t="s">
        <v>4</v>
      </c>
      <c r="F26">
        <v>0.97980352559746631</v>
      </c>
    </row>
    <row r="27" spans="2:13">
      <c r="E27" t="s">
        <v>5</v>
      </c>
      <c r="F27">
        <v>0.96001494877322491</v>
      </c>
    </row>
    <row r="28" spans="2:13">
      <c r="E28" t="s">
        <v>6</v>
      </c>
      <c r="F28">
        <v>0.95779355703840408</v>
      </c>
    </row>
    <row r="29" spans="2:13">
      <c r="E29" t="s">
        <v>7</v>
      </c>
      <c r="F29">
        <v>0.32224224946469593</v>
      </c>
    </row>
    <row r="30" spans="2:13" ht="15.75" thickBot="1">
      <c r="E30" s="2" t="s">
        <v>8</v>
      </c>
      <c r="F30" s="2">
        <v>20</v>
      </c>
    </row>
    <row r="32" spans="2:13" ht="15.75" thickBot="1">
      <c r="E32" t="s">
        <v>9</v>
      </c>
    </row>
    <row r="33" spans="5:13">
      <c r="E33" s="3"/>
      <c r="F33" s="3" t="s">
        <v>13</v>
      </c>
      <c r="G33" s="3" t="s">
        <v>14</v>
      </c>
      <c r="H33" s="3" t="s">
        <v>15</v>
      </c>
      <c r="I33" s="3" t="s">
        <v>16</v>
      </c>
      <c r="J33" s="3" t="s">
        <v>265</v>
      </c>
    </row>
    <row r="34" spans="5:13">
      <c r="E34" t="s">
        <v>10</v>
      </c>
      <c r="F34">
        <v>1</v>
      </c>
      <c r="G34">
        <v>44.876378787878792</v>
      </c>
      <c r="H34">
        <v>44.876378787878792</v>
      </c>
      <c r="I34">
        <v>432.16823657204009</v>
      </c>
      <c r="J34">
        <v>4.935312735451277E-14</v>
      </c>
    </row>
    <row r="35" spans="5:13">
      <c r="E35" s="109" t="s">
        <v>11</v>
      </c>
      <c r="F35" s="109">
        <v>18</v>
      </c>
      <c r="G35" s="109">
        <v>1.869121212121212</v>
      </c>
      <c r="H35" s="109">
        <v>0.10384006734006733</v>
      </c>
    </row>
    <row r="36" spans="5:13" ht="15.75" thickBot="1">
      <c r="E36" s="2" t="s">
        <v>12</v>
      </c>
      <c r="F36" s="2">
        <v>19</v>
      </c>
      <c r="G36" s="2">
        <v>46.745500000000007</v>
      </c>
      <c r="H36" s="2"/>
      <c r="I36" s="2"/>
      <c r="J36" s="2"/>
    </row>
    <row r="37" spans="5:13" ht="15.75" thickBot="1"/>
    <row r="38" spans="5:13">
      <c r="E38" s="3"/>
      <c r="F38" s="3" t="s">
        <v>266</v>
      </c>
      <c r="G38" s="3" t="s">
        <v>7</v>
      </c>
      <c r="H38" s="3" t="s">
        <v>17</v>
      </c>
      <c r="I38" s="3" t="s">
        <v>18</v>
      </c>
      <c r="J38" s="3" t="s">
        <v>19</v>
      </c>
      <c r="K38" s="3" t="s">
        <v>20</v>
      </c>
      <c r="L38" s="3" t="s">
        <v>21</v>
      </c>
      <c r="M38" s="3" t="s">
        <v>22</v>
      </c>
    </row>
    <row r="39" spans="5:13">
      <c r="E39" t="s">
        <v>80</v>
      </c>
      <c r="F39">
        <v>1.3666666666666658</v>
      </c>
      <c r="G39">
        <v>0.15565779468441571</v>
      </c>
      <c r="H39">
        <v>8.7799436542029792</v>
      </c>
      <c r="I39">
        <v>6.3569057635288422E-8</v>
      </c>
      <c r="J39">
        <v>1.0396417750788625</v>
      </c>
      <c r="K39">
        <v>1.6936915582544692</v>
      </c>
      <c r="L39">
        <v>1.0396417750788625</v>
      </c>
      <c r="M39">
        <v>1.6936915582544692</v>
      </c>
    </row>
    <row r="40" spans="5:13" ht="15.75" thickBot="1">
      <c r="E40" s="2" t="s">
        <v>218</v>
      </c>
      <c r="F40" s="2">
        <v>0.52151515151515171</v>
      </c>
      <c r="G40" s="2">
        <v>2.5086525097249991E-2</v>
      </c>
      <c r="H40" s="2">
        <v>20.788656439800054</v>
      </c>
      <c r="I40" s="2">
        <v>4.9353127354512593E-14</v>
      </c>
      <c r="J40" s="2">
        <v>0.46881031802527928</v>
      </c>
      <c r="K40" s="2">
        <v>0.57421998500502414</v>
      </c>
      <c r="L40" s="2">
        <v>0.46881031802527928</v>
      </c>
      <c r="M40" s="2">
        <v>0.57421998500502414</v>
      </c>
    </row>
    <row r="44" spans="5:13">
      <c r="E44" t="s">
        <v>23</v>
      </c>
    </row>
    <row r="45" spans="5:13" ht="15.75" thickBot="1"/>
    <row r="46" spans="5:13">
      <c r="E46" s="3" t="s">
        <v>24</v>
      </c>
      <c r="F46" s="3" t="s">
        <v>273</v>
      </c>
      <c r="G46" s="3" t="s">
        <v>26</v>
      </c>
    </row>
    <row r="47" spans="5:13">
      <c r="E47">
        <v>1</v>
      </c>
      <c r="F47" s="112">
        <v>1.8881818181818175</v>
      </c>
      <c r="G47">
        <v>0.41181818181818231</v>
      </c>
      <c r="H47" s="112">
        <f>F39+F40*E47</f>
        <v>1.8881818181818175</v>
      </c>
    </row>
    <row r="48" spans="5:13">
      <c r="E48">
        <v>2</v>
      </c>
      <c r="F48">
        <v>1.8881818181818175</v>
      </c>
      <c r="G48">
        <v>-8.8181818181817473E-2</v>
      </c>
    </row>
    <row r="49" spans="5:7">
      <c r="E49">
        <v>3</v>
      </c>
      <c r="F49">
        <v>2.4096969696969692</v>
      </c>
      <c r="G49">
        <v>0.3903030303030306</v>
      </c>
    </row>
    <row r="50" spans="5:7">
      <c r="E50">
        <v>4</v>
      </c>
      <c r="F50">
        <v>2.4096969696969692</v>
      </c>
      <c r="G50">
        <v>-0.40969696969696923</v>
      </c>
    </row>
    <row r="51" spans="5:7">
      <c r="E51">
        <v>5</v>
      </c>
      <c r="F51">
        <v>2.9312121212121207</v>
      </c>
      <c r="G51">
        <v>-0.23121212121212054</v>
      </c>
    </row>
    <row r="52" spans="5:7">
      <c r="E52">
        <v>6</v>
      </c>
      <c r="F52">
        <v>2.9312121212121207</v>
      </c>
      <c r="G52">
        <v>0.56878787878787929</v>
      </c>
    </row>
    <row r="53" spans="5:7">
      <c r="E53">
        <v>7</v>
      </c>
      <c r="F53">
        <v>3.4527272727272726</v>
      </c>
      <c r="G53">
        <v>-0.25272727272727247</v>
      </c>
    </row>
    <row r="54" spans="5:7">
      <c r="E54">
        <v>8</v>
      </c>
      <c r="F54">
        <v>3.4527272727272726</v>
      </c>
      <c r="G54">
        <v>0.24727272727272753</v>
      </c>
    </row>
    <row r="55" spans="5:7">
      <c r="E55">
        <v>9</v>
      </c>
      <c r="F55">
        <v>3.9742424242424241</v>
      </c>
      <c r="G55">
        <v>2.5757575757575868E-2</v>
      </c>
    </row>
    <row r="56" spans="5:7">
      <c r="E56">
        <v>10</v>
      </c>
      <c r="F56">
        <v>3.9742424242424241</v>
      </c>
      <c r="G56">
        <v>-0.47424242424242413</v>
      </c>
    </row>
    <row r="57" spans="5:7">
      <c r="E57">
        <v>11</v>
      </c>
      <c r="F57">
        <v>4.4957575757575761</v>
      </c>
      <c r="G57">
        <v>-0.29575757575757589</v>
      </c>
    </row>
    <row r="58" spans="5:7">
      <c r="E58">
        <v>12</v>
      </c>
      <c r="F58">
        <v>4.4957575757575761</v>
      </c>
      <c r="G58">
        <v>-0.19575757575757624</v>
      </c>
    </row>
    <row r="59" spans="5:7">
      <c r="E59">
        <v>13</v>
      </c>
      <c r="F59">
        <v>5.0172727272727276</v>
      </c>
      <c r="G59">
        <v>0.18272727272727263</v>
      </c>
    </row>
    <row r="60" spans="5:7">
      <c r="E60">
        <v>14</v>
      </c>
      <c r="F60">
        <v>5.0172727272727276</v>
      </c>
      <c r="G60">
        <v>-0.1172727272727272</v>
      </c>
    </row>
    <row r="61" spans="5:7">
      <c r="E61">
        <v>15</v>
      </c>
      <c r="F61">
        <v>5.538787878787879</v>
      </c>
      <c r="G61">
        <v>-0.23878787878787922</v>
      </c>
    </row>
    <row r="62" spans="5:7">
      <c r="E62">
        <v>16</v>
      </c>
      <c r="F62">
        <v>5.538787878787879</v>
      </c>
      <c r="G62">
        <v>-0.33878787878787886</v>
      </c>
    </row>
    <row r="63" spans="5:7">
      <c r="E63">
        <v>17</v>
      </c>
      <c r="F63">
        <v>6.0603030303030305</v>
      </c>
      <c r="G63">
        <v>-6.0303030303030525E-2</v>
      </c>
    </row>
    <row r="64" spans="5:7">
      <c r="E64">
        <v>18</v>
      </c>
      <c r="F64">
        <v>6.0603030303030305</v>
      </c>
      <c r="G64">
        <v>0.13969696969696965</v>
      </c>
    </row>
    <row r="65" spans="1:13">
      <c r="E65">
        <v>19</v>
      </c>
      <c r="F65">
        <v>6.581818181818182</v>
      </c>
      <c r="G65">
        <v>0.31818181818181834</v>
      </c>
    </row>
    <row r="66" spans="1:13" ht="15.75" thickBot="1">
      <c r="E66" s="2">
        <v>20</v>
      </c>
      <c r="F66" s="2">
        <v>6.581818181818182</v>
      </c>
      <c r="G66" s="2">
        <v>0.41818181818181799</v>
      </c>
    </row>
    <row r="67" spans="1:13">
      <c r="F67" s="1" t="s">
        <v>227</v>
      </c>
      <c r="G67" s="83">
        <f>SUMSQ(G47:G66)</f>
        <v>1.8691212121212128</v>
      </c>
    </row>
    <row r="68" spans="1:13">
      <c r="A68" s="94" t="s">
        <v>246</v>
      </c>
    </row>
    <row r="69" spans="1:13">
      <c r="A69" t="s">
        <v>247</v>
      </c>
    </row>
    <row r="70" spans="1:13" ht="30">
      <c r="E70" s="95" t="s">
        <v>220</v>
      </c>
      <c r="F70" s="1" t="s">
        <v>242</v>
      </c>
      <c r="G70" s="1" t="s">
        <v>241</v>
      </c>
      <c r="H70" t="s">
        <v>243</v>
      </c>
      <c r="I70" s="1" t="s">
        <v>224</v>
      </c>
      <c r="J70" s="1" t="s">
        <v>248</v>
      </c>
      <c r="K70" s="1" t="s">
        <v>249</v>
      </c>
      <c r="L70" s="1" t="s">
        <v>261</v>
      </c>
      <c r="M70" s="1" t="s">
        <v>262</v>
      </c>
    </row>
    <row r="71" spans="1:13">
      <c r="A71" t="s">
        <v>237</v>
      </c>
      <c r="E71">
        <v>1</v>
      </c>
      <c r="F71">
        <v>2.2999999999999998</v>
      </c>
      <c r="G71" s="25">
        <f>AVERAGE(F71:F72)</f>
        <v>2.0499999999999998</v>
      </c>
      <c r="H71" s="25">
        <f>(F71-$G$71)^2</f>
        <v>6.25E-2</v>
      </c>
      <c r="I71" s="25">
        <v>1</v>
      </c>
      <c r="J71" s="25">
        <f>(G71-F47)^2</f>
        <v>2.6185123966942305E-2</v>
      </c>
      <c r="K71" s="20">
        <f>(F71-F47)^2</f>
        <v>0.16959421487603346</v>
      </c>
      <c r="L71" s="20">
        <f>(F71-$F$92)^2</f>
        <v>3.7442250000000019</v>
      </c>
      <c r="M71" s="20">
        <f>($F$92-F47)^2</f>
        <v>5.5075555785124006</v>
      </c>
    </row>
    <row r="72" spans="1:13">
      <c r="A72" t="s">
        <v>238</v>
      </c>
      <c r="E72">
        <v>1</v>
      </c>
      <c r="F72">
        <v>1.8</v>
      </c>
      <c r="G72" s="25"/>
      <c r="H72" s="25">
        <f>(F72-$G$71)^2</f>
        <v>6.2499999999999889E-2</v>
      </c>
      <c r="I72" s="25"/>
      <c r="J72" s="25">
        <f>(G71-F48)^2</f>
        <v>2.6185123966942305E-2</v>
      </c>
      <c r="K72" s="20">
        <f t="shared" ref="K72:K90" si="0">(F72-F48)^2</f>
        <v>7.7760330578511144E-3</v>
      </c>
      <c r="L72" s="20">
        <f t="shared" ref="L72:L90" si="1">(F72-$F$92)^2</f>
        <v>5.9292250000000024</v>
      </c>
      <c r="M72" s="20">
        <f t="shared" ref="M72:M90" si="2">($F$92-F48)^2</f>
        <v>5.5075555785124006</v>
      </c>
    </row>
    <row r="73" spans="1:13">
      <c r="A73" t="s">
        <v>226</v>
      </c>
      <c r="E73">
        <v>2</v>
      </c>
      <c r="F73">
        <v>2.8</v>
      </c>
      <c r="G73" s="25">
        <f t="shared" ref="G73" si="3">AVERAGE(F73:F74)</f>
        <v>2.4</v>
      </c>
      <c r="H73" s="25">
        <f>(F73-$G$73)^2</f>
        <v>0.15999999999999992</v>
      </c>
      <c r="I73" s="25">
        <v>1</v>
      </c>
      <c r="J73" s="25">
        <f t="shared" ref="J73" si="4">(G73-F49)^2</f>
        <v>9.4031221303941177E-5</v>
      </c>
      <c r="K73" s="20">
        <f t="shared" si="0"/>
        <v>0.15233645546372843</v>
      </c>
      <c r="L73" s="20">
        <f t="shared" si="1"/>
        <v>2.0592250000000014</v>
      </c>
      <c r="M73" s="20">
        <f t="shared" si="2"/>
        <v>3.3317311524334281</v>
      </c>
    </row>
    <row r="74" spans="1:13">
      <c r="E74">
        <v>2</v>
      </c>
      <c r="F74">
        <v>2</v>
      </c>
      <c r="G74" s="25"/>
      <c r="H74" s="25">
        <f>(F74-$G$73)^2</f>
        <v>0.15999999999999992</v>
      </c>
      <c r="I74" s="25"/>
      <c r="J74" s="25">
        <f t="shared" ref="J74" si="5">(G73-F50)^2</f>
        <v>9.4031221303941177E-5</v>
      </c>
      <c r="K74" s="20">
        <f t="shared" si="0"/>
        <v>0.16785160697887933</v>
      </c>
      <c r="L74" s="20">
        <f t="shared" si="1"/>
        <v>4.9952250000000014</v>
      </c>
      <c r="M74" s="20">
        <f t="shared" si="2"/>
        <v>3.3317311524334281</v>
      </c>
    </row>
    <row r="75" spans="1:13">
      <c r="E75">
        <v>3</v>
      </c>
      <c r="F75">
        <v>2.7</v>
      </c>
      <c r="G75" s="25">
        <f t="shared" ref="G75" si="6">AVERAGE(F75:F76)</f>
        <v>3.1</v>
      </c>
      <c r="H75" s="25">
        <f>(F75-$G$75)^2</f>
        <v>0.15999999999999992</v>
      </c>
      <c r="I75" s="25">
        <v>1</v>
      </c>
      <c r="J75" s="25">
        <f t="shared" ref="J75" si="7">(G75-F51)^2</f>
        <v>2.8489348025711861E-2</v>
      </c>
      <c r="K75" s="20">
        <f t="shared" si="0"/>
        <v>5.3459044995408322E-2</v>
      </c>
      <c r="L75" s="20">
        <f t="shared" si="1"/>
        <v>2.3562250000000002</v>
      </c>
      <c r="M75" s="20">
        <f t="shared" si="2"/>
        <v>1.6998628328741987</v>
      </c>
    </row>
    <row r="76" spans="1:13">
      <c r="E76">
        <v>3</v>
      </c>
      <c r="F76">
        <v>3.5</v>
      </c>
      <c r="G76" s="25"/>
      <c r="H76" s="25">
        <f>(F76-$G$75)^2</f>
        <v>0.15999999999999992</v>
      </c>
      <c r="I76" s="25"/>
      <c r="J76" s="25">
        <f t="shared" ref="J76" si="8">(G75-F52)^2</f>
        <v>2.8489348025711861E-2</v>
      </c>
      <c r="K76" s="20">
        <f t="shared" si="0"/>
        <v>0.32351965105601527</v>
      </c>
      <c r="L76" s="20">
        <f t="shared" si="1"/>
        <v>0.54022500000000051</v>
      </c>
      <c r="M76" s="20">
        <f t="shared" si="2"/>
        <v>1.6998628328741987</v>
      </c>
    </row>
    <row r="77" spans="1:13">
      <c r="E77">
        <v>4</v>
      </c>
      <c r="F77">
        <v>3.2</v>
      </c>
      <c r="G77" s="25">
        <f t="shared" ref="G77" si="9">AVERAGE(F77:F78)</f>
        <v>3.45</v>
      </c>
      <c r="H77" s="25">
        <f>(F77-$G$77)^2</f>
        <v>6.25E-2</v>
      </c>
      <c r="I77" s="25">
        <v>1</v>
      </c>
      <c r="J77" s="25">
        <f t="shared" ref="J77" si="10">(G77-F53)^2</f>
        <v>7.4380165289242015E-6</v>
      </c>
      <c r="K77" s="20">
        <f t="shared" si="0"/>
        <v>6.3871074380165163E-2</v>
      </c>
      <c r="L77" s="20">
        <f t="shared" si="1"/>
        <v>1.0712250000000003</v>
      </c>
      <c r="M77" s="20">
        <f t="shared" si="2"/>
        <v>0.61195061983471133</v>
      </c>
    </row>
    <row r="78" spans="1:13">
      <c r="E78">
        <v>4</v>
      </c>
      <c r="F78">
        <v>3.7</v>
      </c>
      <c r="G78" s="25"/>
      <c r="H78" s="25">
        <f>(F78-$G$77)^2</f>
        <v>6.25E-2</v>
      </c>
      <c r="I78" s="25"/>
      <c r="J78" s="25">
        <f t="shared" ref="J78" si="11">(G77-F54)^2</f>
        <v>7.4380165289242015E-6</v>
      </c>
      <c r="K78" s="20">
        <f t="shared" si="0"/>
        <v>6.1143801652892689E-2</v>
      </c>
      <c r="L78" s="20">
        <f t="shared" si="1"/>
        <v>0.28622500000000017</v>
      </c>
      <c r="M78" s="20">
        <f t="shared" si="2"/>
        <v>0.61195061983471133</v>
      </c>
    </row>
    <row r="79" spans="1:13">
      <c r="E79">
        <v>5</v>
      </c>
      <c r="F79">
        <v>4</v>
      </c>
      <c r="G79" s="25">
        <f t="shared" ref="G79" si="12">AVERAGE(F79:F80)</f>
        <v>3.75</v>
      </c>
      <c r="H79" s="25">
        <f>(F79-$G$79)^2</f>
        <v>6.25E-2</v>
      </c>
      <c r="I79" s="25">
        <v>1</v>
      </c>
      <c r="J79" s="25">
        <f t="shared" ref="J79" si="13">(G79-F55)^2</f>
        <v>5.0284664830119327E-2</v>
      </c>
      <c r="K79" s="20">
        <f t="shared" si="0"/>
        <v>6.6345270890726007E-4</v>
      </c>
      <c r="L79" s="20">
        <f t="shared" si="1"/>
        <v>5.5225000000000149E-2</v>
      </c>
      <c r="M79" s="20">
        <f t="shared" si="2"/>
        <v>6.7994513314968086E-2</v>
      </c>
    </row>
    <row r="80" spans="1:13">
      <c r="E80">
        <v>5</v>
      </c>
      <c r="F80">
        <v>3.5</v>
      </c>
      <c r="G80" s="25"/>
      <c r="H80" s="25">
        <f>(F80-$G$79)^2</f>
        <v>6.25E-2</v>
      </c>
      <c r="I80" s="25"/>
      <c r="J80" s="25">
        <f t="shared" ref="J80" si="14">(G79-F56)^2</f>
        <v>5.0284664830119327E-2</v>
      </c>
      <c r="K80" s="20">
        <f t="shared" si="0"/>
        <v>0.22490587695133138</v>
      </c>
      <c r="L80" s="20">
        <f t="shared" si="1"/>
        <v>0.54022500000000051</v>
      </c>
      <c r="M80" s="20">
        <f t="shared" si="2"/>
        <v>6.7994513314968086E-2</v>
      </c>
    </row>
    <row r="81" spans="1:13">
      <c r="E81">
        <v>6</v>
      </c>
      <c r="F81">
        <v>4.2</v>
      </c>
      <c r="G81" s="25">
        <f t="shared" ref="G81" si="15">AVERAGE(F81:F82)</f>
        <v>4.25</v>
      </c>
      <c r="H81" s="25">
        <f>(F81-$G$81)^2</f>
        <v>2.4999999999999823E-3</v>
      </c>
      <c r="I81" s="25">
        <f>COUNT(E81:E82)-1</f>
        <v>1</v>
      </c>
      <c r="J81" s="25">
        <f t="shared" ref="J81" si="16">(G81-F57)^2</f>
        <v>6.039678604224074E-2</v>
      </c>
      <c r="K81" s="20">
        <f t="shared" si="0"/>
        <v>8.7472543617998236E-2</v>
      </c>
      <c r="L81" s="20">
        <f t="shared" si="1"/>
        <v>1.2250000000000099E-3</v>
      </c>
      <c r="M81" s="20">
        <f t="shared" si="2"/>
        <v>6.799451331496785E-2</v>
      </c>
    </row>
    <row r="82" spans="1:13">
      <c r="E82">
        <v>6</v>
      </c>
      <c r="F82">
        <v>4.3</v>
      </c>
      <c r="G82" s="25"/>
      <c r="H82" s="25">
        <f t="shared" ref="H82" si="17">(F82-$G$81)^2</f>
        <v>2.4999999999999823E-3</v>
      </c>
      <c r="I82" s="25"/>
      <c r="J82" s="25">
        <f t="shared" ref="J82" si="18">(G81-F58)^2</f>
        <v>6.039678604224074E-2</v>
      </c>
      <c r="K82" s="20">
        <f t="shared" si="0"/>
        <v>3.8321028466483199E-2</v>
      </c>
      <c r="L82" s="20">
        <f t="shared" si="1"/>
        <v>4.2249999999999354E-3</v>
      </c>
      <c r="M82" s="20">
        <f t="shared" si="2"/>
        <v>6.799451331496785E-2</v>
      </c>
    </row>
    <row r="83" spans="1:13">
      <c r="E83">
        <v>7</v>
      </c>
      <c r="F83">
        <v>5.2</v>
      </c>
      <c r="G83" s="25">
        <f t="shared" ref="G83" si="19">AVERAGE(F83:F84)</f>
        <v>5.0500000000000007</v>
      </c>
      <c r="H83" s="25">
        <f>(F83-$G$83)^2</f>
        <v>2.249999999999984E-2</v>
      </c>
      <c r="I83" s="25">
        <v>1</v>
      </c>
      <c r="J83" s="25">
        <f>(G83-F59)^2</f>
        <v>1.0710743801653176E-3</v>
      </c>
      <c r="K83" s="20">
        <f t="shared" si="0"/>
        <v>3.3389256198347074E-2</v>
      </c>
      <c r="L83" s="20">
        <f t="shared" si="1"/>
        <v>0.93122499999999975</v>
      </c>
      <c r="M83" s="20">
        <f t="shared" si="2"/>
        <v>0.61195061983471066</v>
      </c>
    </row>
    <row r="84" spans="1:13">
      <c r="E84">
        <v>7</v>
      </c>
      <c r="F84">
        <v>4.9000000000000004</v>
      </c>
      <c r="G84" s="25"/>
      <c r="H84" s="25">
        <f t="shared" ref="H84" si="20">(F84-$G$83)^2</f>
        <v>2.2500000000000107E-2</v>
      </c>
      <c r="I84" s="25"/>
      <c r="J84" s="25">
        <f t="shared" ref="J84" si="21">(G83-F60)^2</f>
        <v>1.0710743801653176E-3</v>
      </c>
      <c r="K84" s="20">
        <f t="shared" si="0"/>
        <v>1.3752892561983452E-2</v>
      </c>
      <c r="L84" s="20">
        <f t="shared" si="1"/>
        <v>0.44222500000000003</v>
      </c>
      <c r="M84" s="20">
        <f t="shared" si="2"/>
        <v>0.61195061983471066</v>
      </c>
    </row>
    <row r="85" spans="1:13">
      <c r="A85" t="s">
        <v>230</v>
      </c>
      <c r="E85">
        <v>8</v>
      </c>
      <c r="F85">
        <v>5.3</v>
      </c>
      <c r="G85" s="25">
        <f t="shared" ref="G85" si="22">AVERAGE(F85:F86)</f>
        <v>5.25</v>
      </c>
      <c r="H85" s="25">
        <f>(F85-$G$85)^2</f>
        <v>2.4999999999999823E-3</v>
      </c>
      <c r="I85" s="25">
        <v>1</v>
      </c>
      <c r="J85" s="25">
        <f t="shared" ref="J85" si="23">(G85-F61)^2</f>
        <v>8.3398438934802713E-2</v>
      </c>
      <c r="K85" s="20">
        <f t="shared" si="0"/>
        <v>5.7019651056014899E-2</v>
      </c>
      <c r="L85" s="20">
        <f t="shared" si="1"/>
        <v>1.1342249999999989</v>
      </c>
      <c r="M85" s="20">
        <f t="shared" si="2"/>
        <v>1.6998628328741963</v>
      </c>
    </row>
    <row r="86" spans="1:13">
      <c r="A86" t="s">
        <v>231</v>
      </c>
      <c r="E86">
        <v>8</v>
      </c>
      <c r="F86">
        <v>5.2</v>
      </c>
      <c r="G86" s="25"/>
      <c r="H86" s="25">
        <f t="shared" ref="H86" si="24">(F86-$G$85)^2</f>
        <v>2.4999999999999823E-3</v>
      </c>
      <c r="I86" s="25"/>
      <c r="J86" s="25">
        <f t="shared" ref="J86" si="25">(G85-F62)^2</f>
        <v>8.3398438934802713E-2</v>
      </c>
      <c r="K86" s="20">
        <f t="shared" si="0"/>
        <v>0.1147772268135905</v>
      </c>
      <c r="L86" s="20">
        <f t="shared" si="1"/>
        <v>0.93122499999999975</v>
      </c>
      <c r="M86" s="20">
        <f t="shared" si="2"/>
        <v>1.6998628328741963</v>
      </c>
    </row>
    <row r="87" spans="1:13">
      <c r="E87">
        <v>9</v>
      </c>
      <c r="F87">
        <v>6</v>
      </c>
      <c r="G87" s="25">
        <f t="shared" ref="G87" si="26">AVERAGE(F87:F88)</f>
        <v>6.1</v>
      </c>
      <c r="H87" s="25">
        <f>(F87-$G$87)^2</f>
        <v>9.9999999999999291E-3</v>
      </c>
      <c r="I87" s="25">
        <v>1</v>
      </c>
      <c r="J87" s="25">
        <f t="shared" ref="J87" si="27">(G87-F63)^2</f>
        <v>1.5758494031220846E-3</v>
      </c>
      <c r="K87" s="20">
        <f t="shared" si="0"/>
        <v>3.636455463728218E-3</v>
      </c>
      <c r="L87" s="20">
        <f t="shared" si="1"/>
        <v>3.1152249999999988</v>
      </c>
      <c r="M87" s="20">
        <f t="shared" si="2"/>
        <v>3.331731152433425</v>
      </c>
    </row>
    <row r="88" spans="1:13">
      <c r="E88">
        <v>9</v>
      </c>
      <c r="F88">
        <v>6.2</v>
      </c>
      <c r="G88" s="25"/>
      <c r="H88" s="25">
        <f>(F88-$G$87)^2</f>
        <v>1.0000000000000106E-2</v>
      </c>
      <c r="I88" s="25"/>
      <c r="J88" s="25">
        <f t="shared" ref="J88" si="28">(G87-F64)^2</f>
        <v>1.5758494031220846E-3</v>
      </c>
      <c r="K88" s="20">
        <f t="shared" si="0"/>
        <v>1.9515243342516059E-2</v>
      </c>
      <c r="L88" s="20">
        <f t="shared" si="1"/>
        <v>3.8612249999999992</v>
      </c>
      <c r="M88" s="20">
        <f t="shared" si="2"/>
        <v>3.331731152433425</v>
      </c>
    </row>
    <row r="89" spans="1:13">
      <c r="A89" s="21" t="s">
        <v>256</v>
      </c>
      <c r="B89" s="20"/>
      <c r="E89">
        <v>10</v>
      </c>
      <c r="F89">
        <v>6.9</v>
      </c>
      <c r="G89" s="25">
        <f t="shared" ref="G89" si="29">AVERAGE(F89:F90)</f>
        <v>6.95</v>
      </c>
      <c r="H89" s="25">
        <f>(F89-$G$89)^2</f>
        <v>2.4999999999999823E-3</v>
      </c>
      <c r="I89" s="25">
        <v>1</v>
      </c>
      <c r="J89" s="25">
        <f t="shared" ref="J89" si="30">(G89-F65)^2</f>
        <v>0.1355578512396694</v>
      </c>
      <c r="K89" s="20">
        <f t="shared" si="0"/>
        <v>0.10123966942148771</v>
      </c>
      <c r="L89" s="20">
        <f t="shared" si="1"/>
        <v>7.1022249999999998</v>
      </c>
      <c r="M89" s="20">
        <f t="shared" si="2"/>
        <v>5.5075555785123962</v>
      </c>
    </row>
    <row r="90" spans="1:13">
      <c r="A90" s="21" t="s">
        <v>257</v>
      </c>
      <c r="B90" s="20"/>
      <c r="E90">
        <v>10</v>
      </c>
      <c r="F90">
        <v>7</v>
      </c>
      <c r="G90" s="25"/>
      <c r="H90" s="25">
        <f>(F90-$G$89)^2</f>
        <v>2.4999999999999823E-3</v>
      </c>
      <c r="I90" s="25"/>
      <c r="J90" s="25">
        <f>(G89-F66)^2</f>
        <v>0.1355578512396694</v>
      </c>
      <c r="K90" s="20">
        <f t="shared" si="0"/>
        <v>0.17487603305785107</v>
      </c>
      <c r="L90" s="20">
        <f t="shared" si="1"/>
        <v>7.6452249999999982</v>
      </c>
      <c r="M90" s="20">
        <f t="shared" si="2"/>
        <v>5.5075555785123962</v>
      </c>
    </row>
    <row r="91" spans="1:13">
      <c r="A91" s="21"/>
      <c r="E91" s="96" t="s">
        <v>227</v>
      </c>
      <c r="F91" s="98">
        <f>SUM(F71:F90)</f>
        <v>84.7</v>
      </c>
      <c r="G91" s="96"/>
      <c r="H91" s="99">
        <f>SUM(H71:H90)</f>
        <v>1.0949999999999993</v>
      </c>
      <c r="I91" s="98">
        <f t="shared" ref="I91:J91" si="31">SUM(I71:I90)</f>
        <v>10</v>
      </c>
      <c r="J91" s="98">
        <f t="shared" si="31"/>
        <v>0.7741212121212131</v>
      </c>
      <c r="K91" s="113">
        <f>SUM(K71:K90)</f>
        <v>1.8691212121212128</v>
      </c>
      <c r="L91" s="101">
        <f>SUM(L71:L90)</f>
        <v>46.745500000000007</v>
      </c>
      <c r="M91" s="101">
        <f>SUM(M71:M90)</f>
        <v>44.876378787878807</v>
      </c>
    </row>
    <row r="92" spans="1:13">
      <c r="A92" s="21"/>
      <c r="F92" s="25">
        <f>AVERAGE(F71:F90)</f>
        <v>4.2350000000000003</v>
      </c>
    </row>
    <row r="93" spans="1:13">
      <c r="A93" s="21" t="s">
        <v>258</v>
      </c>
      <c r="B93" s="20"/>
    </row>
    <row r="94" spans="1:13">
      <c r="A94" s="21" t="s">
        <v>259</v>
      </c>
      <c r="B94" s="20"/>
    </row>
    <row r="95" spans="1:13">
      <c r="A95" s="21" t="s">
        <v>260</v>
      </c>
      <c r="B95" s="20"/>
    </row>
    <row r="97" spans="1:11">
      <c r="B97" t="s">
        <v>13</v>
      </c>
      <c r="C97" t="s">
        <v>14</v>
      </c>
      <c r="D97" t="s">
        <v>15</v>
      </c>
      <c r="E97" t="s">
        <v>16</v>
      </c>
      <c r="F97" t="s">
        <v>225</v>
      </c>
      <c r="G97" t="s">
        <v>29</v>
      </c>
    </row>
    <row r="98" spans="1:11">
      <c r="A98" t="s">
        <v>10</v>
      </c>
      <c r="B98">
        <v>1</v>
      </c>
      <c r="C98">
        <v>44.876378787878792</v>
      </c>
      <c r="D98">
        <v>44.876378787878792</v>
      </c>
      <c r="E98">
        <v>432.16823657204009</v>
      </c>
      <c r="G98">
        <v>4.935312735451277E-14</v>
      </c>
    </row>
    <row r="99" spans="1:11">
      <c r="A99" s="109" t="s">
        <v>11</v>
      </c>
      <c r="B99" s="109">
        <v>18</v>
      </c>
      <c r="C99" s="109">
        <v>1.869121212121212</v>
      </c>
      <c r="D99" s="109">
        <v>0.10384006734006733</v>
      </c>
      <c r="G99" s="20"/>
    </row>
    <row r="100" spans="1:11">
      <c r="A100" s="21" t="s">
        <v>239</v>
      </c>
      <c r="B100" s="20">
        <f>B99-B101</f>
        <v>8</v>
      </c>
      <c r="C100" s="20">
        <f>C99-C101</f>
        <v>0.77412121212121265</v>
      </c>
      <c r="D100" s="20">
        <f>C100/B100</f>
        <v>9.6765151515151582E-2</v>
      </c>
      <c r="E100" s="103">
        <f>D100/D101</f>
        <v>0.88370001383700125</v>
      </c>
      <c r="F100" s="20">
        <f>_xlfn.F.INV(0.95,B100,B101)</f>
        <v>3.0716583852790391</v>
      </c>
      <c r="G100" s="20">
        <f>1-_xlfn.F.DIST(E100,B100,B101,TRUE)</f>
        <v>0.56103135299864926</v>
      </c>
    </row>
    <row r="101" spans="1:11">
      <c r="A101" s="21" t="s">
        <v>240</v>
      </c>
      <c r="B101" s="20">
        <v>10</v>
      </c>
      <c r="C101" s="20">
        <f>H91</f>
        <v>1.0949999999999993</v>
      </c>
      <c r="D101" s="20">
        <f>C101/B101</f>
        <v>0.10949999999999993</v>
      </c>
      <c r="E101" s="20"/>
      <c r="F101" s="20"/>
      <c r="G101" s="20"/>
    </row>
    <row r="102" spans="1:11" ht="15.75" thickBot="1">
      <c r="A102" s="2" t="s">
        <v>12</v>
      </c>
      <c r="B102" s="2">
        <v>19</v>
      </c>
      <c r="C102" s="2">
        <v>46.745500000000007</v>
      </c>
      <c r="D102" s="20"/>
      <c r="E102" s="20"/>
      <c r="F102" s="20"/>
      <c r="G102" s="20"/>
    </row>
    <row r="105" spans="1:11">
      <c r="A105" t="s">
        <v>229</v>
      </c>
    </row>
    <row r="106" spans="1:11">
      <c r="F106" s="100" t="s">
        <v>232</v>
      </c>
    </row>
    <row r="108" spans="1:11">
      <c r="A108" t="s">
        <v>236</v>
      </c>
    </row>
    <row r="109" spans="1:11">
      <c r="A109" t="s">
        <v>233</v>
      </c>
    </row>
    <row r="110" spans="1:11">
      <c r="A110" t="s">
        <v>244</v>
      </c>
    </row>
    <row r="111" spans="1:11">
      <c r="A111" s="21" t="s">
        <v>152</v>
      </c>
      <c r="B111" s="20">
        <f>E100</f>
        <v>0.88370001383700125</v>
      </c>
      <c r="C111" s="102" t="s">
        <v>270</v>
      </c>
      <c r="D111" s="20">
        <f>F100</f>
        <v>3.0716583852790391</v>
      </c>
      <c r="E111" t="s">
        <v>245</v>
      </c>
      <c r="F111" t="s">
        <v>250</v>
      </c>
      <c r="K111" s="20" t="s">
        <v>274</v>
      </c>
    </row>
    <row r="112" spans="1:11">
      <c r="J112" s="21" t="s">
        <v>251</v>
      </c>
      <c r="K112" s="20" t="s">
        <v>171</v>
      </c>
    </row>
    <row r="114" spans="1:11">
      <c r="A114" t="s">
        <v>252</v>
      </c>
    </row>
    <row r="115" spans="1:11">
      <c r="A115" s="21" t="s">
        <v>253</v>
      </c>
      <c r="B115" s="20">
        <f>G100</f>
        <v>0.56103135299864926</v>
      </c>
      <c r="C115" s="102" t="s">
        <v>275</v>
      </c>
      <c r="D115" s="20">
        <v>0.05</v>
      </c>
      <c r="E115" t="s">
        <v>254</v>
      </c>
      <c r="F115" t="s">
        <v>250</v>
      </c>
      <c r="K115" s="20" t="s">
        <v>274</v>
      </c>
    </row>
    <row r="116" spans="1:11">
      <c r="J116" s="21" t="s">
        <v>251</v>
      </c>
      <c r="K116" s="20" t="s">
        <v>171</v>
      </c>
    </row>
    <row r="117" spans="1:11">
      <c r="A117" t="s">
        <v>276</v>
      </c>
    </row>
    <row r="119" spans="1:11">
      <c r="A119" t="s">
        <v>263</v>
      </c>
    </row>
  </sheetData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11"/>
  <sheetViews>
    <sheetView topLeftCell="A89" workbookViewId="0">
      <selection activeCell="K112" sqref="K112"/>
    </sheetView>
  </sheetViews>
  <sheetFormatPr defaultRowHeight="15"/>
  <cols>
    <col min="5" max="5" width="10.42578125" customWidth="1"/>
    <col min="7" max="7" width="12" bestFit="1" customWidth="1"/>
    <col min="8" max="8" width="15.28515625" customWidth="1"/>
    <col min="10" max="10" width="22.42578125" customWidth="1"/>
    <col min="11" max="11" width="13.7109375" customWidth="1"/>
    <col min="12" max="12" width="14" customWidth="1"/>
    <col min="13" max="13" width="16.7109375" customWidth="1"/>
  </cols>
  <sheetData>
    <row r="1" spans="1:13">
      <c r="A1" t="s">
        <v>228</v>
      </c>
    </row>
    <row r="2" spans="1:13">
      <c r="B2" s="6" t="s">
        <v>218</v>
      </c>
      <c r="C2" s="6" t="s">
        <v>205</v>
      </c>
    </row>
    <row r="3" spans="1:13">
      <c r="B3">
        <v>1</v>
      </c>
      <c r="C3">
        <v>2.2999999999999998</v>
      </c>
      <c r="E3" s="104" t="s">
        <v>264</v>
      </c>
      <c r="F3" s="101"/>
      <c r="G3" s="101"/>
      <c r="H3" s="101"/>
      <c r="I3" s="101"/>
      <c r="J3" s="101"/>
      <c r="K3" s="101"/>
      <c r="L3" s="101"/>
      <c r="M3" s="105"/>
    </row>
    <row r="4" spans="1:13">
      <c r="B4">
        <v>1</v>
      </c>
      <c r="C4">
        <v>1.8</v>
      </c>
      <c r="E4" s="39"/>
      <c r="F4" s="20"/>
      <c r="G4" s="20"/>
      <c r="H4" s="20"/>
      <c r="I4" s="20"/>
      <c r="J4" s="20"/>
      <c r="K4" s="20"/>
      <c r="L4" s="20"/>
      <c r="M4" s="40"/>
    </row>
    <row r="5" spans="1:13">
      <c r="B5">
        <v>1</v>
      </c>
      <c r="C5">
        <v>2.8</v>
      </c>
      <c r="E5" s="39"/>
      <c r="F5" s="20"/>
      <c r="G5" s="20"/>
      <c r="H5" s="20"/>
      <c r="I5" s="20"/>
      <c r="J5" s="20"/>
      <c r="K5" s="20"/>
      <c r="L5" s="20"/>
      <c r="M5" s="40"/>
    </row>
    <row r="6" spans="1:13">
      <c r="B6">
        <v>1</v>
      </c>
      <c r="C6">
        <v>2</v>
      </c>
      <c r="E6" s="39"/>
      <c r="F6" s="20"/>
      <c r="G6" s="20"/>
      <c r="H6" s="20"/>
      <c r="I6" s="20"/>
      <c r="J6" s="20"/>
      <c r="K6" s="20"/>
      <c r="L6" s="20"/>
      <c r="M6" s="40"/>
    </row>
    <row r="7" spans="1:13">
      <c r="B7">
        <v>4</v>
      </c>
      <c r="C7">
        <v>2.7</v>
      </c>
      <c r="E7" s="39"/>
      <c r="F7" s="20"/>
      <c r="G7" s="20"/>
      <c r="H7" s="20"/>
      <c r="I7" s="20"/>
      <c r="J7" s="20"/>
      <c r="K7" s="20"/>
      <c r="L7" s="20"/>
      <c r="M7" s="40"/>
    </row>
    <row r="8" spans="1:13">
      <c r="B8">
        <v>4</v>
      </c>
      <c r="C8">
        <v>3.5</v>
      </c>
      <c r="E8" s="39"/>
      <c r="F8" s="20"/>
      <c r="G8" s="20"/>
      <c r="H8" s="20"/>
      <c r="I8" s="20"/>
      <c r="J8" s="20"/>
      <c r="K8" s="20"/>
      <c r="L8" s="20"/>
      <c r="M8" s="40"/>
    </row>
    <row r="9" spans="1:13">
      <c r="B9">
        <v>4</v>
      </c>
      <c r="C9">
        <v>3.2</v>
      </c>
      <c r="E9" s="39"/>
      <c r="F9" s="20"/>
      <c r="G9" s="20"/>
      <c r="H9" s="20"/>
      <c r="I9" s="20"/>
      <c r="J9" s="20"/>
      <c r="K9" s="20"/>
      <c r="L9" s="20"/>
      <c r="M9" s="40"/>
    </row>
    <row r="10" spans="1:13">
      <c r="B10">
        <v>4</v>
      </c>
      <c r="C10">
        <v>3.7</v>
      </c>
      <c r="E10" s="39"/>
      <c r="F10" s="20"/>
      <c r="G10" s="20"/>
      <c r="H10" s="20"/>
      <c r="I10" s="20"/>
      <c r="J10" s="20"/>
      <c r="K10" s="20"/>
      <c r="L10" s="20"/>
      <c r="M10" s="40"/>
    </row>
    <row r="11" spans="1:13">
      <c r="B11">
        <v>6</v>
      </c>
      <c r="C11">
        <v>4</v>
      </c>
      <c r="E11" s="39"/>
      <c r="F11" s="20"/>
      <c r="G11" s="20"/>
      <c r="H11" s="20"/>
      <c r="I11" s="20"/>
      <c r="J11" s="20"/>
      <c r="K11" s="20"/>
      <c r="L11" s="20"/>
      <c r="M11" s="40"/>
    </row>
    <row r="12" spans="1:13">
      <c r="B12">
        <v>6</v>
      </c>
      <c r="C12">
        <v>3.5</v>
      </c>
      <c r="E12" s="39"/>
      <c r="F12" s="20"/>
      <c r="G12" s="20"/>
      <c r="H12" s="20"/>
      <c r="I12" s="20"/>
      <c r="J12" s="20"/>
      <c r="K12" s="20"/>
      <c r="L12" s="20"/>
      <c r="M12" s="40"/>
    </row>
    <row r="13" spans="1:13">
      <c r="B13">
        <v>6</v>
      </c>
      <c r="C13">
        <v>4.2</v>
      </c>
      <c r="E13" s="39"/>
      <c r="F13" s="20"/>
      <c r="G13" s="20"/>
      <c r="H13" s="20"/>
      <c r="I13" s="20"/>
      <c r="J13" s="20"/>
      <c r="K13" s="20"/>
      <c r="L13" s="20"/>
      <c r="M13" s="40"/>
    </row>
    <row r="14" spans="1:13">
      <c r="B14">
        <v>6</v>
      </c>
      <c r="C14">
        <v>4.3</v>
      </c>
      <c r="E14" s="39"/>
      <c r="F14" s="20"/>
      <c r="G14" s="20"/>
      <c r="H14" s="20"/>
      <c r="I14" s="20"/>
      <c r="J14" s="20"/>
      <c r="K14" s="20"/>
      <c r="L14" s="20"/>
      <c r="M14" s="40"/>
    </row>
    <row r="15" spans="1:13">
      <c r="B15">
        <v>10</v>
      </c>
      <c r="C15">
        <v>5.2</v>
      </c>
      <c r="E15" s="39"/>
      <c r="F15" s="20"/>
      <c r="G15" s="20"/>
      <c r="H15" s="20"/>
      <c r="I15" s="20"/>
      <c r="J15" s="20"/>
      <c r="K15" s="20"/>
      <c r="L15" s="20"/>
      <c r="M15" s="40"/>
    </row>
    <row r="16" spans="1:13">
      <c r="B16">
        <v>10</v>
      </c>
      <c r="C16">
        <v>4.9000000000000004</v>
      </c>
      <c r="E16" s="39"/>
      <c r="F16" s="20"/>
      <c r="G16" s="20"/>
      <c r="H16" s="20"/>
      <c r="I16" s="20"/>
      <c r="J16" s="20"/>
      <c r="K16" s="20"/>
      <c r="L16" s="20"/>
      <c r="M16" s="40"/>
    </row>
    <row r="17" spans="2:13">
      <c r="B17">
        <v>10</v>
      </c>
      <c r="C17">
        <v>5.3</v>
      </c>
      <c r="E17" s="39"/>
      <c r="F17" s="20"/>
      <c r="G17" s="20"/>
      <c r="H17" s="20"/>
      <c r="I17" s="20"/>
      <c r="J17" s="20"/>
      <c r="K17" s="20"/>
      <c r="L17" s="20"/>
      <c r="M17" s="40"/>
    </row>
    <row r="18" spans="2:13">
      <c r="B18">
        <v>10</v>
      </c>
      <c r="C18">
        <v>5.2</v>
      </c>
      <c r="E18" s="39"/>
      <c r="F18" s="20"/>
      <c r="G18" s="20"/>
      <c r="H18" s="20"/>
      <c r="I18" s="20"/>
      <c r="J18" s="20"/>
      <c r="K18" s="20"/>
      <c r="L18" s="20"/>
      <c r="M18" s="40"/>
    </row>
    <row r="19" spans="2:13">
      <c r="E19" s="106"/>
      <c r="F19" s="107"/>
      <c r="G19" s="107"/>
      <c r="H19" s="107"/>
      <c r="I19" s="107"/>
      <c r="J19" s="107"/>
      <c r="K19" s="107"/>
      <c r="L19" s="107"/>
      <c r="M19" s="108"/>
    </row>
    <row r="23" spans="2:13">
      <c r="E23" t="s">
        <v>2</v>
      </c>
    </row>
    <row r="24" spans="2:13" ht="15.75" thickBot="1"/>
    <row r="25" spans="2:13">
      <c r="E25" s="4" t="s">
        <v>3</v>
      </c>
      <c r="F25" s="4"/>
    </row>
    <row r="26" spans="2:13">
      <c r="E26" t="s">
        <v>4</v>
      </c>
      <c r="F26">
        <v>0.95693274731504818</v>
      </c>
    </row>
    <row r="27" spans="2:13">
      <c r="E27" t="s">
        <v>5</v>
      </c>
      <c r="F27">
        <v>0.91572028288392582</v>
      </c>
    </row>
    <row r="28" spans="2:13">
      <c r="E28" t="s">
        <v>6</v>
      </c>
      <c r="F28">
        <v>0.90970030308992045</v>
      </c>
    </row>
    <row r="29" spans="2:13">
      <c r="E29" t="s">
        <v>7</v>
      </c>
      <c r="F29">
        <v>0.34505093881330023</v>
      </c>
    </row>
    <row r="30" spans="2:13" ht="15.75" thickBot="1">
      <c r="E30" s="2" t="s">
        <v>8</v>
      </c>
      <c r="F30" s="2">
        <v>16</v>
      </c>
    </row>
    <row r="32" spans="2:13" ht="15.75" thickBot="1">
      <c r="E32" t="s">
        <v>9</v>
      </c>
    </row>
    <row r="33" spans="5:13">
      <c r="E33" s="3"/>
      <c r="F33" s="3" t="s">
        <v>13</v>
      </c>
      <c r="G33" s="3" t="s">
        <v>14</v>
      </c>
      <c r="H33" s="3" t="s">
        <v>15</v>
      </c>
      <c r="I33" s="3" t="s">
        <v>16</v>
      </c>
      <c r="J33" s="3" t="s">
        <v>265</v>
      </c>
    </row>
    <row r="34" spans="5:13">
      <c r="E34" t="s">
        <v>10</v>
      </c>
      <c r="F34">
        <v>1</v>
      </c>
      <c r="G34">
        <v>18.110657894736843</v>
      </c>
      <c r="H34">
        <v>18.110657894736843</v>
      </c>
      <c r="I34">
        <v>152.11351436690873</v>
      </c>
      <c r="J34">
        <v>6.5741512122020192E-9</v>
      </c>
    </row>
    <row r="35" spans="5:13">
      <c r="E35" t="s">
        <v>11</v>
      </c>
      <c r="F35">
        <v>14</v>
      </c>
      <c r="G35">
        <v>1.6668421052631581</v>
      </c>
      <c r="H35">
        <v>0.11906015037593987</v>
      </c>
    </row>
    <row r="36" spans="5:13" ht="15.75" thickBot="1">
      <c r="E36" s="2" t="s">
        <v>12</v>
      </c>
      <c r="F36" s="2">
        <v>15</v>
      </c>
      <c r="G36" s="2">
        <v>19.7775</v>
      </c>
      <c r="H36" s="2"/>
      <c r="I36" s="2"/>
      <c r="J36" s="2"/>
    </row>
    <row r="37" spans="5:13" ht="15.75" thickBot="1"/>
    <row r="38" spans="5:13">
      <c r="E38" s="3"/>
      <c r="F38" s="3" t="s">
        <v>266</v>
      </c>
      <c r="G38" s="3" t="s">
        <v>7</v>
      </c>
      <c r="H38" s="3" t="s">
        <v>17</v>
      </c>
      <c r="I38" s="3" t="s">
        <v>18</v>
      </c>
      <c r="J38" s="3" t="s">
        <v>19</v>
      </c>
      <c r="K38" s="3" t="s">
        <v>20</v>
      </c>
      <c r="L38" s="3" t="s">
        <v>21</v>
      </c>
      <c r="M38" s="3" t="s">
        <v>22</v>
      </c>
    </row>
    <row r="39" spans="5:13">
      <c r="E39" t="s">
        <v>80</v>
      </c>
      <c r="F39">
        <v>1.953947368421052</v>
      </c>
      <c r="G39">
        <v>0.163192756401706</v>
      </c>
      <c r="H39">
        <v>11.973248148412461</v>
      </c>
      <c r="I39">
        <v>9.6251099038779108E-9</v>
      </c>
      <c r="J39">
        <v>1.6039337169260599</v>
      </c>
      <c r="K39">
        <v>2.3039610199160441</v>
      </c>
      <c r="L39">
        <v>1.6039337169260599</v>
      </c>
      <c r="M39">
        <v>2.3039610199160441</v>
      </c>
    </row>
    <row r="40" spans="5:13" ht="15.75" thickBot="1">
      <c r="E40" s="2" t="s">
        <v>81</v>
      </c>
      <c r="F40" s="2">
        <v>0.32543859649122814</v>
      </c>
      <c r="G40" s="2">
        <v>2.6386704783526529E-2</v>
      </c>
      <c r="H40" s="2">
        <v>12.333430762237601</v>
      </c>
      <c r="I40" s="2">
        <v>6.5741512122019952E-9</v>
      </c>
      <c r="J40" s="2">
        <v>0.26884474333350339</v>
      </c>
      <c r="K40" s="2">
        <v>0.38203244964895289</v>
      </c>
      <c r="L40" s="2">
        <v>0.26884474333350339</v>
      </c>
      <c r="M40" s="2">
        <v>0.38203244964895289</v>
      </c>
    </row>
    <row r="44" spans="5:13">
      <c r="E44" t="s">
        <v>23</v>
      </c>
    </row>
    <row r="45" spans="5:13" ht="15.75" thickBot="1"/>
    <row r="46" spans="5:13">
      <c r="E46" s="3" t="s">
        <v>24</v>
      </c>
      <c r="F46" s="3" t="s">
        <v>25</v>
      </c>
      <c r="G46" s="3" t="s">
        <v>26</v>
      </c>
    </row>
    <row r="47" spans="5:13">
      <c r="E47">
        <v>1</v>
      </c>
      <c r="F47">
        <v>2.2793859649122803</v>
      </c>
      <c r="G47">
        <v>2.0614035087719529E-2</v>
      </c>
    </row>
    <row r="48" spans="5:13">
      <c r="E48">
        <v>2</v>
      </c>
      <c r="F48">
        <v>2.2793859649122803</v>
      </c>
      <c r="G48">
        <v>-0.47938596491228025</v>
      </c>
    </row>
    <row r="49" spans="1:7">
      <c r="E49">
        <v>3</v>
      </c>
      <c r="F49">
        <v>2.2793859649122803</v>
      </c>
      <c r="G49">
        <v>0.52061403508771953</v>
      </c>
    </row>
    <row r="50" spans="1:7">
      <c r="E50">
        <v>4</v>
      </c>
      <c r="F50">
        <v>2.2793859649122803</v>
      </c>
      <c r="G50">
        <v>-0.27938596491228029</v>
      </c>
    </row>
    <row r="51" spans="1:7">
      <c r="E51">
        <v>5</v>
      </c>
      <c r="F51">
        <v>3.2557017543859645</v>
      </c>
      <c r="G51">
        <v>-0.55570175438596436</v>
      </c>
    </row>
    <row r="52" spans="1:7">
      <c r="E52">
        <v>6</v>
      </c>
      <c r="F52">
        <v>3.2557017543859645</v>
      </c>
      <c r="G52">
        <v>0.24429824561403546</v>
      </c>
    </row>
    <row r="53" spans="1:7">
      <c r="E53">
        <v>7</v>
      </c>
      <c r="F53">
        <v>3.2557017543859645</v>
      </c>
      <c r="G53">
        <v>-5.5701754385964364E-2</v>
      </c>
    </row>
    <row r="54" spans="1:7">
      <c r="E54">
        <v>8</v>
      </c>
      <c r="F54">
        <v>3.2557017543859645</v>
      </c>
      <c r="G54">
        <v>0.44429824561403564</v>
      </c>
    </row>
    <row r="55" spans="1:7">
      <c r="E55">
        <v>9</v>
      </c>
      <c r="F55">
        <v>3.9065789473684207</v>
      </c>
      <c r="G55">
        <v>9.3421052631579293E-2</v>
      </c>
    </row>
    <row r="56" spans="1:7">
      <c r="E56">
        <v>10</v>
      </c>
      <c r="F56">
        <v>3.9065789473684207</v>
      </c>
      <c r="G56">
        <v>-0.40657894736842071</v>
      </c>
    </row>
    <row r="57" spans="1:7">
      <c r="E57">
        <v>11</v>
      </c>
      <c r="F57">
        <v>3.9065789473684207</v>
      </c>
      <c r="G57">
        <v>0.29342105263157947</v>
      </c>
    </row>
    <row r="58" spans="1:7">
      <c r="E58">
        <v>12</v>
      </c>
      <c r="F58">
        <v>3.9065789473684207</v>
      </c>
      <c r="G58">
        <v>0.39342105263157912</v>
      </c>
    </row>
    <row r="59" spans="1:7">
      <c r="E59">
        <v>13</v>
      </c>
      <c r="F59">
        <v>5.208333333333333</v>
      </c>
      <c r="G59">
        <v>-8.3333333333328596E-3</v>
      </c>
    </row>
    <row r="60" spans="1:7">
      <c r="E60">
        <v>14</v>
      </c>
      <c r="F60">
        <v>5.208333333333333</v>
      </c>
      <c r="G60">
        <v>-0.30833333333333268</v>
      </c>
    </row>
    <row r="61" spans="1:7">
      <c r="E61">
        <v>15</v>
      </c>
      <c r="F61">
        <v>5.208333333333333</v>
      </c>
      <c r="G61">
        <v>9.1666666666666785E-2</v>
      </c>
    </row>
    <row r="62" spans="1:7" ht="15.75" thickBot="1">
      <c r="E62" s="2">
        <v>16</v>
      </c>
      <c r="F62" s="2">
        <v>5.208333333333333</v>
      </c>
      <c r="G62" s="2">
        <v>-8.3333333333328596E-3</v>
      </c>
    </row>
    <row r="63" spans="1:7">
      <c r="F63" s="25" t="s">
        <v>227</v>
      </c>
      <c r="G63" s="20"/>
    </row>
    <row r="64" spans="1:7">
      <c r="A64" s="94" t="s">
        <v>246</v>
      </c>
    </row>
    <row r="65" spans="1:13">
      <c r="A65" t="s">
        <v>247</v>
      </c>
    </row>
    <row r="66" spans="1:13" ht="30">
      <c r="E66" s="95" t="s">
        <v>220</v>
      </c>
      <c r="F66" s="1" t="s">
        <v>242</v>
      </c>
      <c r="G66" s="1" t="s">
        <v>241</v>
      </c>
      <c r="H66" t="s">
        <v>243</v>
      </c>
      <c r="I66" s="1" t="s">
        <v>224</v>
      </c>
      <c r="J66" s="1" t="s">
        <v>248</v>
      </c>
      <c r="K66" s="1" t="s">
        <v>249</v>
      </c>
      <c r="L66" s="1" t="s">
        <v>261</v>
      </c>
      <c r="M66" s="1" t="s">
        <v>262</v>
      </c>
    </row>
    <row r="67" spans="1:13">
      <c r="A67" t="s">
        <v>237</v>
      </c>
      <c r="E67">
        <v>1</v>
      </c>
      <c r="F67">
        <v>2.2999999999999998</v>
      </c>
      <c r="G67" s="25">
        <f>AVERAGE(F67:F70)</f>
        <v>2.2249999999999996</v>
      </c>
      <c r="H67" s="25">
        <f>(F67-$G$67)^2</f>
        <v>5.6250000000000267E-3</v>
      </c>
      <c r="I67" s="25">
        <v>3</v>
      </c>
      <c r="J67" s="25"/>
      <c r="K67" s="20"/>
      <c r="L67" s="20"/>
      <c r="M67" s="20"/>
    </row>
    <row r="68" spans="1:13">
      <c r="A68" t="s">
        <v>238</v>
      </c>
      <c r="E68">
        <v>1</v>
      </c>
      <c r="F68">
        <v>1.8</v>
      </c>
      <c r="G68" s="25"/>
      <c r="H68" s="25">
        <f t="shared" ref="H68:H70" si="0">(F68-$G$67)^2</f>
        <v>0.18062499999999965</v>
      </c>
      <c r="I68" s="25"/>
      <c r="J68" s="25"/>
      <c r="K68" s="20"/>
      <c r="L68" s="20"/>
      <c r="M68" s="20"/>
    </row>
    <row r="69" spans="1:13">
      <c r="A69" t="s">
        <v>226</v>
      </c>
      <c r="E69">
        <v>1</v>
      </c>
      <c r="F69">
        <v>2.8</v>
      </c>
      <c r="G69" s="25"/>
      <c r="H69" s="25">
        <f t="shared" si="0"/>
        <v>0.33062500000000022</v>
      </c>
      <c r="I69" s="25"/>
      <c r="J69" s="25"/>
      <c r="K69" s="20"/>
      <c r="L69" s="20"/>
      <c r="M69" s="20"/>
    </row>
    <row r="70" spans="1:13">
      <c r="E70">
        <v>1</v>
      </c>
      <c r="F70">
        <v>2</v>
      </c>
      <c r="G70" s="25"/>
      <c r="H70" s="25">
        <f t="shared" si="0"/>
        <v>5.0624999999999837E-2</v>
      </c>
      <c r="I70" s="25"/>
      <c r="J70" s="25"/>
      <c r="K70" s="20"/>
      <c r="L70" s="20"/>
      <c r="M70" s="20"/>
    </row>
    <row r="71" spans="1:13">
      <c r="E71">
        <v>4</v>
      </c>
      <c r="F71">
        <v>2.7</v>
      </c>
      <c r="G71" s="25">
        <f>AVERAGE(F71:F74)</f>
        <v>3.2750000000000004</v>
      </c>
      <c r="H71" s="25">
        <f>(F71-$G$71)^2</f>
        <v>0.33062500000000022</v>
      </c>
      <c r="I71" s="25">
        <v>3</v>
      </c>
      <c r="J71" s="25"/>
      <c r="K71" s="20"/>
      <c r="L71" s="20"/>
      <c r="M71" s="20"/>
    </row>
    <row r="72" spans="1:13">
      <c r="E72">
        <v>4</v>
      </c>
      <c r="F72">
        <v>3.5</v>
      </c>
      <c r="G72" s="25"/>
      <c r="H72" s="25">
        <f t="shared" ref="H72:H74" si="1">(F72-$G$71)^2</f>
        <v>5.0624999999999837E-2</v>
      </c>
      <c r="I72" s="25"/>
      <c r="J72" s="25"/>
      <c r="K72" s="20"/>
      <c r="L72" s="20"/>
      <c r="M72" s="20"/>
    </row>
    <row r="73" spans="1:13">
      <c r="E73">
        <v>4</v>
      </c>
      <c r="F73">
        <v>3.2</v>
      </c>
      <c r="G73" s="25"/>
      <c r="H73" s="25">
        <f t="shared" si="1"/>
        <v>5.6250000000000267E-3</v>
      </c>
      <c r="I73" s="25"/>
      <c r="J73" s="25"/>
      <c r="K73" s="20"/>
      <c r="L73" s="20"/>
      <c r="M73" s="20"/>
    </row>
    <row r="74" spans="1:13">
      <c r="E74">
        <v>4</v>
      </c>
      <c r="F74">
        <v>3.7</v>
      </c>
      <c r="G74" s="25"/>
      <c r="H74" s="25">
        <f t="shared" si="1"/>
        <v>0.18062499999999984</v>
      </c>
      <c r="I74" s="25"/>
      <c r="J74" s="25"/>
      <c r="K74" s="20"/>
      <c r="L74" s="20"/>
      <c r="M74" s="20"/>
    </row>
    <row r="75" spans="1:13">
      <c r="E75">
        <v>6</v>
      </c>
      <c r="F75">
        <v>4</v>
      </c>
      <c r="G75" s="25">
        <f>AVERAGE(F75:F78)</f>
        <v>4</v>
      </c>
      <c r="H75" s="25">
        <f>(F75-$G$75)^2</f>
        <v>0</v>
      </c>
      <c r="I75" s="25">
        <v>3</v>
      </c>
      <c r="J75" s="25"/>
      <c r="K75" s="20"/>
      <c r="L75" s="20"/>
      <c r="M75" s="20"/>
    </row>
    <row r="76" spans="1:13">
      <c r="E76">
        <v>6</v>
      </c>
      <c r="F76">
        <v>3.5</v>
      </c>
      <c r="G76" s="25"/>
      <c r="H76" s="25">
        <f t="shared" ref="H76:H78" si="2">(F76-$G$75)^2</f>
        <v>0.25</v>
      </c>
      <c r="I76" s="25"/>
      <c r="J76" s="25"/>
      <c r="K76" s="20"/>
      <c r="L76" s="20"/>
      <c r="M76" s="20"/>
    </row>
    <row r="77" spans="1:13">
      <c r="E77">
        <v>6</v>
      </c>
      <c r="F77">
        <v>4.2</v>
      </c>
      <c r="G77" s="25"/>
      <c r="H77" s="25">
        <f t="shared" si="2"/>
        <v>4.000000000000007E-2</v>
      </c>
      <c r="I77" s="25"/>
      <c r="J77" s="25"/>
      <c r="K77" s="20"/>
      <c r="L77" s="20"/>
      <c r="M77" s="20"/>
    </row>
    <row r="78" spans="1:13">
      <c r="E78">
        <v>6</v>
      </c>
      <c r="F78">
        <v>4.3</v>
      </c>
      <c r="G78" s="25"/>
      <c r="H78" s="25">
        <f t="shared" si="2"/>
        <v>8.99999999999999E-2</v>
      </c>
      <c r="I78" s="25"/>
      <c r="J78" s="25"/>
      <c r="K78" s="20"/>
      <c r="L78" s="20"/>
      <c r="M78" s="20"/>
    </row>
    <row r="79" spans="1:13">
      <c r="E79">
        <v>10</v>
      </c>
      <c r="F79">
        <v>5.2</v>
      </c>
      <c r="G79" s="25">
        <f>AVERAGE(F79:F82)</f>
        <v>5.15</v>
      </c>
      <c r="H79" s="25">
        <f>(F79-$G$79)^2</f>
        <v>2.4999999999999823E-3</v>
      </c>
      <c r="I79" s="25">
        <v>3</v>
      </c>
      <c r="J79" s="25"/>
      <c r="K79" s="20"/>
      <c r="L79" s="20"/>
      <c r="M79" s="20"/>
    </row>
    <row r="80" spans="1:13">
      <c r="E80">
        <v>10</v>
      </c>
      <c r="F80">
        <v>4.9000000000000004</v>
      </c>
      <c r="G80" s="25"/>
      <c r="H80" s="25">
        <f t="shared" ref="H80:H82" si="3">(F80-$G$79)^2</f>
        <v>6.25E-2</v>
      </c>
      <c r="I80" s="25"/>
      <c r="J80" s="25"/>
      <c r="K80" s="20"/>
      <c r="L80" s="20"/>
      <c r="M80" s="20"/>
    </row>
    <row r="81" spans="1:13">
      <c r="A81" t="s">
        <v>230</v>
      </c>
      <c r="E81">
        <v>10</v>
      </c>
      <c r="F81">
        <v>5.3</v>
      </c>
      <c r="G81" s="25"/>
      <c r="H81" s="25">
        <f t="shared" si="3"/>
        <v>2.249999999999984E-2</v>
      </c>
      <c r="I81" s="25"/>
      <c r="J81" s="25"/>
      <c r="K81" s="20"/>
      <c r="L81" s="20"/>
      <c r="M81" s="20"/>
    </row>
    <row r="82" spans="1:13">
      <c r="A82" t="s">
        <v>231</v>
      </c>
      <c r="E82">
        <v>10</v>
      </c>
      <c r="F82">
        <v>5.2</v>
      </c>
      <c r="G82" s="25"/>
      <c r="H82" s="25">
        <f t="shared" si="3"/>
        <v>2.4999999999999823E-3</v>
      </c>
      <c r="I82" s="25"/>
      <c r="J82" s="25"/>
      <c r="K82" s="20"/>
      <c r="L82" s="20"/>
      <c r="M82" s="20"/>
    </row>
    <row r="83" spans="1:13">
      <c r="A83" s="21" t="s">
        <v>256</v>
      </c>
      <c r="B83" s="20"/>
      <c r="E83" s="96" t="s">
        <v>227</v>
      </c>
      <c r="F83" s="96">
        <f>SUM(F67:F82)</f>
        <v>58.599999999999994</v>
      </c>
      <c r="G83" s="96"/>
      <c r="H83" s="99">
        <f>SUM(H67:H82)</f>
        <v>1.6049999999999991</v>
      </c>
      <c r="I83" s="99">
        <f>SUM(I67:I82)</f>
        <v>12</v>
      </c>
      <c r="J83" s="98"/>
      <c r="K83" s="101"/>
      <c r="L83" s="101"/>
      <c r="M83" s="101"/>
    </row>
    <row r="84" spans="1:13">
      <c r="A84" s="21" t="s">
        <v>257</v>
      </c>
      <c r="B84" s="20"/>
      <c r="F84" s="1">
        <f>AVERAGE(F67:F82)</f>
        <v>3.6624999999999996</v>
      </c>
    </row>
    <row r="85" spans="1:13">
      <c r="A85" s="21" t="s">
        <v>258</v>
      </c>
      <c r="B85" s="20"/>
    </row>
    <row r="86" spans="1:13">
      <c r="A86" s="21" t="s">
        <v>259</v>
      </c>
      <c r="B86" s="20"/>
    </row>
    <row r="87" spans="1:13">
      <c r="A87" s="21" t="s">
        <v>260</v>
      </c>
      <c r="B87" s="20"/>
      <c r="C87">
        <f>B85-B86</f>
        <v>0</v>
      </c>
    </row>
    <row r="89" spans="1:13">
      <c r="B89" t="s">
        <v>13</v>
      </c>
      <c r="C89" t="s">
        <v>14</v>
      </c>
      <c r="D89" t="s">
        <v>15</v>
      </c>
      <c r="E89" t="s">
        <v>16</v>
      </c>
      <c r="F89" t="s">
        <v>225</v>
      </c>
      <c r="G89" t="s">
        <v>29</v>
      </c>
    </row>
    <row r="90" spans="1:13">
      <c r="A90" t="s">
        <v>10</v>
      </c>
      <c r="B90" s="20">
        <f>F34</f>
        <v>1</v>
      </c>
      <c r="C90" s="20">
        <f t="shared" ref="C90:E90" si="4">G34</f>
        <v>18.110657894736843</v>
      </c>
      <c r="D90" s="20">
        <f t="shared" si="4"/>
        <v>18.110657894736843</v>
      </c>
      <c r="E90" s="20">
        <f t="shared" si="4"/>
        <v>152.11351436690873</v>
      </c>
      <c r="F90" s="20"/>
      <c r="G90" s="20">
        <f>J34</f>
        <v>6.5741512122020192E-9</v>
      </c>
    </row>
    <row r="91" spans="1:13">
      <c r="A91" t="s">
        <v>11</v>
      </c>
      <c r="B91" s="83">
        <f>F35</f>
        <v>14</v>
      </c>
      <c r="C91" s="83">
        <f t="shared" ref="C91" si="5">G35</f>
        <v>1.6668421052631581</v>
      </c>
      <c r="D91" s="83">
        <f t="shared" ref="D91" si="6">H35</f>
        <v>0.11906015037593987</v>
      </c>
      <c r="E91" s="20"/>
      <c r="F91" s="20"/>
      <c r="G91" s="20"/>
    </row>
    <row r="92" spans="1:13">
      <c r="A92" s="21" t="s">
        <v>239</v>
      </c>
      <c r="B92" s="20">
        <f>B91-B93</f>
        <v>2</v>
      </c>
      <c r="C92" s="20">
        <f>C91-C93</f>
        <v>6.1842105263159031E-2</v>
      </c>
      <c r="D92" s="20">
        <f>C92/B92</f>
        <v>3.0921052631579515E-2</v>
      </c>
      <c r="E92" s="103">
        <f>D92/D93</f>
        <v>0.23118544023610865</v>
      </c>
      <c r="F92" s="20">
        <f>_xlfn.F.INV(0.98,B92,B93)</f>
        <v>5.5162986219989065</v>
      </c>
      <c r="G92" s="20">
        <f>1-_xlfn.F.DIST(E92,B92,B93,1)</f>
        <v>0.79704610888289706</v>
      </c>
    </row>
    <row r="93" spans="1:13">
      <c r="A93" s="21" t="s">
        <v>240</v>
      </c>
      <c r="B93" s="20">
        <f>I83</f>
        <v>12</v>
      </c>
      <c r="C93" s="20">
        <f>H83</f>
        <v>1.6049999999999991</v>
      </c>
      <c r="D93" s="20">
        <f>C93/B93</f>
        <v>0.13374999999999992</v>
      </c>
      <c r="E93" s="20"/>
      <c r="F93" s="20"/>
      <c r="G93" s="20"/>
    </row>
    <row r="94" spans="1:13" ht="15.75" thickBot="1">
      <c r="A94" s="2" t="s">
        <v>12</v>
      </c>
      <c r="B94" s="20"/>
      <c r="C94" s="20"/>
      <c r="D94" s="20"/>
      <c r="E94" s="20"/>
      <c r="F94" s="20"/>
      <c r="G94" s="20"/>
    </row>
    <row r="97" spans="1:11">
      <c r="A97" t="s">
        <v>229</v>
      </c>
    </row>
    <row r="98" spans="1:11">
      <c r="F98" s="100" t="s">
        <v>232</v>
      </c>
    </row>
    <row r="100" spans="1:11">
      <c r="A100" t="s">
        <v>236</v>
      </c>
    </row>
    <row r="101" spans="1:11">
      <c r="A101" t="s">
        <v>233</v>
      </c>
      <c r="F101" t="s">
        <v>341</v>
      </c>
    </row>
    <row r="102" spans="1:11">
      <c r="A102" t="s">
        <v>244</v>
      </c>
    </row>
    <row r="103" spans="1:11">
      <c r="A103" s="21" t="s">
        <v>152</v>
      </c>
      <c r="B103" s="20">
        <f>E92</f>
        <v>0.23118544023610865</v>
      </c>
      <c r="C103" s="102" t="s">
        <v>270</v>
      </c>
      <c r="D103" s="20">
        <f>F92</f>
        <v>5.5162986219989065</v>
      </c>
      <c r="E103" t="s">
        <v>245</v>
      </c>
      <c r="F103" t="s">
        <v>250</v>
      </c>
      <c r="K103" s="20" t="s">
        <v>274</v>
      </c>
    </row>
    <row r="104" spans="1:11">
      <c r="J104" s="21" t="s">
        <v>251</v>
      </c>
      <c r="K104" s="20" t="s">
        <v>171</v>
      </c>
    </row>
    <row r="106" spans="1:11">
      <c r="A106" t="s">
        <v>252</v>
      </c>
    </row>
    <row r="107" spans="1:11">
      <c r="A107" s="21" t="s">
        <v>253</v>
      </c>
      <c r="B107" s="20">
        <f>G92</f>
        <v>0.79704610888289706</v>
      </c>
      <c r="C107" s="102" t="s">
        <v>275</v>
      </c>
      <c r="D107" s="20">
        <v>0.02</v>
      </c>
      <c r="E107" t="s">
        <v>254</v>
      </c>
      <c r="F107" t="s">
        <v>250</v>
      </c>
      <c r="K107" s="20" t="s">
        <v>274</v>
      </c>
    </row>
    <row r="108" spans="1:11">
      <c r="J108" s="21" t="s">
        <v>251</v>
      </c>
      <c r="K108" s="20" t="s">
        <v>171</v>
      </c>
    </row>
    <row r="109" spans="1:11">
      <c r="A109" t="s">
        <v>255</v>
      </c>
    </row>
    <row r="111" spans="1:11">
      <c r="A111" t="s">
        <v>263</v>
      </c>
    </row>
  </sheetData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7"/>
  <sheetViews>
    <sheetView zoomScaleNormal="100" workbookViewId="0">
      <selection activeCell="P17" sqref="P17"/>
    </sheetView>
  </sheetViews>
  <sheetFormatPr defaultColWidth="9.140625" defaultRowHeight="15"/>
  <cols>
    <col min="1" max="1" width="14.42578125" customWidth="1"/>
    <col min="2" max="2" width="17.28515625" customWidth="1"/>
    <col min="3" max="3" width="12.7109375" customWidth="1"/>
    <col min="4" max="4" width="17.28515625" customWidth="1"/>
    <col min="5" max="5" width="9.140625" customWidth="1"/>
    <col min="6" max="6" width="16.85546875" customWidth="1"/>
    <col min="7" max="7" width="6" customWidth="1"/>
  </cols>
  <sheetData>
    <row r="1" spans="1:9">
      <c r="A1" t="s">
        <v>114</v>
      </c>
      <c r="B1" t="s">
        <v>79</v>
      </c>
    </row>
    <row r="2" spans="1:9">
      <c r="B2" t="s">
        <v>117</v>
      </c>
    </row>
    <row r="3" spans="1:9">
      <c r="B3" t="s">
        <v>90</v>
      </c>
      <c r="D3" s="5"/>
      <c r="E3" s="5"/>
      <c r="F3" s="5"/>
      <c r="G3" s="5"/>
      <c r="H3">
        <f>CORREL(B5:B12,C5:C12)</f>
        <v>-0.98325309910521996</v>
      </c>
      <c r="I3" t="s">
        <v>342</v>
      </c>
    </row>
    <row r="4" spans="1:9">
      <c r="B4" s="6" t="s">
        <v>0</v>
      </c>
      <c r="C4" s="6" t="s">
        <v>1</v>
      </c>
    </row>
    <row r="5" spans="1:9">
      <c r="B5" s="1">
        <v>5</v>
      </c>
      <c r="C5" s="1">
        <v>19</v>
      </c>
    </row>
    <row r="6" spans="1:9">
      <c r="B6" s="1">
        <v>12</v>
      </c>
      <c r="C6" s="1">
        <v>17</v>
      </c>
    </row>
    <row r="7" spans="1:9">
      <c r="B7" s="1">
        <v>20</v>
      </c>
      <c r="C7" s="1">
        <v>18</v>
      </c>
    </row>
    <row r="8" spans="1:9">
      <c r="B8" s="1">
        <v>26</v>
      </c>
      <c r="C8" s="1">
        <v>17</v>
      </c>
    </row>
    <row r="9" spans="1:9">
      <c r="B9" s="1">
        <v>29</v>
      </c>
      <c r="C9" s="1">
        <v>17</v>
      </c>
    </row>
    <row r="10" spans="1:9">
      <c r="B10" s="1">
        <v>38</v>
      </c>
      <c r="C10" s="1">
        <v>15</v>
      </c>
    </row>
    <row r="11" spans="1:9">
      <c r="B11" s="1">
        <v>65</v>
      </c>
      <c r="C11" s="1">
        <v>14</v>
      </c>
    </row>
    <row r="12" spans="1:9">
      <c r="B12" s="1">
        <v>126</v>
      </c>
      <c r="C12" s="1">
        <v>7</v>
      </c>
    </row>
    <row r="16" spans="1:9">
      <c r="A16" t="s">
        <v>2</v>
      </c>
    </row>
    <row r="17" spans="1:10" ht="15.75" thickBot="1"/>
    <row r="18" spans="1:10">
      <c r="A18" s="4" t="s">
        <v>3</v>
      </c>
      <c r="B18" s="4"/>
    </row>
    <row r="19" spans="1:10">
      <c r="A19" t="s">
        <v>4</v>
      </c>
      <c r="B19">
        <v>0.98325309910522007</v>
      </c>
    </row>
    <row r="20" spans="1:10">
      <c r="A20" t="s">
        <v>5</v>
      </c>
      <c r="B20">
        <v>0.96678665690001975</v>
      </c>
    </row>
    <row r="21" spans="1:10">
      <c r="A21" t="s">
        <v>6</v>
      </c>
      <c r="B21">
        <v>0.96125109971668976</v>
      </c>
    </row>
    <row r="22" spans="1:10">
      <c r="A22" t="s">
        <v>7</v>
      </c>
      <c r="B22">
        <v>0.74401325144986785</v>
      </c>
    </row>
    <row r="23" spans="1:10" ht="15.75" thickBot="1">
      <c r="A23" s="2" t="s">
        <v>8</v>
      </c>
      <c r="B23" s="2">
        <v>8</v>
      </c>
    </row>
    <row r="25" spans="1:10" ht="15.75" thickBot="1">
      <c r="A25" t="s">
        <v>9</v>
      </c>
    </row>
    <row r="26" spans="1:10">
      <c r="A26" s="3"/>
      <c r="B26" s="3" t="s">
        <v>13</v>
      </c>
      <c r="C26" s="3" t="s">
        <v>14</v>
      </c>
      <c r="D26" s="3" t="s">
        <v>15</v>
      </c>
      <c r="E26" s="3" t="s">
        <v>16</v>
      </c>
      <c r="F26" s="3" t="s">
        <v>265</v>
      </c>
    </row>
    <row r="27" spans="1:10">
      <c r="A27" t="s">
        <v>10</v>
      </c>
      <c r="B27">
        <v>1</v>
      </c>
      <c r="C27">
        <v>96.678665690001978</v>
      </c>
      <c r="D27">
        <v>96.678665690001978</v>
      </c>
      <c r="E27">
        <v>174.65028810675693</v>
      </c>
      <c r="F27">
        <v>1.1595046653471078E-5</v>
      </c>
    </row>
    <row r="28" spans="1:10">
      <c r="A28" t="s">
        <v>11</v>
      </c>
      <c r="B28">
        <v>6</v>
      </c>
      <c r="C28">
        <v>3.3213343099980253</v>
      </c>
      <c r="D28">
        <v>0.55355571833300421</v>
      </c>
    </row>
    <row r="29" spans="1:10" ht="15.75" thickBot="1">
      <c r="A29" s="2" t="s">
        <v>12</v>
      </c>
      <c r="B29" s="2">
        <v>7</v>
      </c>
      <c r="C29" s="2">
        <v>100</v>
      </c>
      <c r="D29" s="2"/>
      <c r="E29" s="2"/>
      <c r="F29" s="2"/>
      <c r="J29" s="43"/>
    </row>
    <row r="30" spans="1:10" ht="15.75" thickBot="1"/>
    <row r="31" spans="1:10">
      <c r="A31" s="3"/>
      <c r="B31" s="3" t="s">
        <v>266</v>
      </c>
      <c r="C31" s="3" t="s">
        <v>7</v>
      </c>
      <c r="D31" s="3" t="s">
        <v>17</v>
      </c>
      <c r="E31" s="3" t="s">
        <v>18</v>
      </c>
      <c r="F31" s="3" t="s">
        <v>19</v>
      </c>
      <c r="G31" s="3" t="s">
        <v>20</v>
      </c>
      <c r="H31" s="3" t="s">
        <v>21</v>
      </c>
      <c r="I31" s="3" t="s">
        <v>22</v>
      </c>
    </row>
    <row r="32" spans="1:10">
      <c r="A32" t="s">
        <v>80</v>
      </c>
      <c r="B32">
        <v>19.305033311242109</v>
      </c>
      <c r="C32">
        <v>0.38999121230271727</v>
      </c>
      <c r="D32">
        <v>49.501200802076639</v>
      </c>
      <c r="E32">
        <v>4.5584922592274544E-9</v>
      </c>
      <c r="F32">
        <v>18.350759192016195</v>
      </c>
      <c r="G32">
        <v>20.259307430468024</v>
      </c>
      <c r="H32">
        <v>18.350759192016195</v>
      </c>
      <c r="I32">
        <v>20.259307430468024</v>
      </c>
    </row>
    <row r="33" spans="1:9" ht="15.75" thickBot="1">
      <c r="A33" s="2" t="s">
        <v>0</v>
      </c>
      <c r="B33" s="2">
        <v>-9.4829490622856297E-2</v>
      </c>
      <c r="C33" s="2">
        <v>7.1756089775716911E-3</v>
      </c>
      <c r="D33" s="2">
        <v>-13.21553207807983</v>
      </c>
      <c r="E33" s="2">
        <v>1.1595046653471058E-5</v>
      </c>
      <c r="F33" s="2">
        <v>-0.1123875732692587</v>
      </c>
      <c r="G33" s="2">
        <v>-7.727140797645389E-2</v>
      </c>
      <c r="H33" s="2">
        <v>-0.1123875732692587</v>
      </c>
      <c r="I33" s="2">
        <v>-7.727140797645389E-2</v>
      </c>
    </row>
    <row r="37" spans="1:9">
      <c r="B37" s="43"/>
      <c r="C37" s="43"/>
      <c r="D37" s="43"/>
      <c r="F37" s="43"/>
      <c r="G37" s="43"/>
    </row>
  </sheetData>
  <sortState ref="G38:G45">
    <sortCondition ref="G38"/>
  </sortState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58"/>
  <sheetViews>
    <sheetView tabSelected="1" topLeftCell="A22" zoomScaleNormal="100" workbookViewId="0">
      <selection activeCell="G15" sqref="G15"/>
    </sheetView>
  </sheetViews>
  <sheetFormatPr defaultRowHeight="15"/>
  <cols>
    <col min="2" max="2" width="17.28515625" customWidth="1"/>
    <col min="3" max="3" width="12.7109375" customWidth="1"/>
    <col min="4" max="4" width="9.85546875" customWidth="1"/>
    <col min="5" max="5" width="9.140625" customWidth="1"/>
    <col min="6" max="6" width="13.7109375" customWidth="1"/>
    <col min="7" max="7" width="13.85546875" customWidth="1"/>
    <col min="8" max="8" width="9.7109375" customWidth="1"/>
    <col min="9" max="9" width="9.85546875" customWidth="1"/>
    <col min="10" max="10" width="12" bestFit="1" customWidth="1"/>
    <col min="12" max="12" width="11" bestFit="1" customWidth="1"/>
  </cols>
  <sheetData>
    <row r="1" spans="1:7">
      <c r="A1" t="s">
        <v>114</v>
      </c>
      <c r="B1" t="s">
        <v>79</v>
      </c>
    </row>
    <row r="2" spans="1:7">
      <c r="A2" t="s">
        <v>115</v>
      </c>
      <c r="B2" t="s">
        <v>141</v>
      </c>
    </row>
    <row r="3" spans="1:7">
      <c r="B3" t="s">
        <v>139</v>
      </c>
      <c r="D3" s="5"/>
      <c r="E3" s="5"/>
      <c r="F3" s="5"/>
      <c r="G3" s="5"/>
    </row>
    <row r="4" spans="1:7">
      <c r="B4" s="6" t="s">
        <v>0</v>
      </c>
      <c r="C4" s="6" t="s">
        <v>1</v>
      </c>
    </row>
    <row r="5" spans="1:7">
      <c r="B5" s="1">
        <v>5</v>
      </c>
      <c r="C5" s="1">
        <v>19</v>
      </c>
    </row>
    <row r="6" spans="1:7">
      <c r="B6" s="1">
        <v>12</v>
      </c>
      <c r="C6" s="1">
        <v>17</v>
      </c>
      <c r="E6" s="21" t="s">
        <v>394</v>
      </c>
      <c r="F6">
        <f>INTERCEPT(C5:C12,B5:B12)</f>
        <v>19.305033311242109</v>
      </c>
    </row>
    <row r="7" spans="1:7">
      <c r="B7" s="1">
        <v>20</v>
      </c>
      <c r="C7" s="1">
        <v>18</v>
      </c>
      <c r="E7" s="21" t="s">
        <v>145</v>
      </c>
      <c r="F7">
        <f>SLOPE(C5:C12,B5:B12)</f>
        <v>-9.4829490622856283E-2</v>
      </c>
    </row>
    <row r="8" spans="1:7">
      <c r="B8" s="1">
        <v>26</v>
      </c>
      <c r="C8" s="1">
        <v>17</v>
      </c>
    </row>
    <row r="9" spans="1:7">
      <c r="B9" s="1">
        <v>29</v>
      </c>
      <c r="C9" s="1">
        <v>17</v>
      </c>
    </row>
    <row r="10" spans="1:7">
      <c r="B10" s="1">
        <v>38</v>
      </c>
      <c r="C10" s="1">
        <v>15</v>
      </c>
    </row>
    <row r="11" spans="1:7">
      <c r="B11" s="1">
        <v>65</v>
      </c>
      <c r="C11" s="1">
        <v>14</v>
      </c>
    </row>
    <row r="12" spans="1:7">
      <c r="B12" s="1">
        <v>126</v>
      </c>
      <c r="C12" s="1">
        <v>7</v>
      </c>
    </row>
    <row r="13" spans="1:7">
      <c r="A13" t="s">
        <v>116</v>
      </c>
      <c r="B13" s="7"/>
      <c r="C13" s="7"/>
    </row>
    <row r="14" spans="1:7">
      <c r="A14" t="s">
        <v>27</v>
      </c>
    </row>
    <row r="15" spans="1:7">
      <c r="B15" t="s">
        <v>2</v>
      </c>
    </row>
    <row r="16" spans="1:7" ht="15.75" thickBot="1"/>
    <row r="17" spans="2:15">
      <c r="B17" s="4" t="s">
        <v>3</v>
      </c>
      <c r="C17" s="4"/>
    </row>
    <row r="18" spans="2:15">
      <c r="B18" t="s">
        <v>4</v>
      </c>
      <c r="C18">
        <v>0.98325309910522007</v>
      </c>
      <c r="D18" s="20">
        <f>-C18</f>
        <v>-0.98325309910522007</v>
      </c>
    </row>
    <row r="19" spans="2:15">
      <c r="B19" t="s">
        <v>5</v>
      </c>
      <c r="C19">
        <v>0.96678665690001975</v>
      </c>
      <c r="D19" s="20">
        <f>D28/D30</f>
        <v>0.96678665690001975</v>
      </c>
      <c r="E19" s="20">
        <f>RSQ(C5:C12,B5:B12)</f>
        <v>0.96678665690001953</v>
      </c>
      <c r="F19" s="20"/>
    </row>
    <row r="20" spans="2:15">
      <c r="B20" t="s">
        <v>6</v>
      </c>
      <c r="C20">
        <v>0.96125109971668976</v>
      </c>
      <c r="D20" s="20">
        <f>1-(1-C19)*(C22-1)/(C22-2)</f>
        <v>0.96125109971668965</v>
      </c>
    </row>
    <row r="21" spans="2:15">
      <c r="B21" t="s">
        <v>7</v>
      </c>
      <c r="C21">
        <v>0.74401325144986785</v>
      </c>
    </row>
    <row r="22" spans="2:15" ht="15.75" thickBot="1">
      <c r="B22" s="2" t="s">
        <v>8</v>
      </c>
      <c r="C22" s="2">
        <v>8</v>
      </c>
    </row>
    <row r="24" spans="2:15">
      <c r="B24" t="s">
        <v>170</v>
      </c>
      <c r="L24" s="141" t="s">
        <v>339</v>
      </c>
      <c r="N24" s="157" t="s">
        <v>356</v>
      </c>
    </row>
    <row r="25" spans="2:15">
      <c r="B25" s="56" t="s">
        <v>149</v>
      </c>
      <c r="K25" s="77"/>
      <c r="L25" s="77" t="s">
        <v>213</v>
      </c>
    </row>
    <row r="26" spans="2:15" ht="15.75" thickBot="1">
      <c r="B26" t="s">
        <v>9</v>
      </c>
      <c r="L26" s="77" t="s">
        <v>174</v>
      </c>
    </row>
    <row r="27" spans="2:15">
      <c r="B27" s="65"/>
      <c r="C27" s="66" t="s">
        <v>13</v>
      </c>
      <c r="D27" s="66" t="s">
        <v>14</v>
      </c>
      <c r="E27" s="66" t="s">
        <v>15</v>
      </c>
      <c r="F27" s="66" t="s">
        <v>16</v>
      </c>
      <c r="G27" s="67" t="s">
        <v>29</v>
      </c>
      <c r="I27" s="21" t="s">
        <v>150</v>
      </c>
      <c r="J27" s="79">
        <f>E28</f>
        <v>96.678665690001978</v>
      </c>
      <c r="L27" t="s">
        <v>161</v>
      </c>
    </row>
    <row r="28" spans="2:15">
      <c r="B28" s="51" t="s">
        <v>10</v>
      </c>
      <c r="C28" s="1">
        <v>1</v>
      </c>
      <c r="D28">
        <v>96.678665690001978</v>
      </c>
      <c r="E28">
        <v>96.678665690001978</v>
      </c>
      <c r="F28" s="131">
        <v>174.65028810675693</v>
      </c>
      <c r="G28" s="114">
        <v>1.1595046653471078E-5</v>
      </c>
      <c r="I28" s="21" t="s">
        <v>151</v>
      </c>
      <c r="J28" s="79">
        <f>E29</f>
        <v>0.55355571833300421</v>
      </c>
      <c r="L28" t="s">
        <v>156</v>
      </c>
      <c r="O28" t="s">
        <v>162</v>
      </c>
    </row>
    <row r="29" spans="2:15">
      <c r="B29" s="51" t="s">
        <v>11</v>
      </c>
      <c r="C29" s="1">
        <v>6</v>
      </c>
      <c r="D29">
        <v>3.3213343099980253</v>
      </c>
      <c r="E29">
        <v>0.55355571833300421</v>
      </c>
      <c r="G29" s="52"/>
      <c r="I29" s="21" t="s">
        <v>393</v>
      </c>
      <c r="J29" s="132">
        <f>E28/E29</f>
        <v>174.65028810675693</v>
      </c>
      <c r="L29" s="133">
        <f>J29</f>
        <v>174.65028810675693</v>
      </c>
      <c r="M29" s="25" t="s">
        <v>275</v>
      </c>
      <c r="N29" s="25">
        <f>J30</f>
        <v>5.9873776072736975</v>
      </c>
    </row>
    <row r="30" spans="2:15" ht="19.5" thickBot="1">
      <c r="B30" s="53" t="s">
        <v>12</v>
      </c>
      <c r="C30" s="74">
        <v>7</v>
      </c>
      <c r="D30" s="54">
        <v>100</v>
      </c>
      <c r="E30" s="54"/>
      <c r="F30" s="54"/>
      <c r="G30" s="55"/>
      <c r="I30" s="21" t="s">
        <v>153</v>
      </c>
      <c r="J30" s="79">
        <f>_xlfn.F.INV(0.95,C28,C29)</f>
        <v>5.9873776072736975</v>
      </c>
    </row>
    <row r="31" spans="2:15">
      <c r="I31" s="21" t="s">
        <v>154</v>
      </c>
      <c r="J31" s="115">
        <f>1-_xlfn.F.DIST(F28,C28,C29,1)</f>
        <v>1.159504665348976E-5</v>
      </c>
      <c r="L31" t="s">
        <v>163</v>
      </c>
    </row>
    <row r="32" spans="2:15">
      <c r="I32" s="21"/>
      <c r="L32" t="s">
        <v>164</v>
      </c>
    </row>
    <row r="33" spans="2:14">
      <c r="B33" t="s">
        <v>175</v>
      </c>
      <c r="I33" s="21"/>
      <c r="L33" t="s">
        <v>169</v>
      </c>
    </row>
    <row r="34" spans="2:14" ht="15.75" thickBot="1">
      <c r="B34" s="73" t="s">
        <v>389</v>
      </c>
      <c r="L34" s="130">
        <f>J31</f>
        <v>1.159504665348976E-5</v>
      </c>
      <c r="M34" s="25" t="s">
        <v>270</v>
      </c>
      <c r="N34" s="25">
        <v>0.05</v>
      </c>
    </row>
    <row r="35" spans="2:14">
      <c r="B35" s="57"/>
      <c r="C35" s="58" t="s">
        <v>28</v>
      </c>
      <c r="D35" s="58" t="s">
        <v>7</v>
      </c>
      <c r="E35" s="58" t="s">
        <v>17</v>
      </c>
      <c r="F35" s="58" t="s">
        <v>18</v>
      </c>
      <c r="G35" s="58" t="s">
        <v>19</v>
      </c>
      <c r="H35" s="58" t="s">
        <v>20</v>
      </c>
      <c r="I35" s="58" t="s">
        <v>21</v>
      </c>
      <c r="J35" s="59" t="s">
        <v>22</v>
      </c>
      <c r="L35" t="s">
        <v>171</v>
      </c>
      <c r="M35" t="s">
        <v>172</v>
      </c>
    </row>
    <row r="36" spans="2:14">
      <c r="B36" s="60" t="s">
        <v>80</v>
      </c>
      <c r="C36" s="75">
        <v>19.305033311242109</v>
      </c>
      <c r="D36">
        <v>0.38999121230271727</v>
      </c>
      <c r="E36">
        <v>49.501200802076639</v>
      </c>
      <c r="F36">
        <v>4.5584922592274544E-9</v>
      </c>
      <c r="G36">
        <v>18.350759192016195</v>
      </c>
      <c r="H36">
        <v>20.259307430468024</v>
      </c>
      <c r="I36">
        <v>18.350759192016195</v>
      </c>
      <c r="J36" s="61">
        <v>20.259307430468024</v>
      </c>
      <c r="L36" t="s">
        <v>173</v>
      </c>
      <c r="M36" t="s">
        <v>174</v>
      </c>
    </row>
    <row r="37" spans="2:14" ht="15.75" thickBot="1">
      <c r="B37" s="62" t="s">
        <v>81</v>
      </c>
      <c r="C37" s="76">
        <v>-9.4829490622856297E-2</v>
      </c>
      <c r="D37" s="63">
        <v>7.1756089775716911E-3</v>
      </c>
      <c r="E37" s="128">
        <v>-13.21553207807983</v>
      </c>
      <c r="F37" s="116">
        <v>1.1595046653471058E-5</v>
      </c>
      <c r="G37" s="134">
        <v>-0.1123875732692587</v>
      </c>
      <c r="H37" s="134">
        <v>-7.727140797645389E-2</v>
      </c>
      <c r="I37" s="63">
        <v>-0.1123875732692587</v>
      </c>
      <c r="J37" s="64">
        <v>-7.727140797645389E-2</v>
      </c>
      <c r="L37" t="s">
        <v>379</v>
      </c>
    </row>
    <row r="38" spans="2:14">
      <c r="B38" s="41" t="s">
        <v>45</v>
      </c>
      <c r="C38" s="68"/>
      <c r="D38" s="68"/>
      <c r="E38" s="68"/>
      <c r="F38" s="68"/>
    </row>
    <row r="39" spans="2:14">
      <c r="B39" s="69" t="s">
        <v>46</v>
      </c>
      <c r="C39" s="70">
        <f>C36</f>
        <v>19.305033311242109</v>
      </c>
      <c r="D39" s="70" t="s">
        <v>47</v>
      </c>
      <c r="E39" s="71">
        <f>C37</f>
        <v>-9.4829490622856297E-2</v>
      </c>
      <c r="F39" s="72" t="s">
        <v>48</v>
      </c>
      <c r="I39" s="21" t="s">
        <v>145</v>
      </c>
      <c r="J39" s="79">
        <f>C37</f>
        <v>-9.4829490622856297E-2</v>
      </c>
    </row>
    <row r="40" spans="2:14">
      <c r="I40" s="21" t="s">
        <v>146</v>
      </c>
      <c r="J40" s="79">
        <f>E29</f>
        <v>0.55355571833300421</v>
      </c>
    </row>
    <row r="41" spans="2:14">
      <c r="B41" t="s">
        <v>23</v>
      </c>
      <c r="I41" s="21" t="s">
        <v>147</v>
      </c>
      <c r="J41" s="79">
        <f>SQRT(J40)</f>
        <v>0.74401325144986785</v>
      </c>
      <c r="L41" s="141" t="s">
        <v>340</v>
      </c>
      <c r="N41" s="157" t="s">
        <v>356</v>
      </c>
    </row>
    <row r="42" spans="2:14" ht="15.75" thickBot="1">
      <c r="I42" s="21" t="s">
        <v>148</v>
      </c>
      <c r="J42" s="79">
        <f>DEVSQ(B5:B12)</f>
        <v>10750.875</v>
      </c>
      <c r="L42" s="78" t="s">
        <v>155</v>
      </c>
    </row>
    <row r="43" spans="2:14">
      <c r="B43" s="3" t="s">
        <v>24</v>
      </c>
      <c r="C43" s="3" t="s">
        <v>25</v>
      </c>
      <c r="D43" s="3" t="s">
        <v>26</v>
      </c>
      <c r="I43" s="21" t="s">
        <v>168</v>
      </c>
      <c r="J43" s="79">
        <f>SQRT(J42)</f>
        <v>103.68642630547163</v>
      </c>
      <c r="L43" t="s">
        <v>159</v>
      </c>
    </row>
    <row r="44" spans="2:14" ht="21.75" customHeight="1">
      <c r="B44">
        <v>1</v>
      </c>
      <c r="C44">
        <v>18.830885858127829</v>
      </c>
      <c r="D44">
        <v>0.16911414187217133</v>
      </c>
      <c r="I44" s="21" t="s">
        <v>292</v>
      </c>
      <c r="J44" s="129">
        <f>J39*J43/J41</f>
        <v>-13.215532078079828</v>
      </c>
      <c r="L44" t="s">
        <v>156</v>
      </c>
      <c r="N44" t="s">
        <v>157</v>
      </c>
    </row>
    <row r="45" spans="2:14">
      <c r="B45">
        <v>2</v>
      </c>
      <c r="C45">
        <v>18.167079423767834</v>
      </c>
      <c r="D45">
        <v>-1.1670794237678344</v>
      </c>
      <c r="J45" s="129">
        <f>C37/D37</f>
        <v>-13.21553207807983</v>
      </c>
      <c r="L45" s="103">
        <f>ABS(J44)</f>
        <v>13.215532078079828</v>
      </c>
      <c r="M45" s="25" t="s">
        <v>275</v>
      </c>
      <c r="N45" s="20">
        <f>J46</f>
        <v>2.4469118511449688</v>
      </c>
    </row>
    <row r="46" spans="2:14" ht="18.75">
      <c r="B46">
        <v>3</v>
      </c>
      <c r="C46">
        <v>17.408443498784983</v>
      </c>
      <c r="D46">
        <v>0.59155650121501679</v>
      </c>
      <c r="I46" s="21" t="s">
        <v>271</v>
      </c>
      <c r="J46" s="79">
        <f>_xlfn.T.INV(0.975,6)</f>
        <v>2.4469118511449688</v>
      </c>
    </row>
    <row r="47" spans="2:14">
      <c r="B47">
        <v>4</v>
      </c>
      <c r="C47">
        <v>16.839466555047846</v>
      </c>
      <c r="D47">
        <v>0.16053344495215427</v>
      </c>
      <c r="L47" t="s">
        <v>160</v>
      </c>
    </row>
    <row r="48" spans="2:14">
      <c r="B48">
        <v>5</v>
      </c>
      <c r="C48">
        <v>16.554978083179275</v>
      </c>
      <c r="D48">
        <v>0.44502191682072478</v>
      </c>
      <c r="I48" s="21" t="s">
        <v>154</v>
      </c>
      <c r="J48" s="127">
        <f>2*MIN(J49:J50)</f>
        <v>1.1595046653471058E-5</v>
      </c>
      <c r="L48" s="78" t="s">
        <v>178</v>
      </c>
    </row>
    <row r="49" spans="2:14">
      <c r="B49">
        <v>6</v>
      </c>
      <c r="C49">
        <v>15.701512667573571</v>
      </c>
      <c r="D49">
        <v>-0.70151266757357078</v>
      </c>
      <c r="I49" s="21" t="s">
        <v>165</v>
      </c>
      <c r="J49" s="79">
        <f>_xlfn.T.DIST(E37,6,1)</f>
        <v>5.7975233267355288E-6</v>
      </c>
      <c r="L49" s="21" t="s">
        <v>158</v>
      </c>
      <c r="M49" s="136">
        <f>G37</f>
        <v>-0.1123875732692587</v>
      </c>
      <c r="N49" s="136">
        <f>H37</f>
        <v>-7.727140797645389E-2</v>
      </c>
    </row>
    <row r="50" spans="2:14">
      <c r="B50">
        <v>7</v>
      </c>
      <c r="C50">
        <v>13.14111642075645</v>
      </c>
      <c r="D50">
        <v>0.85888357924354963</v>
      </c>
      <c r="I50" s="21" t="s">
        <v>166</v>
      </c>
      <c r="J50" s="79">
        <f>1-J49</f>
        <v>0.99999420247667326</v>
      </c>
      <c r="L50" s="20" t="s">
        <v>294</v>
      </c>
      <c r="M50" s="20"/>
      <c r="N50" s="20"/>
    </row>
    <row r="51" spans="2:14" ht="15.75" thickBot="1">
      <c r="B51" s="2">
        <v>8</v>
      </c>
      <c r="C51" s="2">
        <v>7.3565174927622152</v>
      </c>
      <c r="D51" s="2">
        <v>-0.35651749276221523</v>
      </c>
    </row>
    <row r="52" spans="2:14">
      <c r="I52" s="21" t="s">
        <v>293</v>
      </c>
      <c r="J52">
        <f>D37*J46</f>
        <v>1.7558082646402403E-2</v>
      </c>
      <c r="L52" t="s">
        <v>167</v>
      </c>
    </row>
    <row r="53" spans="2:14">
      <c r="I53" s="135">
        <f>C37-J52</f>
        <v>-0.1123875732692587</v>
      </c>
      <c r="J53" s="135">
        <f>C37+J52</f>
        <v>-7.727140797645389E-2</v>
      </c>
      <c r="L53" t="s">
        <v>164</v>
      </c>
    </row>
    <row r="54" spans="2:14">
      <c r="L54" s="25">
        <f>F37</f>
        <v>1.1595046653471058E-5</v>
      </c>
      <c r="M54" s="25" t="s">
        <v>270</v>
      </c>
      <c r="N54" s="25">
        <v>0.05</v>
      </c>
    </row>
    <row r="56" spans="2:14">
      <c r="L56" t="s">
        <v>171</v>
      </c>
      <c r="M56" t="s">
        <v>176</v>
      </c>
    </row>
    <row r="57" spans="2:14">
      <c r="L57" t="s">
        <v>173</v>
      </c>
      <c r="M57" t="s">
        <v>177</v>
      </c>
    </row>
    <row r="58" spans="2:14">
      <c r="L58" t="s">
        <v>390</v>
      </c>
    </row>
  </sheetData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"/>
  <sheetViews>
    <sheetView zoomScale="85" zoomScaleNormal="85" workbookViewId="0">
      <selection activeCell="V18" sqref="V18"/>
    </sheetView>
  </sheetViews>
  <sheetFormatPr defaultRowHeight="15"/>
  <cols>
    <col min="2" max="2" width="11.5703125" customWidth="1"/>
  </cols>
  <sheetData>
    <row r="1" spans="1:15">
      <c r="A1" t="s">
        <v>142</v>
      </c>
    </row>
    <row r="2" spans="1:15">
      <c r="B2" t="s">
        <v>143</v>
      </c>
    </row>
    <row r="3" spans="1:15">
      <c r="B3" t="s">
        <v>118</v>
      </c>
      <c r="C3" s="1" t="s">
        <v>87</v>
      </c>
    </row>
    <row r="5" spans="1:15">
      <c r="B5" s="1" t="s">
        <v>88</v>
      </c>
      <c r="C5" s="1" t="s">
        <v>89</v>
      </c>
    </row>
    <row r="6" spans="1:15">
      <c r="B6" s="1">
        <v>125</v>
      </c>
      <c r="C6" s="1">
        <v>8.3000000000000007</v>
      </c>
    </row>
    <row r="7" spans="1:15">
      <c r="B7" s="1">
        <v>64</v>
      </c>
      <c r="C7" s="1">
        <v>4.5999999999999996</v>
      </c>
    </row>
    <row r="8" spans="1:15">
      <c r="B8" s="1">
        <v>228</v>
      </c>
      <c r="C8" s="1">
        <v>15.4</v>
      </c>
    </row>
    <row r="9" spans="1:15">
      <c r="B9" s="102">
        <v>511</v>
      </c>
      <c r="C9" s="1">
        <v>7.1</v>
      </c>
      <c r="O9" t="s">
        <v>351</v>
      </c>
    </row>
    <row r="10" spans="1:15">
      <c r="B10" s="1">
        <v>35</v>
      </c>
      <c r="C10" s="1">
        <v>2.1</v>
      </c>
    </row>
    <row r="11" spans="1:15">
      <c r="B11" s="1">
        <v>78</v>
      </c>
      <c r="C11" s="1">
        <v>4.5999999999999996</v>
      </c>
    </row>
    <row r="12" spans="1:15">
      <c r="B12" s="1">
        <v>65</v>
      </c>
      <c r="C12" s="1">
        <v>4.5999999999999996</v>
      </c>
    </row>
    <row r="13" spans="1:15">
      <c r="B13" s="1">
        <v>184</v>
      </c>
      <c r="C13" s="1">
        <v>10.9</v>
      </c>
    </row>
    <row r="14" spans="1:15">
      <c r="B14" s="1">
        <v>96</v>
      </c>
      <c r="C14" s="1">
        <v>5.8</v>
      </c>
    </row>
    <row r="15" spans="1:15">
      <c r="B15" s="1">
        <v>58</v>
      </c>
      <c r="C15" s="1">
        <v>3.4</v>
      </c>
    </row>
    <row r="18" spans="1:3">
      <c r="A18" t="s">
        <v>352</v>
      </c>
    </row>
    <row r="20" spans="1:3">
      <c r="B20" s="1" t="s">
        <v>88</v>
      </c>
      <c r="C20" s="1" t="s">
        <v>89</v>
      </c>
    </row>
    <row r="21" spans="1:3">
      <c r="B21" s="1">
        <v>125</v>
      </c>
      <c r="C21" s="1">
        <v>8.3000000000000007</v>
      </c>
    </row>
    <row r="22" spans="1:3">
      <c r="B22" s="1">
        <v>64</v>
      </c>
      <c r="C22" s="1">
        <v>4.5999999999999996</v>
      </c>
    </row>
    <row r="23" spans="1:3">
      <c r="B23" s="1">
        <v>228</v>
      </c>
      <c r="C23" s="1">
        <v>15.4</v>
      </c>
    </row>
    <row r="24" spans="1:3">
      <c r="B24" s="1">
        <v>35</v>
      </c>
      <c r="C24" s="1">
        <v>2.1</v>
      </c>
    </row>
    <row r="25" spans="1:3">
      <c r="B25" s="1">
        <v>78</v>
      </c>
      <c r="C25" s="1">
        <v>4.5999999999999996</v>
      </c>
    </row>
    <row r="26" spans="1:3">
      <c r="B26" s="1">
        <v>65</v>
      </c>
      <c r="C26" s="1">
        <v>4.5999999999999996</v>
      </c>
    </row>
    <row r="27" spans="1:3">
      <c r="B27" s="1">
        <v>184</v>
      </c>
      <c r="C27" s="1">
        <v>10.9</v>
      </c>
    </row>
    <row r="28" spans="1:3">
      <c r="B28" s="1">
        <v>96</v>
      </c>
      <c r="C28" s="1">
        <v>5.8</v>
      </c>
    </row>
    <row r="29" spans="1:3">
      <c r="B29" s="1">
        <v>58</v>
      </c>
      <c r="C29" s="1">
        <v>3.4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97"/>
  <sheetViews>
    <sheetView topLeftCell="A70" zoomScale="85" zoomScaleNormal="85" workbookViewId="0">
      <selection activeCell="F84" sqref="F84"/>
    </sheetView>
  </sheetViews>
  <sheetFormatPr defaultColWidth="9.140625" defaultRowHeight="15"/>
  <cols>
    <col min="1" max="1" width="13" customWidth="1"/>
    <col min="2" max="2" width="12.28515625" customWidth="1"/>
    <col min="3" max="3" width="11.5703125" customWidth="1"/>
    <col min="4" max="4" width="18.7109375" customWidth="1"/>
    <col min="5" max="5" width="11.7109375" customWidth="1"/>
    <col min="6" max="6" width="13.85546875" customWidth="1"/>
    <col min="7" max="7" width="10" customWidth="1"/>
    <col min="8" max="8" width="15.7109375" customWidth="1"/>
    <col min="9" max="9" width="9.5703125" customWidth="1"/>
    <col min="10" max="10" width="20.140625" customWidth="1"/>
    <col min="11" max="11" width="20.5703125" customWidth="1"/>
    <col min="12" max="12" width="19.140625" customWidth="1"/>
    <col min="13" max="13" width="22.7109375" customWidth="1"/>
  </cols>
  <sheetData>
    <row r="1" spans="1:3">
      <c r="A1" t="s">
        <v>349</v>
      </c>
    </row>
    <row r="2" spans="1:3">
      <c r="B2" t="s">
        <v>119</v>
      </c>
    </row>
    <row r="3" spans="1:3">
      <c r="B3" t="s">
        <v>371</v>
      </c>
    </row>
    <row r="4" spans="1:3">
      <c r="B4" s="1" t="s">
        <v>91</v>
      </c>
      <c r="C4" s="1" t="s">
        <v>120</v>
      </c>
    </row>
    <row r="5" spans="1:3">
      <c r="B5" s="1" t="s">
        <v>92</v>
      </c>
      <c r="C5" s="1" t="s">
        <v>121</v>
      </c>
    </row>
    <row r="7" spans="1:3">
      <c r="B7" s="1">
        <v>1</v>
      </c>
      <c r="C7" s="1">
        <v>35</v>
      </c>
    </row>
    <row r="8" spans="1:3">
      <c r="B8" s="1">
        <v>1</v>
      </c>
      <c r="C8" s="1">
        <v>12</v>
      </c>
    </row>
    <row r="9" spans="1:3">
      <c r="B9" s="1">
        <v>3</v>
      </c>
      <c r="C9" s="1">
        <v>81</v>
      </c>
    </row>
    <row r="10" spans="1:3">
      <c r="B10" s="1">
        <v>3</v>
      </c>
      <c r="C10" s="1">
        <v>105</v>
      </c>
    </row>
    <row r="11" spans="1:3">
      <c r="B11" s="1">
        <v>5</v>
      </c>
      <c r="C11" s="1">
        <v>100</v>
      </c>
    </row>
    <row r="12" spans="1:3">
      <c r="B12" s="1">
        <v>6</v>
      </c>
      <c r="C12" s="1">
        <v>125</v>
      </c>
    </row>
    <row r="14" spans="1:3">
      <c r="A14" t="s">
        <v>2</v>
      </c>
    </row>
    <row r="15" spans="1:3" ht="15.75" thickBot="1"/>
    <row r="16" spans="1:3">
      <c r="A16" s="4" t="s">
        <v>3</v>
      </c>
      <c r="B16" s="4"/>
    </row>
    <row r="17" spans="1:9">
      <c r="A17" t="s">
        <v>4</v>
      </c>
      <c r="B17">
        <v>0.90395240285938094</v>
      </c>
    </row>
    <row r="18" spans="1:9">
      <c r="A18" t="s">
        <v>5</v>
      </c>
      <c r="B18">
        <v>0.81712994663524852</v>
      </c>
      <c r="D18">
        <f>C25/C27</f>
        <v>0.81712994663524852</v>
      </c>
    </row>
    <row r="19" spans="1:9">
      <c r="A19" t="s">
        <v>6</v>
      </c>
      <c r="B19">
        <v>0.77141243329406062</v>
      </c>
    </row>
    <row r="20" spans="1:9">
      <c r="A20" t="s">
        <v>7</v>
      </c>
      <c r="B20">
        <v>20.970741522416418</v>
      </c>
    </row>
    <row r="21" spans="1:9" ht="15.75" thickBot="1">
      <c r="A21" s="2" t="s">
        <v>8</v>
      </c>
      <c r="B21" s="2">
        <v>6</v>
      </c>
    </row>
    <row r="23" spans="1:9" ht="15.75" thickBot="1">
      <c r="A23" t="s">
        <v>9</v>
      </c>
    </row>
    <row r="24" spans="1:9">
      <c r="A24" s="3"/>
      <c r="B24" s="3" t="s">
        <v>13</v>
      </c>
      <c r="C24" s="3" t="s">
        <v>14</v>
      </c>
      <c r="D24" s="3" t="s">
        <v>15</v>
      </c>
      <c r="E24" s="3" t="s">
        <v>16</v>
      </c>
      <c r="F24" s="3" t="s">
        <v>265</v>
      </c>
    </row>
    <row r="25" spans="1:9">
      <c r="A25" t="s">
        <v>10</v>
      </c>
      <c r="B25">
        <v>1</v>
      </c>
      <c r="C25">
        <v>7860.2453333333342</v>
      </c>
      <c r="D25">
        <v>7860.2453333333342</v>
      </c>
      <c r="E25">
        <v>17.873455639134217</v>
      </c>
      <c r="F25">
        <v>1.3394685065573916E-2</v>
      </c>
    </row>
    <row r="26" spans="1:9">
      <c r="A26" t="s">
        <v>11</v>
      </c>
      <c r="B26">
        <v>4</v>
      </c>
      <c r="C26">
        <v>1759.0880000000002</v>
      </c>
      <c r="D26">
        <v>439.77200000000005</v>
      </c>
    </row>
    <row r="27" spans="1:9" ht="15.75" thickBot="1">
      <c r="A27" s="2" t="s">
        <v>12</v>
      </c>
      <c r="B27" s="2">
        <v>5</v>
      </c>
      <c r="C27" s="2">
        <v>9619.3333333333339</v>
      </c>
      <c r="D27" s="2"/>
      <c r="E27" s="2"/>
      <c r="F27" s="2"/>
    </row>
    <row r="28" spans="1:9" ht="15.75" thickBot="1"/>
    <row r="29" spans="1:9">
      <c r="A29" s="3"/>
      <c r="B29" s="3" t="s">
        <v>266</v>
      </c>
      <c r="C29" s="3" t="s">
        <v>7</v>
      </c>
      <c r="D29" s="3" t="s">
        <v>17</v>
      </c>
      <c r="E29" s="3" t="s">
        <v>18</v>
      </c>
      <c r="F29" s="3" t="s">
        <v>19</v>
      </c>
      <c r="G29" s="3" t="s">
        <v>20</v>
      </c>
      <c r="H29" s="3" t="s">
        <v>21</v>
      </c>
      <c r="I29" s="3" t="s">
        <v>22</v>
      </c>
    </row>
    <row r="30" spans="1:9">
      <c r="A30" t="s">
        <v>80</v>
      </c>
      <c r="B30" s="78">
        <v>14.823999999999998</v>
      </c>
      <c r="C30">
        <v>16.881121289772196</v>
      </c>
      <c r="D30">
        <v>0.87814071977442931</v>
      </c>
      <c r="E30">
        <v>0.42945052299970965</v>
      </c>
      <c r="F30">
        <v>-32.045506575238278</v>
      </c>
      <c r="G30">
        <v>61.693506575238274</v>
      </c>
      <c r="H30">
        <v>-32.045506575238278</v>
      </c>
      <c r="I30">
        <v>61.693506575238274</v>
      </c>
    </row>
    <row r="31" spans="1:9" ht="15.75" thickBot="1">
      <c r="A31" s="2" t="s">
        <v>81</v>
      </c>
      <c r="B31" s="158">
        <v>19.423999999999999</v>
      </c>
      <c r="C31" s="2">
        <v>4.5944592717750803</v>
      </c>
      <c r="D31" s="2">
        <v>4.2277009874320841</v>
      </c>
      <c r="E31" s="2">
        <v>1.3394685065573916E-2</v>
      </c>
      <c r="F31" s="2">
        <v>6.6677360438494588</v>
      </c>
      <c r="G31" s="2">
        <v>32.18026395615054</v>
      </c>
      <c r="H31" s="2">
        <v>6.6677360438494588</v>
      </c>
      <c r="I31" s="2">
        <v>32.18026395615054</v>
      </c>
    </row>
    <row r="32" spans="1:9">
      <c r="D32">
        <f>_xlfn.T.INV(0.025,4)</f>
        <v>-2.7764451051977934</v>
      </c>
      <c r="E32">
        <f>(1-_xlfn.T.DIST(D31,4,1))*2</f>
        <v>1.3394685065573952E-2</v>
      </c>
      <c r="F32">
        <f>B31-F33</f>
        <v>6.6677360438494606</v>
      </c>
      <c r="G32">
        <f>B31+F33</f>
        <v>32.18026395615054</v>
      </c>
    </row>
    <row r="33" spans="1:7">
      <c r="D33">
        <f>_xlfn.T.INV(0.975,4)</f>
        <v>2.776445105197793</v>
      </c>
      <c r="F33">
        <f>C31*D33</f>
        <v>12.756263956150539</v>
      </c>
    </row>
    <row r="34" spans="1:7">
      <c r="A34" s="78" t="s">
        <v>368</v>
      </c>
      <c r="B34" s="78">
        <f>B30</f>
        <v>14.823999999999998</v>
      </c>
      <c r="C34" s="78" t="s">
        <v>369</v>
      </c>
      <c r="D34" s="78">
        <f>B31</f>
        <v>19.423999999999999</v>
      </c>
      <c r="E34" s="78" t="s">
        <v>370</v>
      </c>
    </row>
    <row r="36" spans="1:7">
      <c r="A36" t="s">
        <v>23</v>
      </c>
      <c r="F36" t="s">
        <v>343</v>
      </c>
    </row>
    <row r="37" spans="1:7" ht="15.75" thickBot="1"/>
    <row r="38" spans="1:7">
      <c r="A38" s="3" t="s">
        <v>24</v>
      </c>
      <c r="B38" s="3" t="s">
        <v>25</v>
      </c>
      <c r="C38" s="3" t="s">
        <v>26</v>
      </c>
      <c r="D38" s="3" t="s">
        <v>344</v>
      </c>
      <c r="F38" s="3" t="s">
        <v>345</v>
      </c>
      <c r="G38" s="3" t="s">
        <v>346</v>
      </c>
    </row>
    <row r="39" spans="1:7">
      <c r="A39">
        <v>1</v>
      </c>
      <c r="B39">
        <v>34.247999999999998</v>
      </c>
      <c r="C39">
        <v>0.75200000000000244</v>
      </c>
      <c r="D39">
        <v>4.0092123525589309E-2</v>
      </c>
      <c r="F39">
        <v>8.3333333333333339</v>
      </c>
      <c r="G39">
        <v>12</v>
      </c>
    </row>
    <row r="40" spans="1:7">
      <c r="A40">
        <v>2</v>
      </c>
      <c r="B40">
        <v>34.247999999999998</v>
      </c>
      <c r="C40">
        <v>-22.247999999999998</v>
      </c>
      <c r="D40">
        <v>-1.1861297396240797</v>
      </c>
      <c r="F40">
        <v>25</v>
      </c>
      <c r="G40">
        <v>35</v>
      </c>
    </row>
    <row r="41" spans="1:7">
      <c r="A41">
        <v>3</v>
      </c>
      <c r="B41">
        <v>73.096000000000004</v>
      </c>
      <c r="C41">
        <v>7.9039999999999964</v>
      </c>
      <c r="D41">
        <v>0.42139380897108608</v>
      </c>
      <c r="F41">
        <v>41.666666666666671</v>
      </c>
      <c r="G41">
        <v>81</v>
      </c>
    </row>
    <row r="42" spans="1:7">
      <c r="A42">
        <v>4</v>
      </c>
      <c r="B42">
        <v>73.096000000000004</v>
      </c>
      <c r="C42">
        <v>31.903999999999996</v>
      </c>
      <c r="D42">
        <v>1.7009296661707407</v>
      </c>
      <c r="F42">
        <v>58.333333333333336</v>
      </c>
      <c r="G42">
        <v>100</v>
      </c>
    </row>
    <row r="43" spans="1:7">
      <c r="A43">
        <v>5</v>
      </c>
      <c r="B43">
        <v>111.944</v>
      </c>
      <c r="C43">
        <v>-11.944000000000003</v>
      </c>
      <c r="D43">
        <v>-0.63678234493302821</v>
      </c>
      <c r="F43">
        <v>75</v>
      </c>
      <c r="G43">
        <v>105</v>
      </c>
    </row>
    <row r="44" spans="1:7" ht="15.75" thickBot="1">
      <c r="A44" s="2">
        <v>6</v>
      </c>
      <c r="B44" s="2">
        <v>131.36799999999999</v>
      </c>
      <c r="C44" s="2">
        <v>-6.367999999999995</v>
      </c>
      <c r="D44" s="2">
        <v>-0.3395035141103081</v>
      </c>
      <c r="F44" s="2">
        <v>91.666666666666671</v>
      </c>
      <c r="G44" s="2">
        <v>125</v>
      </c>
    </row>
    <row r="45" spans="1:7">
      <c r="D45">
        <f>AVERAGE(D39:D44)</f>
        <v>0</v>
      </c>
    </row>
    <row r="46" spans="1:7" ht="15.75" thickBot="1">
      <c r="D46" s="145">
        <f>_xlfn.STDEV.S(D39:D44)</f>
        <v>1</v>
      </c>
    </row>
    <row r="47" spans="1:7">
      <c r="A47" s="3" t="s">
        <v>24</v>
      </c>
      <c r="B47" s="3" t="s">
        <v>25</v>
      </c>
      <c r="C47" s="3" t="s">
        <v>26</v>
      </c>
      <c r="D47" s="3" t="s">
        <v>344</v>
      </c>
    </row>
    <row r="48" spans="1:7">
      <c r="A48" s="43">
        <v>1</v>
      </c>
      <c r="B48" s="1">
        <f t="shared" ref="B48:B53" si="0">$B$30+$B$31*B7</f>
        <v>34.247999999999998</v>
      </c>
      <c r="C48" s="1">
        <f t="shared" ref="C48:C53" si="1">C7-B48</f>
        <v>0.75200000000000244</v>
      </c>
      <c r="D48" s="1">
        <f>(C48-$C$54)/$C$55</f>
        <v>4.0092123525589309E-2</v>
      </c>
      <c r="G48" t="s">
        <v>347</v>
      </c>
    </row>
    <row r="49" spans="1:13">
      <c r="A49" s="43">
        <v>2</v>
      </c>
      <c r="B49" s="1">
        <f t="shared" si="0"/>
        <v>34.247999999999998</v>
      </c>
      <c r="C49" s="1">
        <f t="shared" si="1"/>
        <v>-22.247999999999998</v>
      </c>
      <c r="D49" s="1">
        <f t="shared" ref="D49:D53" si="2">(C49-$C$54)/$C$55</f>
        <v>-1.1861297396240797</v>
      </c>
    </row>
    <row r="50" spans="1:13">
      <c r="A50" s="43">
        <v>3</v>
      </c>
      <c r="B50" s="1">
        <f t="shared" si="0"/>
        <v>73.096000000000004</v>
      </c>
      <c r="C50" s="1">
        <f t="shared" si="1"/>
        <v>7.9039999999999964</v>
      </c>
      <c r="D50" s="1">
        <f t="shared" si="2"/>
        <v>0.42139380897108608</v>
      </c>
    </row>
    <row r="51" spans="1:13">
      <c r="A51" s="43">
        <v>4</v>
      </c>
      <c r="B51" s="1">
        <f t="shared" si="0"/>
        <v>73.096000000000004</v>
      </c>
      <c r="C51" s="1">
        <f t="shared" si="1"/>
        <v>31.903999999999996</v>
      </c>
      <c r="D51" s="1">
        <f t="shared" si="2"/>
        <v>1.7009296661707407</v>
      </c>
    </row>
    <row r="52" spans="1:13">
      <c r="A52" s="43">
        <v>5</v>
      </c>
      <c r="B52" s="1">
        <f t="shared" si="0"/>
        <v>111.944</v>
      </c>
      <c r="C52" s="1">
        <f t="shared" si="1"/>
        <v>-11.944000000000003</v>
      </c>
      <c r="D52" s="1">
        <f t="shared" si="2"/>
        <v>-0.63678234493302821</v>
      </c>
    </row>
    <row r="53" spans="1:13">
      <c r="A53" s="43">
        <v>6</v>
      </c>
      <c r="B53" s="1">
        <f t="shared" si="0"/>
        <v>131.36799999999999</v>
      </c>
      <c r="C53" s="1">
        <f t="shared" si="1"/>
        <v>-6.367999999999995</v>
      </c>
      <c r="D53" s="1">
        <f t="shared" si="2"/>
        <v>-0.3395035141103081</v>
      </c>
      <c r="G53" t="s">
        <v>348</v>
      </c>
    </row>
    <row r="54" spans="1:13">
      <c r="C54" s="1">
        <f>AVERAGE(C48:C53)</f>
        <v>0</v>
      </c>
    </row>
    <row r="55" spans="1:13">
      <c r="C55" s="1">
        <f>_xlfn.STDEV.S(C48:C53)</f>
        <v>18.756801433080213</v>
      </c>
    </row>
    <row r="57" spans="1:13">
      <c r="A57" s="94" t="s">
        <v>353</v>
      </c>
    </row>
    <row r="58" spans="1:13">
      <c r="A58" t="s">
        <v>247</v>
      </c>
    </row>
    <row r="59" spans="1:13" ht="30">
      <c r="E59" s="95" t="s">
        <v>220</v>
      </c>
      <c r="F59" s="1" t="s">
        <v>242</v>
      </c>
      <c r="G59" s="1" t="s">
        <v>241</v>
      </c>
      <c r="H59" t="s">
        <v>243</v>
      </c>
      <c r="I59" s="1" t="s">
        <v>224</v>
      </c>
      <c r="J59" s="1" t="s">
        <v>248</v>
      </c>
      <c r="K59" s="1" t="s">
        <v>249</v>
      </c>
      <c r="L59" s="1" t="s">
        <v>261</v>
      </c>
      <c r="M59" s="1" t="s">
        <v>262</v>
      </c>
    </row>
    <row r="60" spans="1:13">
      <c r="A60" t="s">
        <v>237</v>
      </c>
      <c r="E60" s="1">
        <v>1</v>
      </c>
      <c r="F60" s="1">
        <v>35</v>
      </c>
      <c r="G60" s="25">
        <f>AVERAGE(F60:F61)</f>
        <v>23.5</v>
      </c>
      <c r="H60" s="146">
        <f>(F60-$G$60)^2</f>
        <v>132.25</v>
      </c>
      <c r="I60" s="25">
        <v>1</v>
      </c>
      <c r="J60" s="25">
        <f>(G60-B48)^2</f>
        <v>115.51950399999994</v>
      </c>
      <c r="K60" s="20">
        <f>(F60-B48)^2</f>
        <v>0.56550400000000367</v>
      </c>
      <c r="L60" s="20">
        <f>(F60-$F$67)^2</f>
        <v>1708.4444444444441</v>
      </c>
      <c r="M60" s="20">
        <f>($F$67-B48)^2</f>
        <v>1771.1752817777776</v>
      </c>
    </row>
    <row r="61" spans="1:13">
      <c r="A61" t="s">
        <v>238</v>
      </c>
      <c r="E61" s="1">
        <v>1</v>
      </c>
      <c r="F61" s="1">
        <v>12</v>
      </c>
      <c r="G61" s="25"/>
      <c r="H61" s="147">
        <f>(F61-$G$60)^2</f>
        <v>132.25</v>
      </c>
      <c r="I61" s="25"/>
      <c r="J61" s="25">
        <f>(G60-B49)^2</f>
        <v>115.51950399999994</v>
      </c>
      <c r="K61" s="20">
        <f t="shared" ref="K61:K65" si="3">(F61-B49)^2</f>
        <v>494.97350399999988</v>
      </c>
      <c r="L61" s="20">
        <f t="shared" ref="L61:L65" si="4">(F61-$F$67)^2</f>
        <v>4138.7777777777774</v>
      </c>
      <c r="M61" s="20">
        <f t="shared" ref="M61:M65" si="5">($F$67-B49)^2</f>
        <v>1771.1752817777776</v>
      </c>
    </row>
    <row r="62" spans="1:13">
      <c r="A62" t="s">
        <v>226</v>
      </c>
      <c r="E62" s="1">
        <v>3</v>
      </c>
      <c r="F62" s="1">
        <v>81</v>
      </c>
      <c r="G62" s="25">
        <f>AVERAGE(F62:F63)</f>
        <v>93</v>
      </c>
      <c r="H62" s="25">
        <f>(F62-$G$62)^2</f>
        <v>144</v>
      </c>
      <c r="I62" s="25">
        <v>1</v>
      </c>
      <c r="J62" s="25">
        <f>(G62-B50)^2</f>
        <v>396.16921599999984</v>
      </c>
      <c r="K62" s="20">
        <f t="shared" si="3"/>
        <v>62.473215999999944</v>
      </c>
      <c r="L62" s="20">
        <f t="shared" si="4"/>
        <v>21.777777777777821</v>
      </c>
      <c r="M62" s="20">
        <f t="shared" si="5"/>
        <v>10.480327111111057</v>
      </c>
    </row>
    <row r="63" spans="1:13">
      <c r="E63" s="1">
        <v>3</v>
      </c>
      <c r="F63" s="1">
        <v>105</v>
      </c>
      <c r="G63" s="25"/>
      <c r="H63" s="25">
        <f>(F63-$G$62)^2</f>
        <v>144</v>
      </c>
      <c r="I63" s="25"/>
      <c r="J63" s="25">
        <f>(G62-B51)^2</f>
        <v>396.16921599999984</v>
      </c>
      <c r="K63" s="20">
        <f t="shared" si="3"/>
        <v>1017.8652159999998</v>
      </c>
      <c r="L63" s="20">
        <f t="shared" si="4"/>
        <v>821.77777777777806</v>
      </c>
      <c r="M63" s="20">
        <f t="shared" si="5"/>
        <v>10.480327111111057</v>
      </c>
    </row>
    <row r="64" spans="1:13">
      <c r="E64" s="1">
        <v>5</v>
      </c>
      <c r="F64" s="1">
        <v>100</v>
      </c>
      <c r="G64" s="25">
        <f>F64</f>
        <v>100</v>
      </c>
      <c r="H64" s="25">
        <f>(F64-$G$64)^2</f>
        <v>0</v>
      </c>
      <c r="I64" s="25">
        <v>0</v>
      </c>
      <c r="J64" s="25">
        <f>(G64-B52)^2</f>
        <v>142.65913600000007</v>
      </c>
      <c r="K64" s="20">
        <f t="shared" si="3"/>
        <v>142.65913600000007</v>
      </c>
      <c r="L64" s="20">
        <f t="shared" si="4"/>
        <v>560.11111111111131</v>
      </c>
      <c r="M64" s="20">
        <f t="shared" si="5"/>
        <v>1268.1195804444449</v>
      </c>
    </row>
    <row r="65" spans="1:13">
      <c r="E65" s="1">
        <v>6</v>
      </c>
      <c r="F65" s="1">
        <v>125</v>
      </c>
      <c r="G65" s="25">
        <f>F65</f>
        <v>125</v>
      </c>
      <c r="H65" s="25">
        <f>(F65-$G$65)^2</f>
        <v>0</v>
      </c>
      <c r="I65" s="25">
        <v>0</v>
      </c>
      <c r="J65" s="25">
        <f>(G65-B53)^2</f>
        <v>40.551423999999933</v>
      </c>
      <c r="K65" s="20">
        <f t="shared" si="3"/>
        <v>40.551423999999933</v>
      </c>
      <c r="L65" s="20">
        <f t="shared" si="4"/>
        <v>2368.4444444444448</v>
      </c>
      <c r="M65" s="20">
        <f t="shared" si="5"/>
        <v>3028.8145351111111</v>
      </c>
    </row>
    <row r="66" spans="1:13">
      <c r="E66" s="96" t="s">
        <v>227</v>
      </c>
      <c r="F66" s="98"/>
      <c r="G66" s="96"/>
      <c r="H66" s="152">
        <f t="shared" ref="H66:M66" si="6">SUM(H60:H65)</f>
        <v>552.5</v>
      </c>
      <c r="I66" s="98">
        <f t="shared" si="6"/>
        <v>2</v>
      </c>
      <c r="J66" s="149">
        <f t="shared" si="6"/>
        <v>1206.5879999999995</v>
      </c>
      <c r="K66" s="153">
        <f t="shared" si="6"/>
        <v>1759.0879999999997</v>
      </c>
      <c r="L66" s="155">
        <f t="shared" si="6"/>
        <v>9619.3333333333339</v>
      </c>
      <c r="M66" s="101">
        <f t="shared" si="6"/>
        <v>7860.2453333333324</v>
      </c>
    </row>
    <row r="67" spans="1:13">
      <c r="F67" s="25">
        <f>AVERAGE(F60:F65)</f>
        <v>76.333333333333329</v>
      </c>
    </row>
    <row r="68" spans="1:13">
      <c r="H68" s="139">
        <f>DEVSQ(F60:F61)</f>
        <v>264.5</v>
      </c>
      <c r="J68">
        <f>H66+J66</f>
        <v>1759.0879999999995</v>
      </c>
      <c r="L68">
        <f>M66+K66</f>
        <v>9619.3333333333321</v>
      </c>
    </row>
    <row r="69" spans="1:13">
      <c r="L69">
        <f>DEVSQ(C7:C12)</f>
        <v>9619.3333333333339</v>
      </c>
    </row>
    <row r="74" spans="1:13">
      <c r="A74" t="s">
        <v>9</v>
      </c>
    </row>
    <row r="75" spans="1:13">
      <c r="B75" t="s">
        <v>13</v>
      </c>
      <c r="C75" t="s">
        <v>14</v>
      </c>
      <c r="D75" t="s">
        <v>15</v>
      </c>
      <c r="E75" t="s">
        <v>16</v>
      </c>
      <c r="F75" t="s">
        <v>225</v>
      </c>
      <c r="G75" t="s">
        <v>29</v>
      </c>
    </row>
    <row r="76" spans="1:13">
      <c r="A76" t="s">
        <v>10</v>
      </c>
      <c r="B76">
        <v>1</v>
      </c>
      <c r="C76">
        <v>7860.2453333333342</v>
      </c>
      <c r="D76">
        <v>7860.2453333333342</v>
      </c>
      <c r="E76">
        <v>17.873455639134217</v>
      </c>
      <c r="F76">
        <f>_xlfn.F.INV(0.96,B76,B77)</f>
        <v>8.9911694063968106</v>
      </c>
      <c r="G76">
        <v>1.3394685065573916E-2</v>
      </c>
      <c r="H76">
        <f>1-_xlfn.F.DIST(E76,B76,B77,1)</f>
        <v>1.3394685065573952E-2</v>
      </c>
    </row>
    <row r="77" spans="1:13">
      <c r="A77" s="150" t="s">
        <v>11</v>
      </c>
      <c r="B77" s="150">
        <v>4</v>
      </c>
      <c r="C77" s="154">
        <v>1759.0880000000002</v>
      </c>
      <c r="D77" s="150">
        <v>439.77200000000005</v>
      </c>
    </row>
    <row r="78" spans="1:13">
      <c r="A78" s="21" t="s">
        <v>239</v>
      </c>
      <c r="B78" s="20">
        <f>B77-B79</f>
        <v>2</v>
      </c>
      <c r="C78" s="148">
        <f>J66</f>
        <v>1206.5879999999995</v>
      </c>
      <c r="D78" s="20">
        <f>C78/B78</f>
        <v>603.29399999999976</v>
      </c>
      <c r="E78" s="103">
        <f>D78/D79</f>
        <v>2.1838696832579179</v>
      </c>
      <c r="F78" s="20">
        <f>_xlfn.F.INV(0.97,B78,B79)</f>
        <v>32.333333333333307</v>
      </c>
      <c r="G78" s="20">
        <f>1-_xlfn.F.DIST(E78,B78,B79,1)</f>
        <v>0.31408320675259005</v>
      </c>
      <c r="H78">
        <f>1-_xlfn.F.DIST(E78,B78,B79,1)</f>
        <v>0.31408320675259005</v>
      </c>
    </row>
    <row r="79" spans="1:13">
      <c r="A79" s="21" t="s">
        <v>240</v>
      </c>
      <c r="B79" s="20">
        <v>2</v>
      </c>
      <c r="C79" s="151">
        <f>H66</f>
        <v>552.5</v>
      </c>
      <c r="D79" s="20">
        <f>C79/B79</f>
        <v>276.25</v>
      </c>
      <c r="E79" s="20"/>
      <c r="F79" s="20"/>
      <c r="G79" s="20"/>
    </row>
    <row r="80" spans="1:13" ht="15.75" thickBot="1">
      <c r="A80" s="2" t="s">
        <v>12</v>
      </c>
      <c r="B80" s="2">
        <v>5</v>
      </c>
      <c r="C80" s="121">
        <v>9619.3333333333339</v>
      </c>
    </row>
    <row r="81" spans="1:10">
      <c r="A81" s="159"/>
      <c r="B81" s="159"/>
      <c r="C81" s="160"/>
    </row>
    <row r="82" spans="1:10">
      <c r="A82" t="s">
        <v>372</v>
      </c>
    </row>
    <row r="83" spans="1:10">
      <c r="B83" t="s">
        <v>236</v>
      </c>
    </row>
    <row r="84" spans="1:10">
      <c r="B84" t="s">
        <v>354</v>
      </c>
    </row>
    <row r="85" spans="1:10">
      <c r="F85" s="100"/>
    </row>
    <row r="86" spans="1:10">
      <c r="B86" s="21" t="s">
        <v>229</v>
      </c>
      <c r="C86" t="s">
        <v>355</v>
      </c>
    </row>
    <row r="87" spans="1:10">
      <c r="C87" s="21" t="s">
        <v>357</v>
      </c>
      <c r="D87" s="156">
        <f>E78</f>
        <v>2.1838696832579179</v>
      </c>
    </row>
    <row r="88" spans="1:10">
      <c r="B88" t="s">
        <v>358</v>
      </c>
      <c r="C88">
        <f>F78</f>
        <v>32.333333333333307</v>
      </c>
    </row>
    <row r="89" spans="1:10">
      <c r="B89" s="21" t="s">
        <v>359</v>
      </c>
      <c r="C89" t="s">
        <v>360</v>
      </c>
    </row>
    <row r="90" spans="1:10">
      <c r="A90" s="21"/>
      <c r="B90" t="s">
        <v>361</v>
      </c>
    </row>
    <row r="91" spans="1:10">
      <c r="B91" t="s">
        <v>362</v>
      </c>
      <c r="J91" s="21"/>
    </row>
    <row r="92" spans="1:10">
      <c r="B92" t="s">
        <v>365</v>
      </c>
      <c r="C92">
        <f>G78</f>
        <v>0.31408320675259005</v>
      </c>
      <c r="J92" s="21"/>
    </row>
    <row r="93" spans="1:10">
      <c r="B93" t="s">
        <v>366</v>
      </c>
      <c r="J93" s="21"/>
    </row>
    <row r="94" spans="1:10">
      <c r="B94" t="s">
        <v>363</v>
      </c>
    </row>
    <row r="95" spans="1:10">
      <c r="B95" t="s">
        <v>364</v>
      </c>
    </row>
    <row r="96" spans="1:10">
      <c r="A96" s="21"/>
      <c r="C96" s="102"/>
    </row>
    <row r="97" spans="1:10">
      <c r="A97" t="s">
        <v>373</v>
      </c>
      <c r="J97" s="21"/>
    </row>
  </sheetData>
  <pageMargins left="0.7" right="0.7" top="0.75" bottom="0.75" header="0.3" footer="0.3"/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"/>
  <sheetViews>
    <sheetView zoomScaleNormal="100" workbookViewId="0">
      <selection activeCell="P28" sqref="P28"/>
    </sheetView>
  </sheetViews>
  <sheetFormatPr defaultRowHeight="15"/>
  <sheetData>
    <row r="1" spans="1:3">
      <c r="A1" t="s">
        <v>122</v>
      </c>
    </row>
    <row r="2" spans="1:3">
      <c r="B2" t="s">
        <v>123</v>
      </c>
    </row>
    <row r="3" spans="1:3">
      <c r="B3" t="s">
        <v>124</v>
      </c>
    </row>
    <row r="4" spans="1:3">
      <c r="A4" t="s">
        <v>125</v>
      </c>
    </row>
    <row r="5" spans="1:3">
      <c r="B5" s="1" t="s">
        <v>93</v>
      </c>
      <c r="C5" t="s">
        <v>126</v>
      </c>
    </row>
    <row r="6" spans="1:3">
      <c r="B6" s="1" t="s">
        <v>94</v>
      </c>
      <c r="C6" s="1" t="s">
        <v>95</v>
      </c>
    </row>
    <row r="8" spans="1:3">
      <c r="B8" s="1">
        <v>5</v>
      </c>
      <c r="C8" s="1">
        <v>19</v>
      </c>
    </row>
    <row r="9" spans="1:3">
      <c r="B9" s="1">
        <v>12</v>
      </c>
      <c r="C9" s="1">
        <v>17</v>
      </c>
    </row>
    <row r="10" spans="1:3">
      <c r="B10" s="1">
        <v>20</v>
      </c>
      <c r="C10" s="1">
        <v>18</v>
      </c>
    </row>
    <row r="11" spans="1:3">
      <c r="B11" s="1">
        <v>26</v>
      </c>
      <c r="C11" s="1">
        <v>17</v>
      </c>
    </row>
    <row r="12" spans="1:3">
      <c r="B12" s="1">
        <v>29</v>
      </c>
      <c r="C12" s="1">
        <v>17</v>
      </c>
    </row>
    <row r="13" spans="1:3">
      <c r="B13" s="1">
        <v>38</v>
      </c>
      <c r="C13" s="1">
        <v>15</v>
      </c>
    </row>
    <row r="14" spans="1:3">
      <c r="B14" s="1">
        <v>65</v>
      </c>
      <c r="C14" s="1">
        <v>14</v>
      </c>
    </row>
    <row r="15" spans="1:3">
      <c r="B15" s="1">
        <v>126</v>
      </c>
      <c r="C15" s="1">
        <v>7</v>
      </c>
    </row>
    <row r="18" spans="1:15">
      <c r="A18" t="s">
        <v>127</v>
      </c>
      <c r="F18" s="21" t="s">
        <v>394</v>
      </c>
      <c r="G18">
        <f>INTERCEPT(C8:C15,B8:B15)</f>
        <v>19.305033311242109</v>
      </c>
      <c r="H18" s="21" t="s">
        <v>145</v>
      </c>
      <c r="I18">
        <f>SLOPE(C8:C15,B8:B15)</f>
        <v>-9.4829490622856283E-2</v>
      </c>
      <c r="K18" s="21" t="s">
        <v>397</v>
      </c>
      <c r="L18">
        <f>G18</f>
        <v>19.305033311242109</v>
      </c>
      <c r="M18" t="s">
        <v>369</v>
      </c>
      <c r="N18">
        <f>I18</f>
        <v>-9.4829490622856283E-2</v>
      </c>
      <c r="O18" t="s">
        <v>400</v>
      </c>
    </row>
    <row r="19" spans="1:15">
      <c r="A19" t="s">
        <v>128</v>
      </c>
      <c r="F19" s="21" t="s">
        <v>396</v>
      </c>
      <c r="G19">
        <f>INTERCEPT(B8:B15,C8:C15)</f>
        <v>198.14750000000001</v>
      </c>
      <c r="H19" s="21" t="s">
        <v>395</v>
      </c>
      <c r="I19">
        <f>SLOPE(B8:B15,C8:C15)</f>
        <v>-10.195</v>
      </c>
      <c r="K19" t="s">
        <v>398</v>
      </c>
      <c r="L19">
        <f>G19</f>
        <v>198.14750000000001</v>
      </c>
      <c r="M19" t="s">
        <v>369</v>
      </c>
      <c r="N19">
        <f>I19</f>
        <v>-10.195</v>
      </c>
      <c r="O19" t="s">
        <v>399</v>
      </c>
    </row>
    <row r="20" spans="1:15">
      <c r="A20" t="s">
        <v>129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zoomScaleNormal="100" workbookViewId="0">
      <selection activeCell="F10" sqref="F10"/>
    </sheetView>
  </sheetViews>
  <sheetFormatPr defaultRowHeight="15"/>
  <cols>
    <col min="1" max="1" width="10.5703125" customWidth="1"/>
  </cols>
  <sheetData>
    <row r="1" spans="1:3">
      <c r="A1" t="s">
        <v>130</v>
      </c>
    </row>
    <row r="2" spans="1:3">
      <c r="A2" t="s">
        <v>96</v>
      </c>
      <c r="B2" t="s">
        <v>100</v>
      </c>
    </row>
    <row r="4" spans="1:3">
      <c r="B4" s="1" t="s">
        <v>97</v>
      </c>
      <c r="C4" s="1" t="s">
        <v>98</v>
      </c>
    </row>
    <row r="5" spans="1:3">
      <c r="B5" s="1" t="s">
        <v>99</v>
      </c>
      <c r="C5" s="1" t="s">
        <v>103</v>
      </c>
    </row>
    <row r="7" spans="1:3">
      <c r="B7" s="1">
        <v>560</v>
      </c>
      <c r="C7" s="1">
        <v>2845</v>
      </c>
    </row>
    <row r="8" spans="1:3">
      <c r="B8" s="1">
        <v>580</v>
      </c>
      <c r="C8" s="1">
        <v>2597</v>
      </c>
    </row>
    <row r="9" spans="1:3">
      <c r="B9" s="1">
        <v>600</v>
      </c>
      <c r="C9" s="1">
        <v>1227</v>
      </c>
    </row>
    <row r="10" spans="1:3">
      <c r="B10" s="1">
        <v>630</v>
      </c>
      <c r="C10" s="1">
        <v>1200</v>
      </c>
    </row>
    <row r="11" spans="1:3">
      <c r="B11" s="1">
        <v>650</v>
      </c>
      <c r="C11" s="1">
        <v>728</v>
      </c>
    </row>
    <row r="12" spans="1:3">
      <c r="B12" s="1">
        <v>700</v>
      </c>
      <c r="C12" s="1">
        <v>600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zoomScaleNormal="100" workbookViewId="0">
      <selection activeCell="I20" sqref="I20"/>
    </sheetView>
  </sheetViews>
  <sheetFormatPr defaultRowHeight="15"/>
  <sheetData>
    <row r="1" spans="1:3">
      <c r="A1" t="s">
        <v>131</v>
      </c>
    </row>
    <row r="2" spans="1:3">
      <c r="B2" t="s">
        <v>132</v>
      </c>
    </row>
    <row r="4" spans="1:3">
      <c r="B4" s="1" t="s">
        <v>133</v>
      </c>
      <c r="C4" s="1" t="s">
        <v>102</v>
      </c>
    </row>
    <row r="5" spans="1:3">
      <c r="B5" t="s">
        <v>134</v>
      </c>
      <c r="C5" s="1" t="s">
        <v>103</v>
      </c>
    </row>
    <row r="7" spans="1:3">
      <c r="B7" s="1">
        <v>30</v>
      </c>
      <c r="C7" s="1">
        <v>1</v>
      </c>
    </row>
    <row r="8" spans="1:3">
      <c r="B8" s="1">
        <v>40</v>
      </c>
      <c r="C8" s="1">
        <v>2</v>
      </c>
    </row>
    <row r="9" spans="1:3">
      <c r="B9" s="1">
        <v>60</v>
      </c>
      <c r="C9" s="1">
        <v>3</v>
      </c>
    </row>
    <row r="10" spans="1:3">
      <c r="B10" s="1">
        <v>100</v>
      </c>
      <c r="C10" s="1">
        <v>4</v>
      </c>
    </row>
    <row r="11" spans="1:3">
      <c r="B11" s="1">
        <v>120</v>
      </c>
      <c r="C11" s="1">
        <v>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zoomScaleNormal="100" workbookViewId="0">
      <selection activeCell="E6" sqref="E6"/>
    </sheetView>
  </sheetViews>
  <sheetFormatPr defaultRowHeight="15"/>
  <sheetData>
    <row r="1" spans="1:3">
      <c r="A1" t="s">
        <v>138</v>
      </c>
    </row>
    <row r="2" spans="1:3">
      <c r="B2" t="s">
        <v>144</v>
      </c>
    </row>
    <row r="4" spans="1:3">
      <c r="B4" s="1" t="s">
        <v>135</v>
      </c>
      <c r="C4" s="1" t="s">
        <v>137</v>
      </c>
    </row>
    <row r="5" spans="1:3">
      <c r="B5" s="1" t="s">
        <v>136</v>
      </c>
      <c r="C5" s="1" t="s">
        <v>104</v>
      </c>
    </row>
    <row r="7" spans="1:3">
      <c r="B7" s="1">
        <v>15</v>
      </c>
      <c r="C7" s="1">
        <v>2</v>
      </c>
    </row>
    <row r="8" spans="1:3">
      <c r="B8" s="1">
        <v>5</v>
      </c>
      <c r="C8" s="1">
        <v>3</v>
      </c>
    </row>
    <row r="9" spans="1:3">
      <c r="B9" s="1">
        <v>30</v>
      </c>
      <c r="C9" s="1">
        <v>1</v>
      </c>
    </row>
    <row r="10" spans="1:3">
      <c r="B10" s="1">
        <v>1</v>
      </c>
      <c r="C10" s="1">
        <v>5</v>
      </c>
    </row>
    <row r="11" spans="1:3">
      <c r="B11" s="1">
        <v>10</v>
      </c>
      <c r="C11" s="1">
        <v>3</v>
      </c>
    </row>
    <row r="12" spans="1:3">
      <c r="B12" s="1">
        <v>20</v>
      </c>
      <c r="C12" s="1">
        <v>1</v>
      </c>
    </row>
    <row r="13" spans="1:3">
      <c r="B13" s="1">
        <v>15</v>
      </c>
      <c r="C13" s="1">
        <v>2</v>
      </c>
    </row>
    <row r="14" spans="1:3">
      <c r="B14" s="1">
        <v>25</v>
      </c>
      <c r="C14" s="1">
        <v>1</v>
      </c>
    </row>
    <row r="15" spans="1:3">
      <c r="B15" s="1">
        <v>5</v>
      </c>
      <c r="C15" s="1">
        <v>4</v>
      </c>
    </row>
    <row r="16" spans="1:3">
      <c r="B16" s="1">
        <v>20</v>
      </c>
      <c r="C16" s="1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16</vt:i4>
      </vt:variant>
    </vt:vector>
  </HeadingPairs>
  <TitlesOfParts>
    <vt:vector size="16" baseType="lpstr">
      <vt:lpstr>Pr 1</vt:lpstr>
      <vt:lpstr>Pr.2neriešený</vt:lpstr>
      <vt:lpstr>Pr.2riešený</vt:lpstr>
      <vt:lpstr>Pr.3</vt:lpstr>
      <vt:lpstr>Pr.4_test LOF</vt:lpstr>
      <vt:lpstr>Pr.5</vt:lpstr>
      <vt:lpstr>Pr.6</vt:lpstr>
      <vt:lpstr>Pr.8</vt:lpstr>
      <vt:lpstr>Pr.9.</vt:lpstr>
      <vt:lpstr>kvadraticka regresia</vt:lpstr>
      <vt:lpstr>linearna regresia</vt:lpstr>
      <vt:lpstr>porovnanie</vt:lpstr>
      <vt:lpstr>transformacia</vt:lpstr>
      <vt:lpstr>Lack of fit</vt:lpstr>
      <vt:lpstr>Lack of fit (2 merania) </vt:lpstr>
      <vt:lpstr>lack of fit (4 merania)</vt:lpstr>
    </vt:vector>
  </TitlesOfParts>
  <Company>uiam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Tothova</dc:creator>
  <cp:lastModifiedBy>Janette Kotianová</cp:lastModifiedBy>
  <dcterms:created xsi:type="dcterms:W3CDTF">2015-11-05T06:02:30Z</dcterms:created>
  <dcterms:modified xsi:type="dcterms:W3CDTF">2025-11-22T11:31:51Z</dcterms:modified>
</cp:coreProperties>
</file>