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tianova\Desktop\stranka mmpve\"/>
    </mc:Choice>
  </mc:AlternateContent>
  <bookViews>
    <workbookView xWindow="0" yWindow="0" windowWidth="28800" windowHeight="12330" activeTab="3"/>
  </bookViews>
  <sheets>
    <sheet name="IS teoria" sheetId="13" r:id="rId1"/>
    <sheet name="test hypotez teoria" sheetId="12" r:id="rId2"/>
    <sheet name="vzorce" sheetId="11" r:id="rId3"/>
    <sheet name="Hárok1" sheetId="1" r:id="rId4"/>
    <sheet name="el energia" sheetId="2" r:id="rId5"/>
    <sheet name="IS_spotreba materialu" sheetId="3" r:id="rId6"/>
    <sheet name="Hárok4" sheetId="4" r:id="rId7"/>
    <sheet name="meraci pristroj" sheetId="16" r:id="rId8"/>
    <sheet name="prietok vody" sheetId="17" r:id="rId9"/>
    <sheet name="osvetlovacie teleso" sheetId="5" r:id="rId10"/>
    <sheet name="zivotnost reflektorov" sheetId="6" r:id="rId11"/>
    <sheet name="Hárok7" sheetId="7" r:id="rId12"/>
    <sheet name="Hárok8" sheetId="8" r:id="rId13"/>
    <sheet name="Hárok9" sheetId="9" r:id="rId14"/>
    <sheet name="Hárok10" sheetId="10" r:id="rId15"/>
    <sheet name="parovy test" sheetId="14" r:id="rId16"/>
    <sheet name="benzin_bod odhad_IS" sheetId="15" r:id="rId17"/>
    <sheet name="one-way ANOVA1" sheetId="19" r:id="rId18"/>
    <sheet name="one-way ANOVA2" sheetId="20" r:id="rId19"/>
  </sheets>
  <definedNames>
    <definedName name="_xlchart.0" hidden="1">'one-way ANOVA1'!$A$4</definedName>
    <definedName name="_xlchart.1" hidden="1">'one-way ANOVA1'!$A$5</definedName>
    <definedName name="_xlchart.10" hidden="1">'one-way ANOVA2'!$D$47</definedName>
    <definedName name="_xlchart.11" hidden="1">'one-way ANOVA2'!$D$48:$D$52</definedName>
    <definedName name="_xlchart.2" hidden="1">'one-way ANOVA1'!$A$6</definedName>
    <definedName name="_xlchart.3" hidden="1">'one-way ANOVA1'!$B$4:$G$4</definedName>
    <definedName name="_xlchart.4" hidden="1">'one-way ANOVA1'!$B$5:$G$5</definedName>
    <definedName name="_xlchart.5" hidden="1">'one-way ANOVA1'!$B$6:$G$6</definedName>
    <definedName name="_xlchart.6" hidden="1">'one-way ANOVA2'!$B$47</definedName>
    <definedName name="_xlchart.7" hidden="1">'one-way ANOVA2'!$B$48:$B$52</definedName>
    <definedName name="_xlchart.8" hidden="1">'one-way ANOVA2'!$C$47</definedName>
    <definedName name="_xlchart.9" hidden="1">'one-way ANOVA2'!$C$48:$C$52</definedName>
  </definedNames>
  <calcPr calcId="162913"/>
</workbook>
</file>

<file path=xl/calcChain.xml><?xml version="1.0" encoding="utf-8"?>
<calcChain xmlns="http://schemas.openxmlformats.org/spreadsheetml/2006/main">
  <c r="C26" i="2" l="1"/>
  <c r="D26" i="2"/>
  <c r="E26" i="2"/>
  <c r="B26" i="2"/>
  <c r="J20" i="2"/>
  <c r="J21" i="2"/>
  <c r="I20" i="2"/>
  <c r="H20" i="2"/>
  <c r="E20" i="2"/>
  <c r="D20" i="2"/>
  <c r="C20" i="2"/>
  <c r="B20" i="2"/>
  <c r="E75" i="2" l="1"/>
  <c r="E74" i="2"/>
  <c r="E73" i="2"/>
  <c r="H58" i="2"/>
  <c r="C21" i="1"/>
  <c r="K20" i="2" l="1"/>
  <c r="H34" i="1"/>
  <c r="P34" i="4" l="1"/>
  <c r="P43" i="4"/>
  <c r="P41" i="4"/>
  <c r="Q28" i="4"/>
  <c r="U26" i="4"/>
  <c r="D10" i="3"/>
  <c r="P44" i="4" l="1"/>
  <c r="B36" i="19"/>
  <c r="E31" i="19"/>
  <c r="D28" i="19"/>
  <c r="Q7" i="19"/>
  <c r="O4" i="19"/>
  <c r="Q4" i="19"/>
  <c r="L25" i="19"/>
  <c r="O5" i="19"/>
  <c r="S7" i="19"/>
  <c r="S6" i="19"/>
  <c r="S5" i="19"/>
  <c r="S4" i="19"/>
  <c r="Q5" i="19"/>
  <c r="Q6" i="19"/>
  <c r="O7" i="19"/>
  <c r="O6" i="19"/>
  <c r="L6" i="19"/>
  <c r="L5" i="19"/>
  <c r="L4" i="19"/>
  <c r="J7" i="19"/>
  <c r="J5" i="19"/>
  <c r="J6" i="19"/>
  <c r="J4" i="19"/>
  <c r="C42" i="20" l="1"/>
  <c r="D39" i="20"/>
  <c r="D38" i="20"/>
  <c r="B30" i="20"/>
  <c r="B29" i="20"/>
  <c r="B33" i="20"/>
  <c r="B34" i="20"/>
  <c r="B32" i="20"/>
  <c r="B28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D19" i="20"/>
  <c r="E19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4" i="20"/>
  <c r="E16" i="20"/>
  <c r="E14" i="20"/>
  <c r="E15" i="20"/>
  <c r="E17" i="20"/>
  <c r="E18" i="20"/>
  <c r="E4" i="20"/>
  <c r="E10" i="20"/>
  <c r="E11" i="20"/>
  <c r="E12" i="20"/>
  <c r="E13" i="20"/>
  <c r="E9" i="20"/>
  <c r="E5" i="20"/>
  <c r="E6" i="20"/>
  <c r="E7" i="20"/>
  <c r="E8" i="20"/>
  <c r="C21" i="20"/>
  <c r="C14" i="20"/>
  <c r="C9" i="20"/>
  <c r="C4" i="20"/>
  <c r="J26" i="14" l="1"/>
  <c r="D36" i="14"/>
  <c r="D35" i="14"/>
  <c r="D34" i="14"/>
  <c r="D33" i="14"/>
  <c r="D32" i="14"/>
  <c r="D31" i="14"/>
  <c r="D30" i="14"/>
  <c r="J29" i="14"/>
  <c r="J35" i="14" s="1"/>
  <c r="D29" i="14"/>
  <c r="J28" i="14"/>
  <c r="D28" i="14"/>
  <c r="J27" i="14"/>
  <c r="D27" i="14"/>
  <c r="J30" i="14"/>
  <c r="C40" i="5"/>
  <c r="B42" i="5"/>
  <c r="C38" i="5"/>
  <c r="B22" i="5"/>
  <c r="D29" i="5"/>
  <c r="C29" i="5"/>
  <c r="C28" i="5"/>
  <c r="C20" i="5"/>
  <c r="D22" i="5" s="1"/>
  <c r="C19" i="5"/>
  <c r="C15" i="17"/>
  <c r="E18" i="5"/>
  <c r="B35" i="17"/>
  <c r="C33" i="17"/>
  <c r="C32" i="17"/>
  <c r="C31" i="17"/>
  <c r="J31" i="14" l="1"/>
  <c r="J32" i="14" s="1"/>
  <c r="I35" i="14"/>
  <c r="C39" i="5"/>
  <c r="C24" i="17"/>
  <c r="B24" i="17"/>
  <c r="O6" i="17"/>
  <c r="O5" i="17"/>
  <c r="D18" i="17" l="1"/>
  <c r="C16" i="17"/>
  <c r="X2" i="17"/>
  <c r="W2" i="17"/>
  <c r="P2" i="17"/>
  <c r="Q2" i="17"/>
  <c r="O4" i="17" s="1"/>
  <c r="G14" i="17" s="1"/>
  <c r="B18" i="17" s="1"/>
  <c r="R2" i="17"/>
  <c r="S2" i="17"/>
  <c r="T2" i="17"/>
  <c r="U2" i="17"/>
  <c r="V2" i="17"/>
  <c r="O2" i="17"/>
  <c r="O3" i="17" l="1"/>
  <c r="C23" i="16" l="1"/>
  <c r="B23" i="16"/>
  <c r="C14" i="16"/>
  <c r="C15" i="16"/>
  <c r="D17" i="16" s="1"/>
  <c r="G13" i="16"/>
  <c r="C30" i="16" s="1"/>
  <c r="C31" i="16" s="1"/>
  <c r="C32" i="16" s="1"/>
  <c r="B34" i="16" s="1"/>
  <c r="D66" i="2"/>
  <c r="D34" i="4" l="1"/>
  <c r="C34" i="4"/>
  <c r="D27" i="4" l="1"/>
  <c r="D28" i="4"/>
  <c r="G8" i="4"/>
  <c r="G7" i="4"/>
  <c r="L21" i="3"/>
  <c r="K21" i="3"/>
  <c r="J21" i="3"/>
  <c r="I21" i="3"/>
  <c r="H21" i="3"/>
  <c r="E21" i="3"/>
  <c r="L14" i="3"/>
  <c r="K14" i="3"/>
  <c r="J15" i="3"/>
  <c r="J14" i="3"/>
  <c r="E14" i="3"/>
  <c r="I14" i="3"/>
  <c r="H14" i="3"/>
  <c r="H26" i="4" l="1"/>
  <c r="C43" i="4" s="1"/>
  <c r="C44" i="4" s="1"/>
  <c r="C41" i="4" s="1"/>
  <c r="H39" i="2"/>
  <c r="D69" i="2"/>
  <c r="D68" i="2"/>
  <c r="D67" i="2"/>
  <c r="D65" i="2"/>
  <c r="D46" i="2"/>
  <c r="E46" i="2"/>
  <c r="D44" i="2"/>
  <c r="C44" i="1"/>
  <c r="D36" i="1"/>
  <c r="D35" i="1"/>
  <c r="E10" i="1"/>
  <c r="I9" i="1"/>
  <c r="I8" i="1"/>
  <c r="I7" i="1"/>
  <c r="I73" i="2" l="1"/>
  <c r="E69" i="2"/>
  <c r="L59" i="2"/>
  <c r="J59" i="2"/>
  <c r="H60" i="2"/>
  <c r="H59" i="2"/>
  <c r="I51" i="2"/>
  <c r="E52" i="2"/>
  <c r="E51" i="2"/>
  <c r="E50" i="2"/>
  <c r="D45" i="2"/>
  <c r="H38" i="2"/>
  <c r="C31" i="2"/>
  <c r="H26" i="2"/>
  <c r="J26" i="2"/>
  <c r="L26" i="2" s="1"/>
  <c r="I26" i="2"/>
  <c r="K26" i="2" s="1"/>
  <c r="L20" i="2"/>
  <c r="F11" i="2"/>
  <c r="F10" i="2"/>
  <c r="F9" i="2"/>
  <c r="C55" i="1"/>
  <c r="D53" i="1"/>
  <c r="D52" i="1"/>
  <c r="D51" i="1"/>
  <c r="J21" i="1"/>
  <c r="I21" i="1"/>
  <c r="H22" i="1"/>
  <c r="H21" i="1"/>
  <c r="G21" i="1"/>
  <c r="F21" i="1"/>
  <c r="F12" i="1" l="1"/>
  <c r="E12" i="1"/>
  <c r="F11" i="1"/>
  <c r="E11" i="1"/>
  <c r="F9" i="1"/>
  <c r="E9" i="1"/>
  <c r="F8" i="1"/>
  <c r="E8" i="1"/>
  <c r="E7" i="1"/>
  <c r="F7" i="1"/>
  <c r="H19" i="15" l="1"/>
  <c r="F19" i="15"/>
  <c r="I15" i="15"/>
  <c r="H15" i="15"/>
  <c r="F19" i="20" l="1"/>
  <c r="L8" i="19" l="1"/>
  <c r="H28" i="15" l="1"/>
  <c r="H29" i="15" s="1"/>
  <c r="H26" i="15"/>
  <c r="H21" i="15" l="1"/>
  <c r="H22" i="15" s="1"/>
  <c r="I12" i="15"/>
  <c r="H12" i="15"/>
  <c r="C24" i="1" l="1"/>
  <c r="L38" i="2" l="1"/>
  <c r="E22" i="2"/>
  <c r="C22" i="2"/>
  <c r="C28" i="2" l="1"/>
  <c r="E28" i="2"/>
  <c r="E31" i="2" s="1"/>
  <c r="J38" i="2"/>
  <c r="C38" i="1"/>
  <c r="E38" i="1" l="1"/>
  <c r="E24" i="1" l="1"/>
  <c r="D44" i="1" s="1"/>
</calcChain>
</file>

<file path=xl/comments1.xml><?xml version="1.0" encoding="utf-8"?>
<comments xmlns="http://schemas.openxmlformats.org/spreadsheetml/2006/main">
  <authors>
    <author>Maria Tothova</author>
    <author>student</author>
    <author>kotianova</author>
    <author>Janette Kotianova</author>
  </authors>
  <commentList>
    <comment ref="B6" authorId="0" shapeId="0">
      <text>
        <r>
          <rPr>
            <b/>
            <sz val="8"/>
            <color indexed="81"/>
            <rFont val="Tahoma"/>
            <family val="2"/>
            <charset val="238"/>
          </rPr>
          <t>nahodny vyber (namerane hodnoty)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8" authorId="1" shapeId="0">
      <text>
        <r>
          <rPr>
            <b/>
            <sz val="9"/>
            <color indexed="81"/>
            <rFont val="Segoe UI"/>
            <family val="2"/>
            <charset val="238"/>
          </rPr>
          <t>rozptyl VS</t>
        </r>
      </text>
    </comment>
    <comment ref="D9" authorId="1" shapeId="0">
      <text>
        <r>
          <rPr>
            <b/>
            <sz val="9"/>
            <color indexed="81"/>
            <rFont val="Segoe UI"/>
            <family val="2"/>
            <charset val="238"/>
          </rPr>
          <t>smerodajna odchylka VS</t>
        </r>
      </text>
    </comment>
    <comment ref="D11" authorId="1" shapeId="0">
      <text>
        <r>
          <rPr>
            <b/>
            <sz val="9"/>
            <color indexed="81"/>
            <rFont val="Segoe UI"/>
            <family val="2"/>
            <charset val="238"/>
          </rPr>
          <t>vyberovy rozptyl</t>
        </r>
      </text>
    </comment>
    <comment ref="D12" authorId="1" shapeId="0">
      <text>
        <r>
          <rPr>
            <b/>
            <sz val="9"/>
            <color indexed="81"/>
            <rFont val="Segoe UI"/>
            <family val="2"/>
            <charset val="238"/>
          </rPr>
          <t>vyberova smerodajna odchylka</t>
        </r>
      </text>
    </comment>
    <comment ref="H21" authorId="2" shapeId="0">
      <text>
        <r>
          <rPr>
            <b/>
            <sz val="8"/>
            <color indexed="81"/>
            <rFont val="Tahoma"/>
            <family val="2"/>
            <charset val="238"/>
          </rPr>
          <t>vzorec</t>
        </r>
      </text>
    </comment>
    <comment ref="H22" authorId="2" shapeId="0">
      <text>
        <r>
          <rPr>
            <b/>
            <sz val="8"/>
            <color indexed="81"/>
            <rFont val="Tahoma"/>
            <family val="2"/>
            <charset val="238"/>
          </rPr>
          <t>=CONFIDENCE.T</t>
        </r>
      </text>
    </comment>
    <comment ref="H38" authorId="3" shapeId="0">
      <text>
        <r>
          <rPr>
            <b/>
            <sz val="9"/>
            <color indexed="81"/>
            <rFont val="Tahoma"/>
            <family val="2"/>
            <charset val="238"/>
          </rPr>
          <t>vypocitana hodnota testovacej statistiky padla do kritickej oblasti</t>
        </r>
      </text>
    </comment>
    <comment ref="C44" authorId="0" shapeId="0">
      <text>
        <r>
          <rPr>
            <b/>
            <sz val="8"/>
            <color indexed="81"/>
            <rFont val="Tahoma"/>
            <family val="2"/>
            <charset val="238"/>
          </rPr>
          <t>dolna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44" authorId="0" shapeId="0">
      <text>
        <r>
          <rPr>
            <b/>
            <sz val="8"/>
            <color indexed="81"/>
            <rFont val="Tahoma"/>
            <family val="2"/>
            <charset val="238"/>
          </rPr>
          <t>horna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Janette Kotianova</author>
  </authors>
  <commentList>
    <comment ref="O38" authorId="0" shapeId="0">
      <text>
        <r>
          <rPr>
            <b/>
            <sz val="9"/>
            <color indexed="81"/>
            <rFont val="Tahoma"/>
            <family val="2"/>
            <charset val="238"/>
          </rPr>
          <t>vypocitana hodnota testovacej statistiky padla do kritickej oblasti</t>
        </r>
      </text>
    </comment>
  </commentList>
</comments>
</file>

<file path=xl/comments3.xml><?xml version="1.0" encoding="utf-8"?>
<comments xmlns="http://schemas.openxmlformats.org/spreadsheetml/2006/main">
  <authors>
    <author>Maria Tothova</author>
  </authors>
  <commentList>
    <comment ref="C34" authorId="0" shapeId="0">
      <text>
        <r>
          <rPr>
            <b/>
            <sz val="8"/>
            <color indexed="81"/>
            <rFont val="Tahoma"/>
            <family val="2"/>
            <charset val="238"/>
          </rPr>
          <t>dolna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34" authorId="0" shapeId="0">
      <text>
        <r>
          <rPr>
            <b/>
            <sz val="8"/>
            <color indexed="81"/>
            <rFont val="Tahoma"/>
            <family val="2"/>
            <charset val="238"/>
          </rPr>
          <t>horna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P34" authorId="0" shapeId="0">
      <text>
        <r>
          <rPr>
            <b/>
            <sz val="8"/>
            <color indexed="81"/>
            <rFont val="Tahoma"/>
            <family val="2"/>
            <charset val="238"/>
          </rPr>
          <t>dolna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34" authorId="0" shapeId="0">
      <text>
        <r>
          <rPr>
            <b/>
            <sz val="8"/>
            <color indexed="81"/>
            <rFont val="Tahoma"/>
            <family val="2"/>
            <charset val="238"/>
          </rPr>
          <t>horna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Maria Tothova</author>
  </authors>
  <commentList>
    <comment ref="B23" authorId="0" shapeId="0">
      <text>
        <r>
          <rPr>
            <b/>
            <sz val="8"/>
            <color indexed="81"/>
            <rFont val="Tahoma"/>
            <family val="2"/>
            <charset val="238"/>
          </rPr>
          <t>dolna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23" authorId="0" shapeId="0">
      <text>
        <r>
          <rPr>
            <b/>
            <sz val="8"/>
            <color indexed="81"/>
            <rFont val="Tahoma"/>
            <family val="2"/>
            <charset val="238"/>
          </rPr>
          <t>horna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Maria Tothova</author>
  </authors>
  <commentList>
    <comment ref="B24" authorId="0" shapeId="0">
      <text>
        <r>
          <rPr>
            <b/>
            <sz val="8"/>
            <color indexed="81"/>
            <rFont val="Tahoma"/>
            <family val="2"/>
            <charset val="238"/>
          </rPr>
          <t>dolna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  <charset val="238"/>
          </rPr>
          <t>horna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Maria Tothova</author>
  </authors>
  <commentList>
    <comment ref="C29" authorId="0" shapeId="0">
      <text>
        <r>
          <rPr>
            <b/>
            <sz val="8"/>
            <color indexed="81"/>
            <rFont val="Tahoma"/>
            <family val="2"/>
            <charset val="238"/>
          </rPr>
          <t>dolna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29" authorId="0" shapeId="0">
      <text>
        <r>
          <rPr>
            <b/>
            <sz val="8"/>
            <color indexed="81"/>
            <rFont val="Tahoma"/>
            <family val="2"/>
            <charset val="238"/>
          </rPr>
          <t>horna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Janette Kotianova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  <charset val="238"/>
          </rPr>
          <t>Odhad priemernej spotreby benzinu u sledovaneho typu automobilu pri danej rychlosti je na zaklade nasho nahodneho vyberu 6,18 litrov/100 kilometrov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  <charset val="238"/>
          </rPr>
          <t>výberový priemer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pri tomto odhade sa dopustame v priemere chyby </t>
        </r>
        <r>
          <rPr>
            <b/>
            <sz val="9"/>
            <color indexed="81"/>
            <rFont val="Calibri"/>
            <family val="2"/>
            <charset val="238"/>
          </rPr>
          <t>±</t>
        </r>
        <r>
          <rPr>
            <b/>
            <sz val="9"/>
            <color indexed="81"/>
            <rFont val="Tahoma"/>
            <family val="2"/>
            <charset val="238"/>
          </rPr>
          <t>0,089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38"/>
          </rPr>
          <t>So spolahlivostou 95% mozno priemernu spotrebu benzinu u tohto typu automobilu ocakavat z intervalu (5,993;6,367)</t>
        </r>
      </text>
    </comment>
  </commentList>
</comments>
</file>

<file path=xl/comments8.xml><?xml version="1.0" encoding="utf-8"?>
<comments xmlns="http://schemas.openxmlformats.org/spreadsheetml/2006/main">
  <authors>
    <author>Janette Kotianová</author>
  </authors>
  <commentList>
    <comment ref="K4" authorId="0" shapeId="0">
      <text>
        <r>
          <rPr>
            <b/>
            <sz val="9"/>
            <color indexed="81"/>
            <rFont val="Segoe UI"/>
            <family val="2"/>
            <charset val="238"/>
          </rPr>
          <t>vyberovy priemer</t>
        </r>
      </text>
    </comment>
    <comment ref="K5" authorId="0" shapeId="0">
      <text>
        <r>
          <rPr>
            <b/>
            <sz val="9"/>
            <color indexed="81"/>
            <rFont val="Segoe UI"/>
            <family val="2"/>
            <charset val="238"/>
          </rPr>
          <t>vyberovy priemer</t>
        </r>
      </text>
    </comment>
    <comment ref="K6" authorId="0" shapeId="0">
      <text>
        <r>
          <rPr>
            <b/>
            <sz val="9"/>
            <color indexed="81"/>
            <rFont val="Segoe UI"/>
            <family val="2"/>
            <charset val="238"/>
          </rPr>
          <t>vyberovy priemer</t>
        </r>
      </text>
    </comment>
    <comment ref="S7" authorId="0" shapeId="0">
      <text>
        <r>
          <rPr>
            <b/>
            <sz val="9"/>
            <color indexed="81"/>
            <rFont val="Segoe UI"/>
            <family val="2"/>
            <charset val="238"/>
          </rPr>
          <t>sucet rezidualnych stvorcov</t>
        </r>
      </text>
    </comment>
    <comment ref="K8" authorId="0" shapeId="0">
      <text>
        <r>
          <rPr>
            <b/>
            <sz val="9"/>
            <color indexed="81"/>
            <rFont val="Segoe UI"/>
            <family val="2"/>
            <charset val="238"/>
          </rPr>
          <t>celkovy vybeovy priemer</t>
        </r>
      </text>
    </comment>
    <comment ref="G9" authorId="0" shapeId="0">
      <text>
        <r>
          <rPr>
            <b/>
            <sz val="9"/>
            <color indexed="81"/>
            <rFont val="Segoe UI"/>
            <family val="2"/>
            <charset val="238"/>
          </rPr>
          <t>aspon 2 priemery sa nerovnaju</t>
        </r>
      </text>
    </comment>
    <comment ref="C21" authorId="0" shapeId="0">
      <text>
        <r>
          <rPr>
            <b/>
            <sz val="9"/>
            <color indexed="81"/>
            <rFont val="Segoe UI"/>
            <family val="2"/>
            <charset val="238"/>
          </rPr>
          <t>r-1</t>
        </r>
      </text>
    </comment>
    <comment ref="D21" authorId="0" shapeId="0">
      <text>
        <r>
          <rPr>
            <b/>
            <sz val="9"/>
            <color indexed="81"/>
            <rFont val="Segoe UI"/>
            <family val="2"/>
            <charset val="238"/>
          </rPr>
          <t>medziurovnovy rozptyl</t>
        </r>
      </text>
    </comment>
    <comment ref="C22" authorId="0" shapeId="0">
      <text>
        <r>
          <rPr>
            <b/>
            <sz val="9"/>
            <color indexed="81"/>
            <rFont val="Segoe UI"/>
            <family val="2"/>
            <charset val="238"/>
          </rPr>
          <t>n-r
r je pocet vyrobcov</t>
        </r>
      </text>
    </comment>
    <comment ref="D22" authorId="0" shapeId="0">
      <text>
        <r>
          <rPr>
            <b/>
            <sz val="9"/>
            <color indexed="81"/>
            <rFont val="Segoe UI"/>
            <family val="2"/>
            <charset val="238"/>
          </rPr>
          <t>vnutrourovnovy rozptyl</t>
        </r>
      </text>
    </comment>
    <comment ref="C24" authorId="0" shapeId="0">
      <text>
        <r>
          <rPr>
            <b/>
            <sz val="9"/>
            <color indexed="81"/>
            <rFont val="Segoe UI"/>
            <family val="2"/>
            <charset val="238"/>
          </rPr>
          <t>n-1</t>
        </r>
      </text>
    </comment>
    <comment ref="L25" authorId="0" shapeId="0">
      <text>
        <r>
          <rPr>
            <b/>
            <sz val="9"/>
            <color indexed="81"/>
            <rFont val="Segoe UI"/>
            <family val="2"/>
            <charset val="238"/>
          </rPr>
          <t>suma stvorcov odchylok vsetkych hodnot od celkoveho priemeru _ SS Total</t>
        </r>
      </text>
    </comment>
  </commentList>
</comments>
</file>

<file path=xl/comments9.xml><?xml version="1.0" encoding="utf-8"?>
<comments xmlns="http://schemas.openxmlformats.org/spreadsheetml/2006/main">
  <authors>
    <author>Janette Kotianová</author>
  </authors>
  <commentList>
    <comment ref="D19" authorId="0" shapeId="0">
      <text>
        <r>
          <rPr>
            <b/>
            <sz val="9"/>
            <color indexed="81"/>
            <rFont val="Segoe UI"/>
            <family val="2"/>
            <charset val="238"/>
          </rPr>
          <t>Janette Kotianová:</t>
        </r>
        <r>
          <rPr>
            <sz val="9"/>
            <color indexed="81"/>
            <rFont val="Segoe UI"/>
            <family val="2"/>
            <charset val="238"/>
          </rPr>
          <t xml:space="preserve">
SS Total</t>
        </r>
      </text>
    </comment>
    <comment ref="E19" authorId="0" shapeId="0">
      <text>
        <r>
          <rPr>
            <b/>
            <sz val="9"/>
            <color indexed="81"/>
            <rFont val="Segoe UI"/>
            <family val="2"/>
            <charset val="238"/>
          </rPr>
          <t>SS within</t>
        </r>
      </text>
    </comment>
    <comment ref="F19" authorId="0" shapeId="0">
      <text>
        <r>
          <rPr>
            <b/>
            <sz val="9"/>
            <color indexed="81"/>
            <rFont val="Segoe UI"/>
            <family val="2"/>
            <charset val="238"/>
          </rPr>
          <t>SS between</t>
        </r>
      </text>
    </comment>
    <comment ref="A28" authorId="0" shapeId="0">
      <text>
        <r>
          <rPr>
            <b/>
            <sz val="9"/>
            <color indexed="81"/>
            <rFont val="Segoe UI"/>
            <family val="2"/>
            <charset val="238"/>
          </rPr>
          <t>celkove odchylky - stvorce odchylok od celkoveho priemeru</t>
        </r>
      </text>
    </comment>
    <comment ref="A29" authorId="0" shapeId="0">
      <text>
        <r>
          <rPr>
            <b/>
            <sz val="9"/>
            <color indexed="81"/>
            <rFont val="Segoe UI"/>
            <family val="2"/>
            <charset val="238"/>
          </rPr>
          <t>medziúrovnove odchylky</t>
        </r>
      </text>
    </comment>
    <comment ref="A30" authorId="0" shapeId="0">
      <text>
        <r>
          <rPr>
            <b/>
            <sz val="9"/>
            <color indexed="81"/>
            <rFont val="Segoe UI"/>
            <family val="2"/>
            <charset val="238"/>
          </rPr>
          <t>vnutrourovnove odchylky</t>
        </r>
      </text>
    </comment>
  </commentList>
</comments>
</file>

<file path=xl/sharedStrings.xml><?xml version="1.0" encoding="utf-8"?>
<sst xmlns="http://schemas.openxmlformats.org/spreadsheetml/2006/main" count="802" uniqueCount="418">
  <si>
    <t>Pr.</t>
  </si>
  <si>
    <t>2. Určte 95 %-ný interval spoľahlivosti pre strednú hodnotu.</t>
  </si>
  <si>
    <t>xi</t>
  </si>
  <si>
    <t>charakteristiky VS:</t>
  </si>
  <si>
    <t>1.</t>
  </si>
  <si>
    <t>bodove odhady ZS</t>
  </si>
  <si>
    <r>
      <t xml:space="preserve">est </t>
    </r>
    <r>
      <rPr>
        <sz val="11"/>
        <color theme="1"/>
        <rFont val="Calibri"/>
        <family val="2"/>
        <charset val="238"/>
      </rPr>
      <t>μ=x</t>
    </r>
    <r>
      <rPr>
        <vertAlign val="subscript"/>
        <sz val="11"/>
        <color theme="1"/>
        <rFont val="Calibri"/>
        <family val="2"/>
        <charset val="238"/>
      </rPr>
      <t>priem</t>
    </r>
    <r>
      <rPr>
        <sz val="11"/>
        <color theme="1"/>
        <rFont val="Calibri"/>
        <family val="2"/>
        <charset val="238"/>
      </rPr>
      <t>=</t>
    </r>
  </si>
  <si>
    <r>
      <t>s</t>
    </r>
    <r>
      <rPr>
        <vertAlign val="subscript"/>
        <sz val="11"/>
        <color theme="1"/>
        <rFont val="Calibri"/>
        <family val="2"/>
        <charset val="238"/>
        <scheme val="minor"/>
      </rPr>
      <t>n-1</t>
    </r>
    <r>
      <rPr>
        <sz val="11"/>
        <color theme="1"/>
        <rFont val="Calibri"/>
        <family val="2"/>
        <charset val="238"/>
        <scheme val="minor"/>
      </rPr>
      <t>=</t>
    </r>
  </si>
  <si>
    <r>
      <t>est</t>
    </r>
    <r>
      <rPr>
        <sz val="11"/>
        <color theme="1"/>
        <rFont val="Calibri"/>
        <family val="2"/>
        <charset val="238"/>
      </rPr>
      <t>ϭ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=s</t>
    </r>
    <r>
      <rPr>
        <vertAlign val="subscript"/>
        <sz val="11"/>
        <color theme="1"/>
        <rFont val="Calibri"/>
        <family val="2"/>
        <charset val="238"/>
      </rPr>
      <t>n-1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=</t>
    </r>
  </si>
  <si>
    <r>
      <t>x</t>
    </r>
    <r>
      <rPr>
        <vertAlign val="subscript"/>
        <sz val="11"/>
        <color theme="1"/>
        <rFont val="Calibri"/>
        <family val="2"/>
        <charset val="238"/>
        <scheme val="minor"/>
      </rPr>
      <t>priem</t>
    </r>
    <r>
      <rPr>
        <sz val="11"/>
        <color theme="1"/>
        <rFont val="Calibri"/>
        <family val="2"/>
        <charset val="238"/>
        <scheme val="minor"/>
      </rPr>
      <t>=</t>
    </r>
  </si>
  <si>
    <t xml:space="preserve">2. </t>
  </si>
  <si>
    <t>n</t>
  </si>
  <si>
    <r>
      <t>1-</t>
    </r>
    <r>
      <rPr>
        <b/>
        <sz val="11"/>
        <color theme="1"/>
        <rFont val="Arial"/>
        <family val="2"/>
        <charset val="238"/>
      </rPr>
      <t>α</t>
    </r>
  </si>
  <si>
    <t>α</t>
  </si>
  <si>
    <r>
      <t>1-</t>
    </r>
    <r>
      <rPr>
        <b/>
        <sz val="11"/>
        <color theme="1"/>
        <rFont val="Arial"/>
        <family val="2"/>
        <charset val="238"/>
      </rPr>
      <t>α/2</t>
    </r>
  </si>
  <si>
    <t>delta</t>
  </si>
  <si>
    <t>DH</t>
  </si>
  <si>
    <t>HH</t>
  </si>
  <si>
    <t>s 95% pravdepodobnostou stredna hodnota ZS bude z intervalu</t>
  </si>
  <si>
    <t>t kv (1-α/2)</t>
  </si>
  <si>
    <t>t.j. P(</t>
  </si>
  <si>
    <t>&lt;M&lt;</t>
  </si>
  <si>
    <t xml:space="preserve">3. </t>
  </si>
  <si>
    <r>
      <t>testovanie hypotezy o zhode priemeru M</t>
    </r>
    <r>
      <rPr>
        <b/>
        <sz val="11"/>
        <color theme="1"/>
        <rFont val="Calibri"/>
        <family val="2"/>
        <charset val="238"/>
      </rPr>
      <t xml:space="preserve"> s konstantou M</t>
    </r>
    <r>
      <rPr>
        <b/>
        <vertAlign val="subscript"/>
        <sz val="11"/>
        <color theme="1"/>
        <rFont val="Calibri"/>
        <family val="2"/>
        <charset val="238"/>
      </rPr>
      <t>0</t>
    </r>
  </si>
  <si>
    <t>95% IS pre M:</t>
  </si>
  <si>
    <t>α=</t>
  </si>
  <si>
    <t>1. sposob)</t>
  </si>
  <si>
    <t>testovanie pomocou kritickej oblasti W</t>
  </si>
  <si>
    <r>
      <t xml:space="preserve">H0: </t>
    </r>
    <r>
      <rPr>
        <sz val="11"/>
        <color theme="1"/>
        <rFont val="Calibri"/>
        <family val="2"/>
        <charset val="238"/>
      </rPr>
      <t>μ =1 &gt;&lt; H1: μ ≠1</t>
    </r>
  </si>
  <si>
    <t>hodnota testovacej statistiky (charakteristiky):</t>
  </si>
  <si>
    <r>
      <t>H0: M</t>
    </r>
    <r>
      <rPr>
        <sz val="11"/>
        <color theme="1"/>
        <rFont val="Calibri"/>
        <family val="2"/>
        <charset val="238"/>
      </rPr>
      <t xml:space="preserve"> =1 &gt;&lt; H1: M ≠1</t>
    </r>
  </si>
  <si>
    <r>
      <t>t kv (</t>
    </r>
    <r>
      <rPr>
        <sz val="11"/>
        <color theme="1"/>
        <rFont val="Calibri"/>
        <family val="2"/>
        <charset val="238"/>
      </rPr>
      <t>α/2</t>
    </r>
    <r>
      <rPr>
        <sz val="11"/>
        <color theme="1"/>
        <rFont val="Calibri"/>
        <family val="2"/>
        <charset val="238"/>
        <scheme val="minor"/>
      </rPr>
      <t>)=</t>
    </r>
  </si>
  <si>
    <r>
      <t>t kv (1-</t>
    </r>
    <r>
      <rPr>
        <sz val="11"/>
        <color theme="1"/>
        <rFont val="Calibri"/>
        <family val="2"/>
        <charset val="238"/>
      </rPr>
      <t>α/2</t>
    </r>
    <r>
      <rPr>
        <sz val="11"/>
        <color theme="1"/>
        <rFont val="Calibri"/>
        <family val="2"/>
        <charset val="238"/>
        <scheme val="minor"/>
      </rPr>
      <t xml:space="preserve"> )=</t>
    </r>
  </si>
  <si>
    <t>W=</t>
  </si>
  <si>
    <t>2. sposob)</t>
  </si>
  <si>
    <t>testovanie pomocou IS</t>
  </si>
  <si>
    <r>
      <t>95% IS pre M</t>
    </r>
    <r>
      <rPr>
        <sz val="11"/>
        <color theme="1"/>
        <rFont val="Calibri"/>
        <family val="2"/>
        <charset val="238"/>
      </rPr>
      <t>:</t>
    </r>
    <r>
      <rPr>
        <sz val="15.95"/>
        <color theme="1"/>
        <rFont val="Calibri"/>
        <family val="2"/>
        <charset val="238"/>
      </rPr>
      <t xml:space="preserve"> </t>
    </r>
  </si>
  <si>
    <t>3. sposob)</t>
  </si>
  <si>
    <t>testovanie pomocou p hodnoty</t>
  </si>
  <si>
    <t>p=</t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</si>
  <si>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0 </t>
    </r>
    <r>
      <rPr>
        <sz val="11"/>
        <color theme="1"/>
        <rFont val="Calibri"/>
        <family val="2"/>
        <charset val="238"/>
        <scheme val="minor"/>
      </rPr>
      <t>=</t>
    </r>
  </si>
  <si>
    <t xml:space="preserve">Pr. </t>
  </si>
  <si>
    <t>Počas ôsmich pracovných dní sa sledoval v podniku odber elektrickej energie v MWh.</t>
  </si>
  <si>
    <t>Vypočítajte: 1. 95%-ný interval spoľahlivosti pre priemerný odber elektrickej energie.</t>
  </si>
  <si>
    <t>2. 99%-ný interval spoľahlivosti pre rozptyl a smerodajnu odchylku odberu elektrickej energie.</t>
  </si>
  <si>
    <t>MWh</t>
  </si>
  <si>
    <t>95%-ny interval spoľahlivosti pre strednu hodnotu ZS:</t>
  </si>
  <si>
    <r>
      <t>est M = x</t>
    </r>
    <r>
      <rPr>
        <b/>
        <vertAlign val="subscript"/>
        <sz val="11"/>
        <color theme="1"/>
        <rFont val="Calibri"/>
        <family val="2"/>
        <charset val="238"/>
      </rPr>
      <t>priem</t>
    </r>
    <r>
      <rPr>
        <b/>
        <sz val="11"/>
        <color theme="1"/>
        <rFont val="Calibri"/>
        <family val="2"/>
        <charset val="238"/>
      </rPr>
      <t>=</t>
    </r>
  </si>
  <si>
    <r>
      <t>est σ</t>
    </r>
    <r>
      <rPr>
        <b/>
        <vertAlign val="super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  <family val="2"/>
        <charset val="238"/>
      </rPr>
      <t xml:space="preserve"> =  s</t>
    </r>
    <r>
      <rPr>
        <b/>
        <vertAlign val="subscript"/>
        <sz val="11"/>
        <color theme="1"/>
        <rFont val="Calibri"/>
        <family val="2"/>
        <charset val="238"/>
      </rPr>
      <t>n-1</t>
    </r>
    <r>
      <rPr>
        <b/>
        <vertAlign val="superscript"/>
        <sz val="11"/>
        <color theme="1"/>
        <rFont val="Calibri"/>
        <family val="2"/>
        <charset val="238"/>
      </rPr>
      <t>2</t>
    </r>
  </si>
  <si>
    <r>
      <t>est σ =   s</t>
    </r>
    <r>
      <rPr>
        <b/>
        <vertAlign val="subscript"/>
        <sz val="11"/>
        <color theme="1"/>
        <rFont val="Calibri"/>
        <family val="2"/>
        <charset val="238"/>
      </rPr>
      <t>n-1</t>
    </r>
  </si>
  <si>
    <t>99%-ny interval spoľahlivosti pre rozptyl ZS:</t>
  </si>
  <si>
    <t>1-α</t>
  </si>
  <si>
    <t>1-α/2</t>
  </si>
  <si>
    <t>α =</t>
  </si>
  <si>
    <r>
      <t>H0: M</t>
    </r>
    <r>
      <rPr>
        <sz val="11"/>
        <color theme="1"/>
        <rFont val="Calibri"/>
        <family val="2"/>
        <charset val="238"/>
      </rPr>
      <t xml:space="preserve"> =30 &gt;&lt; H1: M ≠30</t>
    </r>
  </si>
  <si>
    <t xml:space="preserve">4. </t>
  </si>
  <si>
    <r>
      <t xml:space="preserve">testovanie hypotezy o zhode rozptylu </t>
    </r>
    <r>
      <rPr>
        <b/>
        <sz val="11"/>
        <color theme="1"/>
        <rFont val="Calibri"/>
        <family val="2"/>
        <charset val="238"/>
      </rPr>
      <t>σ</t>
    </r>
    <r>
      <rPr>
        <b/>
        <vertAlign val="superscript"/>
        <sz val="11"/>
        <color theme="1"/>
        <rFont val="Calibri"/>
        <family val="2"/>
        <charset val="238"/>
      </rPr>
      <t xml:space="preserve">2 </t>
    </r>
    <r>
      <rPr>
        <b/>
        <sz val="11"/>
        <color theme="1"/>
        <rFont val="Calibri"/>
        <family val="2"/>
        <charset val="238"/>
      </rPr>
      <t>s konstantou σ</t>
    </r>
    <r>
      <rPr>
        <b/>
        <vertAlign val="subscript"/>
        <sz val="11"/>
        <color theme="1"/>
        <rFont val="Calibri"/>
        <family val="2"/>
        <charset val="238"/>
      </rPr>
      <t>0</t>
    </r>
    <r>
      <rPr>
        <b/>
        <vertAlign val="superscript"/>
        <sz val="11"/>
        <color theme="1"/>
        <rFont val="Calibri"/>
        <family val="2"/>
        <charset val="238"/>
      </rPr>
      <t>2</t>
    </r>
  </si>
  <si>
    <r>
      <t>χ</t>
    </r>
    <r>
      <rPr>
        <vertAlign val="superscript"/>
        <sz val="11"/>
        <color theme="1"/>
        <rFont val="Calibri"/>
        <family val="2"/>
        <charset val="238"/>
      </rPr>
      <t>2</t>
    </r>
    <r>
      <rPr>
        <vertAlign val="subscript"/>
        <sz val="11"/>
        <color theme="1"/>
        <rFont val="Calibri"/>
        <family val="2"/>
        <charset val="238"/>
      </rPr>
      <t xml:space="preserve">0 </t>
    </r>
    <r>
      <rPr>
        <sz val="11"/>
        <color theme="1"/>
        <rFont val="Calibri"/>
        <family val="2"/>
        <charset val="238"/>
      </rPr>
      <t>=</t>
    </r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</si>
  <si>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0=</t>
    </r>
  </si>
  <si>
    <t>Predpokladajme, že spotreba materiálu má v základnom súbore normálne rozdelenie.</t>
  </si>
  <si>
    <t>1. Nájdite bodový odhad strednej hodnoty a smerodajnej odchýlky základného súboru.</t>
  </si>
  <si>
    <t>2. Zostrojte 99%-ný obojstranný interval spoľahlivosti pre strednú hodnotu.</t>
  </si>
  <si>
    <t>3. Zostrojte 90%-ný obojstranný interval spoľahlivosti pre rozptyl.</t>
  </si>
  <si>
    <r>
      <t>Pri 25 výrobkoch sme zisťovalli spotrebu materiálu. Výberový priemer bol 150 cm</t>
    </r>
    <r>
      <rPr>
        <vertAlign val="superscript"/>
        <sz val="11"/>
        <color theme="1"/>
        <rFont val="Calibri"/>
        <family val="2"/>
        <charset val="238"/>
        <scheme val="minor"/>
      </rPr>
      <t>2,</t>
    </r>
    <r>
      <rPr>
        <sz val="11"/>
        <color theme="1"/>
        <rFont val="Calibri"/>
        <family val="2"/>
        <charset val="238"/>
        <scheme val="minor"/>
      </rPr>
      <t xml:space="preserve"> výberový rozptyl 15,84.</t>
    </r>
  </si>
  <si>
    <t>99%-ny interval spoľahlivosti pre strednu hodnotu ZS:</t>
  </si>
  <si>
    <t>90%-ny interval spoľahlivosti pre rozptyl ZS:</t>
  </si>
  <si>
    <t xml:space="preserve">Vyberový súbor obsahuje 10 meraní uvedených nižšie. </t>
  </si>
  <si>
    <t>Na hladine významnosti 0,05 otestujte hypotézu, že stredná hodnota sa rovná 1,95</t>
  </si>
  <si>
    <t xml:space="preserve">Príklad :   </t>
  </si>
  <si>
    <t xml:space="preserve">Výber pochádza z normálneho rozdelenia . </t>
  </si>
  <si>
    <r>
      <t>H0: M</t>
    </r>
    <r>
      <rPr>
        <sz val="11"/>
        <color theme="1"/>
        <rFont val="Calibri"/>
        <family val="2"/>
        <charset val="238"/>
      </rPr>
      <t xml:space="preserve"> =1,95 &gt;&lt; H1: M ≠1,95</t>
    </r>
  </si>
  <si>
    <r>
      <t xml:space="preserve">H0: </t>
    </r>
    <r>
      <rPr>
        <sz val="11"/>
        <color theme="1"/>
        <rFont val="Calibri"/>
        <family val="2"/>
        <charset val="238"/>
      </rPr>
      <t>μ =1,95 &gt;&lt; H1: μ ≠1,95</t>
    </r>
  </si>
  <si>
    <t>Výrobca tvrdí, že osvetľovacie teleso vydrží v priemere 65 hodín. Konkurencia predpokladá, že  tvrdenie</t>
  </si>
  <si>
    <t>výrobca. Uskutočnil sa náhodný výber 21 osvetľovacích telies. Výberový priemer je 62,5 hod. a štandardná</t>
  </si>
  <si>
    <t>odchýlka životnosti  vybraných telies je 3 hod. Existujú dôvody pre záver, že tvrdenie výrobcu je nesprávne?</t>
  </si>
  <si>
    <t>(Nech alfa = 0,01)</t>
  </si>
  <si>
    <r>
      <t>H0: M</t>
    </r>
    <r>
      <rPr>
        <sz val="11"/>
        <color theme="1"/>
        <rFont val="Calibri"/>
        <family val="2"/>
        <charset val="238"/>
      </rPr>
      <t xml:space="preserve"> =65 h &gt;&lt; H1: M ≠65 h</t>
    </r>
  </si>
  <si>
    <t>n=</t>
  </si>
  <si>
    <r>
      <t xml:space="preserve"> s</t>
    </r>
    <r>
      <rPr>
        <vertAlign val="subscript"/>
        <sz val="11"/>
        <color theme="1"/>
        <rFont val="Calibri"/>
        <family val="2"/>
        <charset val="238"/>
      </rPr>
      <t>n-1</t>
    </r>
    <r>
      <rPr>
        <sz val="11"/>
        <color theme="1"/>
        <rFont val="Calibri"/>
        <family val="2"/>
        <charset val="238"/>
      </rPr>
      <t>=</t>
    </r>
  </si>
  <si>
    <t xml:space="preserve">Výrobca reflektorov uvádza, že ich stredná životnosť predstavuje 70 hodín. </t>
  </si>
  <si>
    <t>a výberová smerodajná odchýlka 2 hodiny. Má výrobca pravdu?</t>
  </si>
  <si>
    <t>Pri meraní koeficientu tepelnej vodivosti tehlovej steny sme namerali  hodnoty uvedené nižšie.</t>
  </si>
  <si>
    <t xml:space="preserve">Na hladine významnosti otestujte hypotézu, že priemerný koeficient je 0,6 . </t>
  </si>
  <si>
    <t>koeficient</t>
  </si>
  <si>
    <t>Firma, ktorá sa zaoberala výrobou výliskov z plastických hmôt, chce poznať účinok technologického procesu</t>
  </si>
  <si>
    <t>rozkmitá v dôsledku nárazov pri lisovaní. Pomocou snímačov na podlahe sme urobili 50 meraní maximálnych</t>
  </si>
  <si>
    <t>výchyliek a vypočítali aritmetický priemer (2,25 mm) a odhad rozptylu (0,73).  Zo skúsenosti vieme, že ide o výber</t>
  </si>
  <si>
    <t>z  normálneho rozdelenia. Testujte na hladine významnosti alfa = 5% :</t>
  </si>
  <si>
    <t>1. či maximálna výchylka sa rovná 2,75 (čo je povolená norma)?</t>
  </si>
  <si>
    <t>2. či rozptyl výchyliek sa rovná 0,81 ?</t>
  </si>
  <si>
    <t>na kmitanie podlahy vo výrobnej hale. Ohrozenie podlahy sa hodnotí pomocou vibrácií, ktorými sa podlaha</t>
  </si>
  <si>
    <t>Na hladine významnosti alfa = 0,05  otestujte, či priemerný denný prietok sa rovná 50 alebo  sa</t>
  </si>
  <si>
    <t>nerovná 50 .</t>
  </si>
  <si>
    <t>denný pr.</t>
  </si>
  <si>
    <t>Denný prietok vody má normálne rozdelenie. Výsledky dlhodobého pozorovania sú uvedené nižšie.</t>
  </si>
  <si>
    <t>Náhodným výberom sme vybrali 100 výrobkov, ich priemerná hmotnosť je 2,2 kg.</t>
  </si>
  <si>
    <t xml:space="preserve">Úlohy: </t>
  </si>
  <si>
    <t>1. Nájdite bodový odhad priemernej hmotnosti všetkých výrobkov</t>
  </si>
  <si>
    <t>2. Určte 95%-ný  obojstranný interval spoľahlivosti pre strednú hodnotu hmotnosti výrobku.</t>
  </si>
  <si>
    <t>3. Na hladine významnosti 5% otestujte hypotézu, že priemerná hmotnosť výrobkov je 2 kg.</t>
  </si>
  <si>
    <t>a vyberova  štandardná odchýlka hmotnosti vyrobkov je 0,6 kg.</t>
  </si>
  <si>
    <r>
      <t>p= 2*min {F(t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);1-F(t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)}=</t>
    </r>
  </si>
  <si>
    <t>Zo základného súboru s N(M, sigma^2) sme urobili náhodný výber.</t>
  </si>
  <si>
    <t>)=0,95</t>
  </si>
  <si>
    <t xml:space="preserve">pripustna chyba: </t>
  </si>
  <si>
    <t xml:space="preserve"> =CONFIDENCE.T(alfa;smerodajna_odch; veľkosť)</t>
  </si>
  <si>
    <t>IS pre strednú hodnotu M:</t>
  </si>
  <si>
    <t>IS pre rozptyl sigma^2:</t>
  </si>
  <si>
    <t>IS pre smerodajnu ochylku sigma:</t>
  </si>
  <si>
    <r>
      <t>nulova hypoteza: H0: Q =Q</t>
    </r>
    <r>
      <rPr>
        <vertAlign val="subscript"/>
        <sz val="11"/>
        <color theme="1"/>
        <rFont val="Calibri"/>
        <family val="2"/>
        <charset val="238"/>
        <scheme val="minor"/>
      </rPr>
      <t>0</t>
    </r>
  </si>
  <si>
    <t>a) pomocou kritickej oblasti W</t>
  </si>
  <si>
    <t>b) pomocou IS</t>
  </si>
  <si>
    <t>c) pomocou p-hodnoty</t>
  </si>
  <si>
    <r>
      <t>obojstranna alternativna hypoteza: H1: Q ≠Q</t>
    </r>
    <r>
      <rPr>
        <vertAlign val="subscript"/>
        <sz val="11"/>
        <color theme="1"/>
        <rFont val="Calibri"/>
        <family val="2"/>
        <charset val="238"/>
        <scheme val="minor"/>
      </rPr>
      <t>0</t>
    </r>
  </si>
  <si>
    <r>
      <t>testujeme  H0: Q</t>
    </r>
    <r>
      <rPr>
        <sz val="11"/>
        <color theme="1"/>
        <rFont val="Calibri"/>
        <family val="2"/>
        <charset val="238"/>
      </rPr>
      <t xml:space="preserve"> =Q</t>
    </r>
    <r>
      <rPr>
        <vertAlign val="subscript"/>
        <sz val="11"/>
        <color theme="1"/>
        <rFont val="Calibri"/>
        <family val="2"/>
        <charset val="238"/>
      </rPr>
      <t>0</t>
    </r>
    <r>
      <rPr>
        <sz val="11"/>
        <color theme="1"/>
        <rFont val="Calibri"/>
        <family val="2"/>
        <charset val="238"/>
      </rPr>
      <t>&gt;&lt; H1: Q ≠Q</t>
    </r>
    <r>
      <rPr>
        <vertAlign val="subscript"/>
        <sz val="11"/>
        <color theme="1"/>
        <rFont val="Calibri"/>
        <family val="2"/>
        <charset val="238"/>
      </rPr>
      <t>0</t>
    </r>
  </si>
  <si>
    <t>spôsob testovania hypotez:</t>
  </si>
  <si>
    <t>zamietame H0</t>
  </si>
  <si>
    <t>ak</t>
  </si>
  <si>
    <t>volime alfa - hladinu vyznamnosti</t>
  </si>
  <si>
    <t xml:space="preserve"> </t>
  </si>
  <si>
    <t xml:space="preserve">číselná realizácia testovacej charakteristiky pre strednú hodnotu M: </t>
  </si>
  <si>
    <t xml:space="preserve">číselná realizácia testovacej charakteristiky pre rozptyl </t>
  </si>
  <si>
    <t>Testovanie hypotez:</t>
  </si>
  <si>
    <t>Intervaly spolahlivosti:</t>
  </si>
  <si>
    <t xml:space="preserve"> ak  T patri do W, potom H0 zamietame</t>
  </si>
  <si>
    <t xml:space="preserve"> ak T nepatri W H0 nezamietame (prijimame)</t>
  </si>
  <si>
    <t>nezamietame (prijímame) H0</t>
  </si>
  <si>
    <t>potom H0 nezamietame  (prijímame)</t>
  </si>
  <si>
    <r>
      <rPr>
        <sz val="11"/>
        <color theme="1"/>
        <rFont val="Calibri"/>
        <family val="2"/>
        <charset val="238"/>
        <scheme val="minor"/>
      </rPr>
      <t>s</t>
    </r>
    <r>
      <rPr>
        <vertAlign val="subscript"/>
        <sz val="11"/>
        <color theme="1"/>
        <rFont val="Calibri"/>
        <family val="2"/>
        <charset val="238"/>
        <scheme val="minor"/>
      </rPr>
      <t>n-1</t>
    </r>
  </si>
  <si>
    <r>
      <t>1-</t>
    </r>
    <r>
      <rPr>
        <sz val="11"/>
        <color theme="1"/>
        <rFont val="Arial"/>
        <family val="2"/>
        <charset val="238"/>
      </rPr>
      <t>α</t>
    </r>
  </si>
  <si>
    <r>
      <t>1-</t>
    </r>
    <r>
      <rPr>
        <sz val="11"/>
        <color theme="1"/>
        <rFont val="Arial"/>
        <family val="2"/>
        <charset val="238"/>
      </rPr>
      <t>α/2</t>
    </r>
  </si>
  <si>
    <t>pouzivame testovaciu statistiku:</t>
  </si>
  <si>
    <t xml:space="preserve"> volime α=</t>
  </si>
  <si>
    <t>3. Testovanie hypotez:</t>
  </si>
  <si>
    <t>&lt;</t>
  </si>
  <si>
    <t xml:space="preserve">H0: M =1  </t>
  </si>
  <si>
    <t xml:space="preserve">H1: M ≠1 </t>
  </si>
  <si>
    <r>
      <t xml:space="preserve">Na hladine vyznamnosti </t>
    </r>
    <r>
      <rPr>
        <sz val="11"/>
        <color rgb="FFFF0000"/>
        <rFont val="Symbol"/>
        <family val="1"/>
        <charset val="2"/>
      </rPr>
      <t>a</t>
    </r>
    <r>
      <rPr>
        <sz val="11"/>
        <color rgb="FFFF0000"/>
        <rFont val="Calibri"/>
        <family val="2"/>
        <charset val="238"/>
      </rPr>
      <t xml:space="preserve">=0,05 prijmeme predpoklad, </t>
    </r>
  </si>
  <si>
    <r>
      <t>s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=</t>
    </r>
  </si>
  <si>
    <r>
      <t>s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>=</t>
    </r>
  </si>
  <si>
    <r>
      <t>F(t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>=</t>
    </r>
  </si>
  <si>
    <r>
      <t>1-F(t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)=</t>
    </r>
  </si>
  <si>
    <t xml:space="preserve"> =alfa</t>
  </si>
  <si>
    <t>&lt;sigma^2&lt;</t>
  </si>
  <si>
    <t>)=0,99</t>
  </si>
  <si>
    <t>90% IS pre M:</t>
  </si>
  <si>
    <t>(-nekonecno,-1,89)zjednotenie(1,89, nekonecno)</t>
  </si>
  <si>
    <t>&gt;</t>
  </si>
  <si>
    <t xml:space="preserve">H0: M =30  </t>
  </si>
  <si>
    <t xml:space="preserve">H1: M ≠30 </t>
  </si>
  <si>
    <r>
      <t>M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=</t>
    </r>
  </si>
  <si>
    <t xml:space="preserve">hodnota testovacej statistiky (test. charakteristiky): </t>
  </si>
  <si>
    <t>do 95%IS pre M</t>
  </si>
  <si>
    <t>testovacia statistika:</t>
  </si>
  <si>
    <t>delta=</t>
  </si>
  <si>
    <t xml:space="preserve">H0: M =30 </t>
  </si>
  <si>
    <r>
      <t>est M = x</t>
    </r>
    <r>
      <rPr>
        <vertAlign val="subscript"/>
        <sz val="11"/>
        <color theme="1"/>
        <rFont val="Calibri"/>
        <family val="2"/>
        <charset val="238"/>
      </rPr>
      <t>priem</t>
    </r>
    <r>
      <rPr>
        <sz val="11"/>
        <color theme="1"/>
        <rFont val="Calibri"/>
        <family val="2"/>
        <charset val="238"/>
      </rPr>
      <t>=</t>
    </r>
  </si>
  <si>
    <r>
      <t>est σ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=  s</t>
    </r>
    <r>
      <rPr>
        <vertAlign val="subscript"/>
        <sz val="11"/>
        <color theme="1"/>
        <rFont val="Calibri"/>
        <family val="2"/>
        <charset val="238"/>
      </rPr>
      <t>n-1</t>
    </r>
    <r>
      <rPr>
        <vertAlign val="superscript"/>
        <sz val="11"/>
        <color theme="1"/>
        <rFont val="Calibri"/>
        <family val="2"/>
        <charset val="238"/>
      </rPr>
      <t>2</t>
    </r>
  </si>
  <si>
    <r>
      <t>est σ =   s</t>
    </r>
    <r>
      <rPr>
        <vertAlign val="subscript"/>
        <sz val="11"/>
        <color theme="1"/>
        <rFont val="Calibri"/>
        <family val="2"/>
        <charset val="238"/>
      </rPr>
      <t>n-1</t>
    </r>
  </si>
  <si>
    <r>
      <t xml:space="preserve">chi 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sz val="11"/>
        <color theme="1"/>
        <rFont val="Calibri"/>
        <family val="2"/>
        <charset val="238"/>
        <scheme val="minor"/>
      </rPr>
      <t xml:space="preserve"> (1-α/2)</t>
    </r>
  </si>
  <si>
    <r>
      <t xml:space="preserve">chi 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sz val="11"/>
        <color theme="1"/>
        <rFont val="Calibri"/>
        <family val="2"/>
        <charset val="238"/>
        <scheme val="minor"/>
      </rPr>
      <t xml:space="preserve"> (α/2)</t>
    </r>
  </si>
  <si>
    <t>(0,-1,89)zjednotenie(1,89, nekonecno)</t>
  </si>
  <si>
    <t>n-1=</t>
  </si>
  <si>
    <t>3. sposob pomocou p hodnoty</t>
  </si>
  <si>
    <t>výrobcu je nesprávne a chce dokázať, že priemerná životnosť osvetľovacieho telesa nerovná sa 65 hodin, ako stanovuje</t>
  </si>
  <si>
    <t>V skúšobni sa porovnávali pneumatiky firmy X a firmy Y. Skúmala sa výška</t>
  </si>
  <si>
    <t>dezénu v milimetroch po najazdení 50 000 kilometrov. Každá firma dodala po 10 pneumatík.</t>
  </si>
  <si>
    <t>Výška dezénu je v nasledujúcej tabuľke:</t>
  </si>
  <si>
    <t>X</t>
  </si>
  <si>
    <t>Y</t>
  </si>
  <si>
    <t>V prvom riadku sú výšky dezénov i x typu pneumatík od firmy X a v druhom riadku sú výšky</t>
  </si>
  <si>
    <t>dezénov i y typu pneumatík od firmy Y. Na hladine α = 0,05 otestujte, či sú obidva druhy</t>
  </si>
  <si>
    <t>pneumatík rovnako kvalitné.</t>
  </si>
  <si>
    <t>Pri zisťovaní spotreby benzínu určitého typu automobilu pri rýchlosti 90 km/h boli u 20 náhodne vybraných automobiloch namerané tieto hodnoty (v l/100 km)</t>
  </si>
  <si>
    <t>Predpokladáme, že spotreba benzínu je náhodná premenná s normálnym rozdelením.</t>
  </si>
  <si>
    <t>a) Odhadnite priemernú spotrebu benzínu u sledovaného typu automobilu a danej rýchlosti, určte smerodajnú chybu tohto odhadu.</t>
  </si>
  <si>
    <t>b) Určte v akých medziach je možné očakávať so spoľahlivosťou 95% priemernú spotrebu benzínu u tohto automobilu.</t>
  </si>
  <si>
    <t>c) S 95% spoľahlivosťou určte priemernú spotrebu benzínu, ktorá nebude prekročená.</t>
  </si>
  <si>
    <t>X - náhodná premenná spotreba benzínu</t>
  </si>
  <si>
    <t>deskriptívna štatistika:</t>
  </si>
  <si>
    <t>a)</t>
  </si>
  <si>
    <t>Column1</t>
  </si>
  <si>
    <t>bodový odhad strednej hodnoty spotreby benzínu:</t>
  </si>
  <si>
    <t>est μ = x priem=</t>
  </si>
  <si>
    <t>Mean</t>
  </si>
  <si>
    <t>Standard Error</t>
  </si>
  <si>
    <t>odhad smerodajnej chyby odhadu strednej hodnoty:</t>
  </si>
  <si>
    <t>Median</t>
  </si>
  <si>
    <t>est SE(x priem)=</t>
  </si>
  <si>
    <t>Mode</t>
  </si>
  <si>
    <t>Standard Deviation</t>
  </si>
  <si>
    <t>b)</t>
  </si>
  <si>
    <t>Sample Variance</t>
  </si>
  <si>
    <t>95% obojstranný IS pre strednú hodnotu náhodnej premennej X:</t>
  </si>
  <si>
    <t>Kurtosis</t>
  </si>
  <si>
    <r>
      <t xml:space="preserve">&lt;= </t>
    </r>
    <r>
      <rPr>
        <sz val="11"/>
        <color theme="1"/>
        <rFont val="Calibri"/>
        <family val="2"/>
        <charset val="238"/>
      </rPr>
      <t>μ &lt;=</t>
    </r>
  </si>
  <si>
    <t>Skewness</t>
  </si>
  <si>
    <t>Range</t>
  </si>
  <si>
    <t>t kv 19 (0,975)=</t>
  </si>
  <si>
    <t>Minimum</t>
  </si>
  <si>
    <t>Maximum</t>
  </si>
  <si>
    <t>Sum</t>
  </si>
  <si>
    <t>Count</t>
  </si>
  <si>
    <t>c) 95% jednostranný IS pre strednú hodnotu náhodnej premennej X:</t>
  </si>
  <si>
    <t>Confidence Level(95,0%)</t>
  </si>
  <si>
    <t>μ &lt;=</t>
  </si>
  <si>
    <t>Confidence Level(90,0%)</t>
  </si>
  <si>
    <t>3. Na hladine významnosti 5 % otestujte hypotézu, že priemer ZS je 1.</t>
  </si>
  <si>
    <t>99% IS pre sigma^2</t>
  </si>
  <si>
    <r>
      <t>F(chi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^2)=</t>
    </r>
  </si>
  <si>
    <r>
      <t>1-F(chi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^2)=</t>
    </r>
  </si>
  <si>
    <r>
      <t>p= 2*min {F(chi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^2);1-F(chi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^2)}=</t>
    </r>
  </si>
  <si>
    <t>Pri kontrole spravnosti nastavenia meracieho pristroja bolo urobenych 10 merani skusobneho etalonu s hodnotou 15,2.</t>
  </si>
  <si>
    <t>Otestujte na hladine vyznamnosti alfa=</t>
  </si>
  <si>
    <t>, ci je meraci pristroj nastaveny spravne.</t>
  </si>
  <si>
    <r>
      <t>H0: M</t>
    </r>
    <r>
      <rPr>
        <sz val="11"/>
        <color theme="1"/>
        <rFont val="Calibri"/>
        <family val="2"/>
        <charset val="238"/>
      </rPr>
      <t xml:space="preserve"> =15,2 &gt;&lt; H1: M ≠15,2</t>
    </r>
  </si>
  <si>
    <t xml:space="preserve">H0: M =15,2  </t>
  </si>
  <si>
    <t>H1: M ≠15,2</t>
  </si>
  <si>
    <t>Denny prietok vody ma normalne rozdelenie. Vysledky dlhodobeho pozorovania su v tabulke rozdelenia pocetnosti:</t>
  </si>
  <si>
    <t>ni</t>
  </si>
  <si>
    <t xml:space="preserve">Na hladine vyznamnosti </t>
  </si>
  <si>
    <r>
      <t xml:space="preserve"> testujte nulovu hypotezu </t>
    </r>
    <r>
      <rPr>
        <sz val="11"/>
        <color theme="1"/>
        <rFont val="Calibri"/>
        <family val="2"/>
        <charset val="238"/>
      </rPr>
      <t>µ=50 oproti alternative µ≠50.</t>
    </r>
  </si>
  <si>
    <r>
      <t>H0: M</t>
    </r>
    <r>
      <rPr>
        <sz val="11"/>
        <color theme="1"/>
        <rFont val="Calibri"/>
        <family val="2"/>
        <charset val="238"/>
      </rPr>
      <t xml:space="preserve"> =50 &gt;&lt; H1: M ≠50</t>
    </r>
  </si>
  <si>
    <t xml:space="preserve">H0: M =50  </t>
  </si>
  <si>
    <t>H1: M ≠50</t>
  </si>
  <si>
    <r>
      <t xml:space="preserve">H0: </t>
    </r>
    <r>
      <rPr>
        <sz val="11"/>
        <color theme="1"/>
        <rFont val="Calibri"/>
        <family val="2"/>
        <charset val="238"/>
      </rPr>
      <t>μ =50 &gt;&lt; H1: μ ≠50</t>
    </r>
  </si>
  <si>
    <t>V dielni sa sleduje vykonnosť strojov od troch roznych vyrobcov.</t>
  </si>
  <si>
    <t>Na hladine vyznamnosti alfa=</t>
  </si>
  <si>
    <t>testujte hypotezu o rovnosti vykonnosti strojov roznych vyrobcov.</t>
  </si>
  <si>
    <t>vyberove priemery:</t>
  </si>
  <si>
    <t>odchylky vyber. priemerov od celk. priemeru:</t>
  </si>
  <si>
    <t>SS odchylok vyber. priemerov od celk. priemeru:</t>
  </si>
  <si>
    <t>1. vyrobca</t>
  </si>
  <si>
    <t>n1=</t>
  </si>
  <si>
    <t>x1 priem=</t>
  </si>
  <si>
    <t>t1=</t>
  </si>
  <si>
    <t>2. vyrobca</t>
  </si>
  <si>
    <t>x2 priem=</t>
  </si>
  <si>
    <t>t2=</t>
  </si>
  <si>
    <t>3. vyrobca</t>
  </si>
  <si>
    <t>x3 priem=</t>
  </si>
  <si>
    <t>t3=</t>
  </si>
  <si>
    <t xml:space="preserve"> x priem=</t>
  </si>
  <si>
    <r>
      <t xml:space="preserve"> </t>
    </r>
    <r>
      <rPr>
        <sz val="11"/>
        <color rgb="FF44546A"/>
        <rFont val="Calibri"/>
        <family val="2"/>
        <charset val="238"/>
        <scheme val="minor"/>
      </rPr>
      <t>sa rovnajú.</t>
    </r>
  </si>
  <si>
    <t>Anova: Single Factor</t>
  </si>
  <si>
    <t>1.v</t>
  </si>
  <si>
    <t>SUMMARY</t>
  </si>
  <si>
    <t>2.v</t>
  </si>
  <si>
    <t>3.v</t>
  </si>
  <si>
    <t>realizacia testovacej statistiky</t>
  </si>
  <si>
    <t>F0=</t>
  </si>
  <si>
    <t>a) testovanie pomocou kritickej oblasti W</t>
  </si>
  <si>
    <t>kriticka oblast</t>
  </si>
  <si>
    <t>kriticka hodnota</t>
  </si>
  <si>
    <t>F kvdfBG, dfWG(1-alfa)=</t>
  </si>
  <si>
    <t>F0 nepatri do W</t>
  </si>
  <si>
    <t>H0 nezamietame</t>
  </si>
  <si>
    <t>H1 zamietame</t>
  </si>
  <si>
    <t>b)testovanie pomocou p hodnoty</t>
  </si>
  <si>
    <t>SS odchylok nam. hodnot od vyberovych priemerov:</t>
  </si>
  <si>
    <t>vyrobna linka i</t>
  </si>
  <si>
    <t>yij</t>
  </si>
  <si>
    <t>yj priem</t>
  </si>
  <si>
    <t>(yij-y priem)^2</t>
  </si>
  <si>
    <t>(yij-yjpriem)^2</t>
  </si>
  <si>
    <t>(yjpriem-y priem)^2</t>
  </si>
  <si>
    <t>y priem</t>
  </si>
  <si>
    <t>alfa=</t>
  </si>
  <si>
    <t>SS(total)=</t>
  </si>
  <si>
    <t>SS(between)=</t>
  </si>
  <si>
    <t>SS(within)=</t>
  </si>
  <si>
    <t>df (between)= k-1=</t>
  </si>
  <si>
    <t>df(within)=N-k=</t>
  </si>
  <si>
    <t>MS(between)=</t>
  </si>
  <si>
    <t>MS(within)=</t>
  </si>
  <si>
    <t>testovacia štatistika</t>
  </si>
  <si>
    <t>realizacia testovacej statistiky  F0 =</t>
  </si>
  <si>
    <t>kriticka hodnota F krit= F kv2,12 (1-alfa)=</t>
  </si>
  <si>
    <t>p hodnota= 1-F(F0)=</t>
  </si>
  <si>
    <t>0,05=alfa</t>
  </si>
  <si>
    <t>ANOVA pomocou analyzy dat</t>
  </si>
  <si>
    <t>MEDZIUROVNOVE ODCHYLKY (between)</t>
  </si>
  <si>
    <t>VNUTROUROVNOVE ODCHYLKY 
(within)</t>
  </si>
  <si>
    <t>One-way ANOVA (jedna nezávislá premenná)</t>
  </si>
  <si>
    <t>stroj 1</t>
  </si>
  <si>
    <t>stroj 2</t>
  </si>
  <si>
    <t>stroj 3</t>
  </si>
  <si>
    <t>3. Na hladine významnosti 10% otestujte hypotézu, že priemerný odber el.energie je 30 MWh.</t>
  </si>
  <si>
    <t>s 95% pravdepodobnostou priemerny odber podniku bude z intervalu (MWh;MWh)</t>
  </si>
  <si>
    <t>x priem=</t>
  </si>
  <si>
    <t>CELKOVE ODCHYLKY 
(total)</t>
  </si>
  <si>
    <t>Box plot</t>
  </si>
  <si>
    <t>3. sposob) testovanie pomocou p - hodnoty</t>
  </si>
  <si>
    <t xml:space="preserve">Za tým účelom sa uskutočnilo výberové skúmanie a na vzorke 20 reflektorov sa zistila priemerná životnosť 67 hodín.  </t>
  </si>
  <si>
    <t>t-Test: Paired Two Sample for Means</t>
  </si>
  <si>
    <t>Variance</t>
  </si>
  <si>
    <t>Observations</t>
  </si>
  <si>
    <t>Pearson Correlation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</si>
  <si>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</si>
  <si>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</si>
  <si>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</si>
  <si>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</si>
  <si>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</si>
  <si>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</si>
  <si>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</si>
  <si>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r>
      <t>s</t>
    </r>
    <r>
      <rPr>
        <vertAlign val="subscript"/>
        <sz val="11"/>
        <color theme="1"/>
        <rFont val="Calibri"/>
        <family val="2"/>
        <charset val="238"/>
        <scheme val="minor"/>
      </rPr>
      <t>n-1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=</t>
    </r>
  </si>
  <si>
    <r>
      <t>estϭ=s</t>
    </r>
    <r>
      <rPr>
        <vertAlign val="subscript"/>
        <sz val="11"/>
        <color theme="1"/>
        <rFont val="Calibri"/>
        <family val="2"/>
        <charset val="238"/>
        <scheme val="minor"/>
      </rPr>
      <t>n-1</t>
    </r>
    <r>
      <rPr>
        <sz val="11"/>
        <color theme="1"/>
        <rFont val="Calibri"/>
        <family val="2"/>
        <charset val="238"/>
        <scheme val="minor"/>
      </rPr>
      <t>=</t>
    </r>
  </si>
  <si>
    <t>1.Nájdite bodový odhad strednej hodnoty, rozptylu a smerodajnej odchylky základného suboru ZS.</t>
  </si>
  <si>
    <t>zamietame</t>
  </si>
  <si>
    <t>nezamietame</t>
  </si>
  <si>
    <t>nepatri</t>
  </si>
  <si>
    <t>že stredna hodnota ZS je rozna od 1.</t>
  </si>
  <si>
    <r>
      <t>est</t>
    </r>
    <r>
      <rPr>
        <sz val="11"/>
        <color theme="1"/>
        <rFont val="Calibri"/>
        <family val="2"/>
        <charset val="238"/>
      </rPr>
      <t>ϭ</t>
    </r>
    <r>
      <rPr>
        <sz val="11"/>
        <color theme="1"/>
        <rFont val="Calibri"/>
        <family val="2"/>
        <charset val="238"/>
      </rPr>
      <t>=s</t>
    </r>
    <r>
      <rPr>
        <vertAlign val="subscript"/>
        <sz val="11"/>
        <color theme="1"/>
        <rFont val="Calibri"/>
        <family val="2"/>
        <charset val="238"/>
      </rPr>
      <t>n-1</t>
    </r>
    <r>
      <rPr>
        <sz val="11"/>
        <color theme="1"/>
        <rFont val="Calibri"/>
        <family val="2"/>
        <charset val="238"/>
      </rPr>
      <t>=</t>
    </r>
  </si>
  <si>
    <t>do 90% IS pre M</t>
  </si>
  <si>
    <t>Na hladine vyznamnosti 0,1 nemozno prijat hypotezu o tom, ze priemerny odber elektrickej energie podniku je rovny 30 MWh.</t>
  </si>
  <si>
    <t>4. Na hladine významnosti 1% otestujte hypotézu, že rozptyl odberu el.energie je 1 MWh^2.</t>
  </si>
  <si>
    <r>
      <t xml:space="preserve">H0: </t>
    </r>
    <r>
      <rPr>
        <sz val="11"/>
        <color theme="1"/>
        <rFont val="Calibri"/>
        <family val="2"/>
        <charset val="238"/>
      </rPr>
      <t xml:space="preserve"> σ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=1&gt;&lt; H1: σ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≠1</t>
    </r>
  </si>
  <si>
    <t xml:space="preserve">H0: σ^2 =1  </t>
  </si>
  <si>
    <t xml:space="preserve">H1: σ^2 ≠1 </t>
  </si>
  <si>
    <t>99% IS pre sigma^2:</t>
  </si>
  <si>
    <t>patri</t>
  </si>
  <si>
    <t>Na hladine vyznamnosti 0,01 prijimame hypotezu, že rozptyl odberu el.energie je 1 MWh^2.</t>
  </si>
  <si>
    <r>
      <t>t8 kv (</t>
    </r>
    <r>
      <rPr>
        <sz val="11"/>
        <color theme="1"/>
        <rFont val="Calibri"/>
        <family val="2"/>
        <charset val="238"/>
      </rPr>
      <t>α/2</t>
    </r>
    <r>
      <rPr>
        <sz val="11"/>
        <color theme="1"/>
        <rFont val="Calibri"/>
        <family val="2"/>
        <charset val="238"/>
        <scheme val="minor"/>
      </rPr>
      <t>)=</t>
    </r>
  </si>
  <si>
    <r>
      <t>t8 kv (1-</t>
    </r>
    <r>
      <rPr>
        <sz val="11"/>
        <color theme="1"/>
        <rFont val="Calibri"/>
        <family val="2"/>
        <charset val="238"/>
      </rPr>
      <t>α/2</t>
    </r>
    <r>
      <rPr>
        <sz val="11"/>
        <color theme="1"/>
        <rFont val="Calibri"/>
        <family val="2"/>
        <charset val="238"/>
        <scheme val="minor"/>
      </rPr>
      <t xml:space="preserve"> )=</t>
    </r>
  </si>
  <si>
    <t>1. testovanie pomocou kritickej oblasti W</t>
  </si>
  <si>
    <t>2. sposob</t>
  </si>
  <si>
    <t>s 99% pravdepodobnostou rozptyl odberu podniku bude z intervalu (0,104 MWh^2;2,13 MWh^2)</t>
  </si>
  <si>
    <t>s 99% pravdepodobnostou smerodajna odchylka odberu podniku bude z intervalu (0,32MWh;1,46MWh)</t>
  </si>
  <si>
    <r>
      <t>χ</t>
    </r>
    <r>
      <rPr>
        <vertAlign val="subscript"/>
        <sz val="11"/>
        <color theme="1"/>
        <rFont val="Calibri"/>
        <family val="2"/>
        <charset val="238"/>
      </rPr>
      <t>7</t>
    </r>
    <r>
      <rPr>
        <vertAlign val="superscript"/>
        <sz val="11"/>
        <color theme="1"/>
        <rFont val="Calibri"/>
        <family val="2"/>
        <charset val="238"/>
      </rPr>
      <t>2kv</t>
    </r>
    <r>
      <rPr>
        <sz val="11"/>
        <color theme="1"/>
        <rFont val="Calibri"/>
        <family val="2"/>
        <charset val="238"/>
      </rPr>
      <t>(α/2)</t>
    </r>
    <r>
      <rPr>
        <vertAlign val="subscript"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=</t>
    </r>
  </si>
  <si>
    <r>
      <t>χ</t>
    </r>
    <r>
      <rPr>
        <vertAlign val="subscript"/>
        <sz val="11"/>
        <color theme="1"/>
        <rFont val="Calibri"/>
        <family val="2"/>
        <charset val="238"/>
      </rPr>
      <t>7</t>
    </r>
    <r>
      <rPr>
        <vertAlign val="superscript"/>
        <sz val="11"/>
        <color theme="1"/>
        <rFont val="Calibri"/>
        <family val="2"/>
        <charset val="238"/>
      </rPr>
      <t>2kv</t>
    </r>
    <r>
      <rPr>
        <sz val="11"/>
        <color theme="1"/>
        <rFont val="Calibri"/>
        <family val="2"/>
        <charset val="238"/>
      </rPr>
      <t>(1-α/2)</t>
    </r>
    <r>
      <rPr>
        <vertAlign val="subscript"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=</t>
    </r>
  </si>
  <si>
    <r>
      <t xml:space="preserve">t </t>
    </r>
    <r>
      <rPr>
        <vertAlign val="subscript"/>
        <sz val="11"/>
        <color theme="1"/>
        <rFont val="Calibri"/>
        <family val="2"/>
        <charset val="238"/>
        <scheme val="minor"/>
      </rPr>
      <t>7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sz val="11"/>
        <color theme="1"/>
        <rFont val="Calibri"/>
        <family val="2"/>
        <charset val="238"/>
        <scheme val="minor"/>
      </rPr>
      <t xml:space="preserve"> (1-</t>
    </r>
    <r>
      <rPr>
        <sz val="11"/>
        <color theme="1"/>
        <rFont val="Calibri"/>
        <family val="2"/>
        <charset val="238"/>
      </rPr>
      <t>α/2</t>
    </r>
    <r>
      <rPr>
        <sz val="11"/>
        <color theme="1"/>
        <rFont val="Calibri"/>
        <family val="2"/>
        <charset val="238"/>
        <scheme val="minor"/>
      </rPr>
      <t xml:space="preserve"> )=</t>
    </r>
  </si>
  <si>
    <t>(-nekonecno; -2,306) zjednotenie( 2,306 , nekonecno)</t>
  </si>
  <si>
    <r>
      <t xml:space="preserve">t </t>
    </r>
    <r>
      <rPr>
        <b/>
        <vertAlign val="subscript"/>
        <sz val="11"/>
        <color theme="1"/>
        <rFont val="Calibri"/>
        <family val="2"/>
        <charset val="238"/>
        <scheme val="minor"/>
      </rPr>
      <t>n-1</t>
    </r>
    <r>
      <rPr>
        <b/>
        <vertAlign val="superscript"/>
        <sz val="11"/>
        <color theme="1"/>
        <rFont val="Calibri"/>
        <family val="2"/>
        <charset val="238"/>
        <scheme val="minor"/>
      </rPr>
      <t>kv</t>
    </r>
    <r>
      <rPr>
        <b/>
        <sz val="11"/>
        <color theme="1"/>
        <rFont val="Calibri"/>
        <family val="2"/>
        <charset val="238"/>
        <scheme val="minor"/>
      </rPr>
      <t xml:space="preserve"> (1-</t>
    </r>
    <r>
      <rPr>
        <b/>
        <sz val="11"/>
        <color theme="1"/>
        <rFont val="Arial"/>
        <family val="2"/>
        <charset val="238"/>
      </rPr>
      <t>α/2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</si>
  <si>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chi </t>
    </r>
    <r>
      <rPr>
        <b/>
        <vertAlign val="subscript"/>
        <sz val="11"/>
        <color theme="1"/>
        <rFont val="Calibri"/>
        <family val="2"/>
        <charset val="238"/>
        <scheme val="minor"/>
      </rPr>
      <t>n-1</t>
    </r>
    <r>
      <rPr>
        <b/>
        <vertAlign val="superscript"/>
        <sz val="11"/>
        <color theme="1"/>
        <rFont val="Calibri"/>
        <family val="2"/>
        <charset val="238"/>
        <scheme val="minor"/>
      </rPr>
      <t>kv</t>
    </r>
    <r>
      <rPr>
        <b/>
        <sz val="11"/>
        <color theme="1"/>
        <rFont val="Calibri"/>
        <family val="2"/>
        <charset val="238"/>
        <scheme val="minor"/>
      </rPr>
      <t xml:space="preserve"> (1-α/2)</t>
    </r>
  </si>
  <si>
    <r>
      <t xml:space="preserve">chi </t>
    </r>
    <r>
      <rPr>
        <b/>
        <vertAlign val="subscript"/>
        <sz val="11"/>
        <color theme="1"/>
        <rFont val="Calibri"/>
        <family val="2"/>
        <charset val="238"/>
        <scheme val="minor"/>
      </rPr>
      <t>n-1</t>
    </r>
    <r>
      <rPr>
        <b/>
        <vertAlign val="superscript"/>
        <sz val="11"/>
        <color theme="1"/>
        <rFont val="Calibri"/>
        <family val="2"/>
        <charset val="238"/>
        <scheme val="minor"/>
      </rPr>
      <t>kv</t>
    </r>
    <r>
      <rPr>
        <b/>
        <sz val="11"/>
        <color theme="1"/>
        <rFont val="Calibri"/>
        <family val="2"/>
        <charset val="238"/>
        <scheme val="minor"/>
      </rPr>
      <t xml:space="preserve"> (α/2)</t>
    </r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</si>
  <si>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n-1</t>
    </r>
    <r>
      <rPr>
        <sz val="11"/>
        <color theme="1"/>
        <rFont val="Calibri"/>
        <family val="2"/>
        <charset val="238"/>
        <scheme val="minor"/>
      </rPr>
      <t xml:space="preserve"> kv (</t>
    </r>
    <r>
      <rPr>
        <sz val="11"/>
        <color theme="1"/>
        <rFont val="Calibri"/>
        <family val="2"/>
        <charset val="238"/>
      </rPr>
      <t>α/2</t>
    </r>
    <r>
      <rPr>
        <sz val="11"/>
        <color theme="1"/>
        <rFont val="Calibri"/>
        <family val="2"/>
        <charset val="238"/>
        <scheme val="minor"/>
      </rPr>
      <t>)=</t>
    </r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</si>
  <si>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n-1</t>
    </r>
    <r>
      <rPr>
        <sz val="11"/>
        <color theme="1"/>
        <rFont val="Calibri"/>
        <family val="2"/>
        <charset val="238"/>
        <scheme val="minor"/>
      </rPr>
      <t xml:space="preserve"> kv (1-</t>
    </r>
    <r>
      <rPr>
        <sz val="11"/>
        <color theme="1"/>
        <rFont val="Calibri"/>
        <family val="2"/>
        <charset val="238"/>
      </rPr>
      <t>α/2</t>
    </r>
    <r>
      <rPr>
        <sz val="11"/>
        <color theme="1"/>
        <rFont val="Calibri"/>
        <family val="2"/>
        <charset val="238"/>
        <scheme val="minor"/>
      </rPr>
      <t xml:space="preserve"> )=</t>
    </r>
  </si>
  <si>
    <t>(-nekonecno; -2,26)U(2,26; nekonecno)</t>
  </si>
  <si>
    <t>Testovacia statistika:</t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</si>
  <si>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0</t>
    </r>
  </si>
  <si>
    <t>nepatri do kritickej oblasti W</t>
  </si>
  <si>
    <t>H0: M =1,95 nezamietame (prijimame)</t>
  </si>
  <si>
    <t>H1: M ≠1,95 zamietame</t>
  </si>
  <si>
    <t>1,95 patri do 95%IS pre M</t>
  </si>
  <si>
    <t>F(t0)=</t>
  </si>
  <si>
    <t>1-F(t0)=</t>
  </si>
  <si>
    <t>&gt;0,05</t>
  </si>
  <si>
    <t>Row1</t>
  </si>
  <si>
    <t>Confidence Level(97.0%)</t>
  </si>
  <si>
    <r>
      <t xml:space="preserve">t </t>
    </r>
    <r>
      <rPr>
        <vertAlign val="subscript"/>
        <sz val="11"/>
        <color theme="1"/>
        <rFont val="Calibri"/>
        <family val="2"/>
        <charset val="238"/>
        <scheme val="minor"/>
      </rPr>
      <t>9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kv 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</rPr>
      <t>α/2</t>
    </r>
    <r>
      <rPr>
        <sz val="11"/>
        <color theme="1"/>
        <rFont val="Calibri"/>
        <family val="2"/>
        <charset val="238"/>
        <scheme val="minor"/>
      </rPr>
      <t>)=</t>
    </r>
  </si>
  <si>
    <r>
      <t xml:space="preserve">t </t>
    </r>
    <r>
      <rPr>
        <vertAlign val="subscript"/>
        <sz val="11"/>
        <color theme="1"/>
        <rFont val="Calibri"/>
        <family val="2"/>
        <charset val="238"/>
        <scheme val="minor"/>
      </rPr>
      <t>9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kv </t>
    </r>
    <r>
      <rPr>
        <sz val="11"/>
        <color theme="1"/>
        <rFont val="Calibri"/>
        <family val="2"/>
        <charset val="238"/>
        <scheme val="minor"/>
      </rPr>
      <t>(1-</t>
    </r>
    <r>
      <rPr>
        <sz val="11"/>
        <color theme="1"/>
        <rFont val="Calibri"/>
        <family val="2"/>
        <charset val="238"/>
      </rPr>
      <t>α/2</t>
    </r>
    <r>
      <rPr>
        <sz val="11"/>
        <color theme="1"/>
        <rFont val="Calibri"/>
        <family val="2"/>
        <charset val="238"/>
        <scheme val="minor"/>
      </rPr>
      <t>)=</t>
    </r>
  </si>
  <si>
    <t>(-nekonecno;-2.57) zjednotenie( 2.57 , nekonecno)</t>
  </si>
  <si>
    <t>t0=2.389</t>
  </si>
  <si>
    <t>prijimame</t>
  </si>
  <si>
    <t xml:space="preserve">ze meraci pristroj je nastaveny spravne. </t>
  </si>
  <si>
    <r>
      <t xml:space="preserve">Na hladine vyznamnosti </t>
    </r>
    <r>
      <rPr>
        <sz val="11"/>
        <color rgb="FFFF0000"/>
        <rFont val="Symbol"/>
        <family val="1"/>
        <charset val="2"/>
      </rPr>
      <t>a</t>
    </r>
    <r>
      <rPr>
        <sz val="11"/>
        <color rgb="FFFF0000"/>
        <rFont val="Calibri"/>
        <family val="2"/>
        <charset val="238"/>
      </rPr>
      <t xml:space="preserve">=0,03 prijmeme predpoklad, </t>
    </r>
  </si>
  <si>
    <r>
      <t>97% IS pre M</t>
    </r>
    <r>
      <rPr>
        <sz val="11"/>
        <color theme="1"/>
        <rFont val="Calibri"/>
        <family val="2"/>
        <charset val="238"/>
      </rPr>
      <t>:</t>
    </r>
    <r>
      <rPr>
        <sz val="15.95"/>
        <color theme="1"/>
        <rFont val="Calibri"/>
        <family val="2"/>
        <charset val="238"/>
      </rPr>
      <t xml:space="preserve"> </t>
    </r>
  </si>
  <si>
    <t>do 97%IS pre M</t>
  </si>
  <si>
    <r>
      <t xml:space="preserve">H0: </t>
    </r>
    <r>
      <rPr>
        <sz val="11"/>
        <color theme="1"/>
        <rFont val="Calibri"/>
        <family val="2"/>
        <charset val="238"/>
      </rPr>
      <t>μ =15.2 &gt;&lt; H1: μ ≠15.2</t>
    </r>
  </si>
  <si>
    <t>sn-1=</t>
  </si>
  <si>
    <t>(xi-xpriem)^2</t>
  </si>
  <si>
    <t>(-nekonecno;-2.63) zjednotenie(2.63 , nekonecno)</t>
  </si>
  <si>
    <r>
      <t xml:space="preserve">Na hladine vyznamnosti </t>
    </r>
    <r>
      <rPr>
        <sz val="11"/>
        <color rgb="FFFF0000"/>
        <rFont val="Symbol"/>
        <family val="1"/>
        <charset val="2"/>
      </rPr>
      <t>a</t>
    </r>
    <r>
      <rPr>
        <sz val="11"/>
        <color rgb="FFFF0000"/>
        <rFont val="Calibri"/>
        <family val="2"/>
        <charset val="238"/>
      </rPr>
      <t xml:space="preserve">=0,01 prijmeme predpoklad, </t>
    </r>
  </si>
  <si>
    <t>xi (m^3)</t>
  </si>
  <si>
    <r>
      <t>99% IS pre M</t>
    </r>
    <r>
      <rPr>
        <sz val="11"/>
        <color theme="1"/>
        <rFont val="Calibri"/>
        <family val="2"/>
        <charset val="238"/>
      </rPr>
      <t>:</t>
    </r>
    <r>
      <rPr>
        <sz val="15.95"/>
        <color theme="1"/>
        <rFont val="Calibri"/>
        <family val="2"/>
        <charset val="238"/>
      </rPr>
      <t xml:space="preserve"> </t>
    </r>
  </si>
  <si>
    <t>do 99%IS pre M</t>
  </si>
  <si>
    <t>ze denny prietok vody je 50 m^3.</t>
  </si>
  <si>
    <t>(-nekonecno;-2.85) zjednotenie(2.85 , nekonecno)</t>
  </si>
  <si>
    <r>
      <t xml:space="preserve"> realizacia testovacej statistiky t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0 </t>
    </r>
    <r>
      <rPr>
        <sz val="11"/>
        <color theme="1"/>
        <rFont val="Calibri"/>
        <family val="2"/>
        <charset val="238"/>
        <scheme val="minor"/>
      </rPr>
      <t>=</t>
    </r>
  </si>
  <si>
    <r>
      <t xml:space="preserve">Na hladine vyznamnosti </t>
    </r>
    <r>
      <rPr>
        <sz val="11"/>
        <color rgb="FFFF0000"/>
        <rFont val="Symbol"/>
        <family val="1"/>
        <charset val="2"/>
      </rPr>
      <t>a</t>
    </r>
    <r>
      <rPr>
        <sz val="11"/>
        <color rgb="FFFF0000"/>
        <rFont val="Calibri"/>
        <family val="2"/>
        <charset val="238"/>
      </rPr>
      <t xml:space="preserve">=0,01 nie je mozne prijat predpoklad, </t>
    </r>
  </si>
  <si>
    <t xml:space="preserve">H0: M =65  </t>
  </si>
  <si>
    <t>H1: M ≠65</t>
  </si>
  <si>
    <t>ze osvetlovacie teleso vydrzi 65 hodin.</t>
  </si>
  <si>
    <r>
      <t>Testovanie hypotezy o zhode priemeru M</t>
    </r>
    <r>
      <rPr>
        <sz val="11"/>
        <color rgb="FFFF0000"/>
        <rFont val="Calibri"/>
        <family val="2"/>
        <charset val="238"/>
      </rPr>
      <t xml:space="preserve"> s konstantou M</t>
    </r>
    <r>
      <rPr>
        <vertAlign val="subscript"/>
        <sz val="11"/>
        <color rgb="FFFF0000"/>
        <rFont val="Calibri"/>
        <family val="2"/>
        <charset val="238"/>
      </rPr>
      <t>0</t>
    </r>
  </si>
  <si>
    <t>x</t>
  </si>
  <si>
    <t>y</t>
  </si>
  <si>
    <t>z=x-y</t>
  </si>
  <si>
    <t>t0=</t>
  </si>
  <si>
    <t>t kv 9(0,025)=</t>
  </si>
  <si>
    <t>t kv 9(0,975)=</t>
  </si>
  <si>
    <t>1-F(z0)=</t>
  </si>
  <si>
    <t>95%IS pre mi</t>
  </si>
  <si>
    <r>
      <t>H0: z</t>
    </r>
    <r>
      <rPr>
        <sz val="11"/>
        <color theme="1"/>
        <rFont val="Calibri"/>
        <family val="2"/>
        <charset val="238"/>
      </rPr>
      <t xml:space="preserve"> =0 &gt;&lt; H1: z ≠0</t>
    </r>
  </si>
  <si>
    <t>F0 patri do W</t>
  </si>
  <si>
    <t>H0 zamietame</t>
  </si>
  <si>
    <t>H1 nezamietame</t>
  </si>
  <si>
    <t xml:space="preserve">H0  zamietame </t>
  </si>
  <si>
    <t>Groups</t>
  </si>
  <si>
    <t>Average</t>
  </si>
  <si>
    <t>ANOVA</t>
  </si>
  <si>
    <t>Source of Variation</t>
  </si>
  <si>
    <t>SS</t>
  </si>
  <si>
    <t>MS</t>
  </si>
  <si>
    <t>F</t>
  </si>
  <si>
    <t>P-value</t>
  </si>
  <si>
    <t>F crit</t>
  </si>
  <si>
    <t>Between Groups</t>
  </si>
  <si>
    <t>Within Groups</t>
  </si>
  <si>
    <t>Total</t>
  </si>
  <si>
    <t>(3.89; nekonecno)</t>
  </si>
  <si>
    <t>a) alternatívna hypotéza stredná hodnota nerovná sa 1,95.</t>
  </si>
  <si>
    <t>b) alternatívna hypotéza stredná hodnota je väčšia ako 1.95.</t>
  </si>
  <si>
    <r>
      <t>H0: M</t>
    </r>
    <r>
      <rPr>
        <sz val="11"/>
        <color theme="1"/>
        <rFont val="Calibri"/>
        <family val="2"/>
        <charset val="238"/>
      </rPr>
      <t xml:space="preserve"> =1,95 &gt;&lt; H1: M &gt;1,95</t>
    </r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</si>
  <si>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n-1</t>
    </r>
    <r>
      <rPr>
        <sz val="11"/>
        <color theme="1"/>
        <rFont val="Calibri"/>
        <family val="2"/>
        <charset val="238"/>
        <scheme val="minor"/>
      </rPr>
      <t xml:space="preserve"> kv (1-</t>
    </r>
    <r>
      <rPr>
        <sz val="11"/>
        <color theme="1"/>
        <rFont val="Calibri"/>
        <family val="2"/>
        <charset val="238"/>
      </rPr>
      <t>α</t>
    </r>
    <r>
      <rPr>
        <sz val="11"/>
        <color theme="1"/>
        <rFont val="Calibri"/>
        <family val="2"/>
        <charset val="238"/>
        <scheme val="minor"/>
      </rPr>
      <t xml:space="preserve"> )=</t>
    </r>
  </si>
  <si>
    <t>(1.83; nekonecno)</t>
  </si>
  <si>
    <t>H1: M &gt;1,95 zamietame</t>
  </si>
  <si>
    <t>nekonecno</t>
  </si>
  <si>
    <t>Na hladine vyznamnosti 0,05 mozno prijat rozhodnutie, ze stredna hodnota celej populacie sa rovna 1,95.</t>
  </si>
  <si>
    <t>alebo t0 patri W</t>
  </si>
  <si>
    <t xml:space="preserve">  ----→</t>
  </si>
  <si>
    <t>P(M&gt;1.95)=0.95</t>
  </si>
  <si>
    <t>H0 nezamietame (prijimame)</t>
  </si>
  <si>
    <t>Obojstranna alternativa H1</t>
  </si>
  <si>
    <t>Jednostranna alternativa H1</t>
  </si>
  <si>
    <t>Jednofaktorova analyza rozptylu - sluzi na porovnanie strednych hodnot pri viacerych vyberoch</t>
  </si>
  <si>
    <t>Na hladine vyznamnosti 0.05 mozno prijat hypotezu o rovnosti vykou strojov od roznych vyrobcov.</t>
  </si>
  <si>
    <t>Nasleduje post-hoc test, ktorym urcime medzi ktorymi skupinami su rozdiely.</t>
  </si>
  <si>
    <t>Na hladine vyznamnosti 0.05 nemozno prijat hypotezu o rovnosti vsetkych priemerov - t.j. aspon jeden priemer sa lísi (test nehovori, ktory to je).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</si>
</sst>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indexed="81"/>
      <name val="Tahoma"/>
      <family val="2"/>
      <charset val="238"/>
    </font>
    <font>
      <vertAlign val="subscript"/>
      <sz val="11"/>
      <color theme="1"/>
      <name val="Calibri"/>
      <family val="2"/>
      <charset val="238"/>
    </font>
    <font>
      <sz val="15.95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20"/>
      <color rgb="FF00B05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sz val="8"/>
      <color indexed="81"/>
      <name val="Tahoma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sz val="12"/>
      <color theme="3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FF0000"/>
      <name val="Symbol"/>
      <family val="1"/>
      <charset val="2"/>
    </font>
    <font>
      <sz val="11"/>
      <color rgb="FFFF0000"/>
      <name val="Calibri"/>
      <family val="2"/>
      <charset val="238"/>
    </font>
    <font>
      <sz val="12"/>
      <color theme="1"/>
      <name val="Arial"/>
      <family val="2"/>
      <charset val="238"/>
    </font>
    <font>
      <b/>
      <sz val="9"/>
      <color indexed="81"/>
      <name val="Calibri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44546A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rgb="FFFF0000"/>
      <name val="Calibri"/>
      <family val="2"/>
      <charset val="238"/>
    </font>
    <font>
      <sz val="11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Fill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3" borderId="2" xfId="0" applyFill="1" applyBorder="1"/>
    <xf numFmtId="0" fontId="0" fillId="3" borderId="6" xfId="0" applyFill="1" applyBorder="1"/>
    <xf numFmtId="0" fontId="0" fillId="0" borderId="0" xfId="0"/>
    <xf numFmtId="0" fontId="0" fillId="0" borderId="0" xfId="0" applyBorder="1" applyAlignment="1">
      <alignment horizontal="right"/>
    </xf>
    <xf numFmtId="0" fontId="0" fillId="4" borderId="0" xfId="0" applyFill="1"/>
    <xf numFmtId="0" fontId="10" fillId="0" borderId="4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ont="1" applyAlignment="1">
      <alignment vertical="center"/>
    </xf>
    <xf numFmtId="0" fontId="2" fillId="0" borderId="4" xfId="0" applyFont="1" applyFill="1" applyBorder="1" applyAlignment="1">
      <alignment horizontal="center"/>
    </xf>
    <xf numFmtId="0" fontId="0" fillId="0" borderId="0" xfId="0"/>
    <xf numFmtId="0" fontId="0" fillId="3" borderId="3" xfId="0" applyFill="1" applyBorder="1" applyAlignment="1">
      <alignment horizontal="left"/>
    </xf>
    <xf numFmtId="0" fontId="0" fillId="0" borderId="0" xfId="0"/>
    <xf numFmtId="0" fontId="7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0" fontId="0" fillId="0" borderId="6" xfId="0" applyFill="1" applyBorder="1"/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Fill="1" applyBorder="1"/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  <xf numFmtId="0" fontId="0" fillId="0" borderId="3" xfId="0" applyBorder="1"/>
    <xf numFmtId="0" fontId="1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0" fillId="0" borderId="0" xfId="0"/>
    <xf numFmtId="0" fontId="8" fillId="0" borderId="0" xfId="0" applyFont="1"/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3" borderId="3" xfId="0" applyFill="1" applyBorder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/>
    <xf numFmtId="0" fontId="0" fillId="2" borderId="0" xfId="0" applyFill="1" applyBorder="1" applyAlignment="1">
      <alignment horizontal="left"/>
    </xf>
    <xf numFmtId="0" fontId="0" fillId="2" borderId="0" xfId="0" applyFill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2" borderId="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0" fillId="3" borderId="0" xfId="0" applyFill="1"/>
    <xf numFmtId="0" fontId="0" fillId="0" borderId="3" xfId="0" applyFont="1" applyBorder="1" applyAlignment="1">
      <alignment horizontal="center"/>
    </xf>
    <xf numFmtId="0" fontId="0" fillId="0" borderId="0" xfId="0" applyFill="1" applyBorder="1" applyAlignment="1"/>
    <xf numFmtId="0" fontId="21" fillId="0" borderId="0" xfId="0" applyFont="1" applyFill="1" applyBorder="1" applyAlignment="1">
      <alignment horizontal="centerContinuous"/>
    </xf>
    <xf numFmtId="0" fontId="0" fillId="3" borderId="7" xfId="0" applyFill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0" xfId="0" applyFont="1"/>
    <xf numFmtId="0" fontId="0" fillId="3" borderId="3" xfId="0" applyFill="1" applyBorder="1" applyAlignment="1">
      <alignment horizontal="center"/>
    </xf>
    <xf numFmtId="0" fontId="25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3" borderId="4" xfId="0" applyFill="1" applyBorder="1"/>
    <xf numFmtId="0" fontId="0" fillId="0" borderId="4" xfId="0" applyFont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0" borderId="18" xfId="0" applyFont="1" applyBorder="1"/>
    <xf numFmtId="0" fontId="0" fillId="0" borderId="19" xfId="0" applyBorder="1"/>
    <xf numFmtId="0" fontId="1" fillId="0" borderId="17" xfId="0" applyFont="1" applyBorder="1"/>
    <xf numFmtId="0" fontId="1" fillId="0" borderId="20" xfId="0" applyFont="1" applyBorder="1"/>
    <xf numFmtId="0" fontId="1" fillId="0" borderId="0" xfId="0" applyFont="1" applyFill="1" applyBorder="1" applyAlignment="1">
      <alignment horizontal="right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1" fillId="0" borderId="21" xfId="0" applyFont="1" applyBorder="1"/>
    <xf numFmtId="0" fontId="1" fillId="0" borderId="22" xfId="0" applyFont="1" applyBorder="1"/>
    <xf numFmtId="0" fontId="0" fillId="0" borderId="22" xfId="0" applyBorder="1"/>
    <xf numFmtId="0" fontId="1" fillId="0" borderId="21" xfId="0" applyFont="1" applyFill="1" applyBorder="1" applyAlignment="1">
      <alignment horizontal="right"/>
    </xf>
    <xf numFmtId="0" fontId="1" fillId="3" borderId="22" xfId="0" applyFont="1" applyFill="1" applyBorder="1" applyAlignment="1"/>
    <xf numFmtId="0" fontId="1" fillId="0" borderId="22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1" fillId="0" borderId="23" xfId="0" applyFont="1" applyFill="1" applyBorder="1" applyAlignment="1">
      <alignment horizontal="centerContinuous"/>
    </xf>
    <xf numFmtId="0" fontId="3" fillId="0" borderId="0" xfId="0" applyFont="1"/>
    <xf numFmtId="0" fontId="0" fillId="0" borderId="24" xfId="0" applyFill="1" applyBorder="1" applyAlignme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3" borderId="0" xfId="0" applyFill="1" applyAlignment="1">
      <alignment horizontal="left"/>
    </xf>
    <xf numFmtId="0" fontId="0" fillId="3" borderId="25" xfId="0" applyFill="1" applyBorder="1"/>
    <xf numFmtId="0" fontId="28" fillId="3" borderId="25" xfId="0" applyFont="1" applyFill="1" applyBorder="1"/>
    <xf numFmtId="0" fontId="29" fillId="3" borderId="25" xfId="0" applyFont="1" applyFill="1" applyBorder="1"/>
    <xf numFmtId="0" fontId="27" fillId="0" borderId="0" xfId="0" applyFont="1"/>
    <xf numFmtId="0" fontId="0" fillId="0" borderId="0" xfId="0" applyAlignment="1">
      <alignment vertical="center"/>
    </xf>
    <xf numFmtId="0" fontId="0" fillId="3" borderId="25" xfId="0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26" xfId="0" applyBorder="1"/>
    <xf numFmtId="0" fontId="0" fillId="0" borderId="25" xfId="0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3" fillId="0" borderId="0" xfId="0" applyFont="1"/>
    <xf numFmtId="0" fontId="33" fillId="0" borderId="4" xfId="0" applyFont="1" applyBorder="1" applyAlignment="1">
      <alignment wrapText="1"/>
    </xf>
    <xf numFmtId="0" fontId="0" fillId="0" borderId="29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1" xfId="0" applyBorder="1"/>
    <xf numFmtId="0" fontId="0" fillId="0" borderId="32" xfId="0" applyBorder="1"/>
    <xf numFmtId="0" fontId="0" fillId="0" borderId="27" xfId="0" applyFill="1" applyBorder="1" applyAlignment="1"/>
    <xf numFmtId="0" fontId="0" fillId="0" borderId="31" xfId="0" applyFill="1" applyBorder="1" applyAlignment="1"/>
    <xf numFmtId="0" fontId="21" fillId="0" borderId="2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3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4" xfId="0" applyFill="1" applyBorder="1" applyAlignment="1"/>
    <xf numFmtId="0" fontId="0" fillId="5" borderId="3" xfId="0" applyFill="1" applyBorder="1" applyAlignment="1">
      <alignment horizontal="center"/>
    </xf>
    <xf numFmtId="164" fontId="0" fillId="3" borderId="7" xfId="0" applyNumberFormat="1" applyFill="1" applyBorder="1"/>
    <xf numFmtId="0" fontId="0" fillId="0" borderId="0" xfId="0" applyFill="1" applyAlignment="1">
      <alignment horizontal="center"/>
    </xf>
    <xf numFmtId="0" fontId="1" fillId="0" borderId="16" xfId="0" applyFont="1" applyBorder="1"/>
    <xf numFmtId="0" fontId="29" fillId="3" borderId="3" xfId="0" applyFont="1" applyFill="1" applyBorder="1" applyAlignment="1">
      <alignment horizontal="left"/>
    </xf>
    <xf numFmtId="0" fontId="29" fillId="0" borderId="0" xfId="0" applyFont="1"/>
    <xf numFmtId="0" fontId="29" fillId="0" borderId="0" xfId="0" applyFont="1" applyFill="1" applyBorder="1" applyAlignment="1"/>
    <xf numFmtId="0" fontId="34" fillId="0" borderId="0" xfId="0" applyFont="1"/>
    <xf numFmtId="0" fontId="35" fillId="0" borderId="0" xfId="0" applyFont="1"/>
    <xf numFmtId="0" fontId="35" fillId="3" borderId="3" xfId="0" applyFont="1" applyFill="1" applyBorder="1" applyAlignment="1">
      <alignment horizontal="left"/>
    </xf>
    <xf numFmtId="0" fontId="35" fillId="0" borderId="0" xfId="0" applyFont="1" applyFill="1" applyBorder="1" applyAlignment="1"/>
    <xf numFmtId="0" fontId="35" fillId="3" borderId="4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9" fillId="3" borderId="29" xfId="0" applyFont="1" applyFill="1" applyBorder="1" applyAlignment="1">
      <alignment horizontal="left"/>
    </xf>
    <xf numFmtId="0" fontId="36" fillId="0" borderId="0" xfId="0" applyFont="1"/>
    <xf numFmtId="0" fontId="1" fillId="0" borderId="24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2" xfId="0" applyBorder="1"/>
    <xf numFmtId="0" fontId="0" fillId="0" borderId="33" xfId="0" applyBorder="1"/>
    <xf numFmtId="0" fontId="0" fillId="2" borderId="34" xfId="0" applyFill="1" applyBorder="1" applyAlignment="1">
      <alignment horizontal="left"/>
    </xf>
    <xf numFmtId="0" fontId="0" fillId="3" borderId="3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1" fillId="0" borderId="35" xfId="0" applyFont="1" applyFill="1" applyBorder="1" applyAlignment="1">
      <alignment horizontal="center"/>
    </xf>
    <xf numFmtId="0" fontId="0" fillId="0" borderId="36" xfId="0" applyFill="1" applyBorder="1" applyAlignment="1"/>
    <xf numFmtId="0" fontId="21" fillId="0" borderId="3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9" fillId="3" borderId="7" xfId="0" applyFont="1" applyFill="1" applyBorder="1" applyAlignment="1">
      <alignment horizontal="center"/>
    </xf>
    <xf numFmtId="0" fontId="39" fillId="0" borderId="0" xfId="0" applyFont="1" applyFill="1" applyBorder="1" applyAlignment="1"/>
    <xf numFmtId="0" fontId="39" fillId="3" borderId="7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11" xfId="0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_xlchart.3</cx:f>
      </cx:numDim>
    </cx:data>
    <cx:data id="1">
      <cx:numDim type="val">
        <cx:f dir="row">_xlchart.4</cx:f>
      </cx:numDim>
    </cx:data>
    <cx:data id="2">
      <cx:numDim type="val">
        <cx:f dir="row">_xlchart.5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sk-SK"/>
              <a:t>Porovnanie vykonnosti strojov od roznych dodavatelov</a:t>
            </a:r>
          </a:p>
        </cx:rich>
      </cx:tx>
    </cx:title>
    <cx:plotArea>
      <cx:plotAreaRegion>
        <cx:series layoutId="boxWhisker" uniqueId="{2422A128-B94D-44ED-B427-E50CA2A54065}">
          <cx:tx>
            <cx:txData>
              <cx:f>_xlchart.0</cx:f>
              <cx:v>1. vyrobca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AC40751E-1D9A-4256-BA12-E153149BC032}">
          <cx:tx>
            <cx:txData>
              <cx:f>_xlchart.1</cx:f>
              <cx:v>2. vyrobca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D95A4223-BB0E-4572-B198-97C073E57992}">
          <cx:tx>
            <cx:txData>
              <cx:f>_xlchart.2</cx:f>
              <cx:v>3. vyrobca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sk-SK"/>
                  <a:t>stroje</a:t>
                </a:r>
              </a:p>
            </cx:rich>
          </cx:tx>
        </cx:title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sk-SK"/>
                  <a:t>pocet vyrobenych</a:t>
                </a:r>
              </a:p>
            </cx:rich>
          </cx:tx>
        </cx:title>
        <cx:majorGridlines/>
        <cx:tickLabels/>
      </cx:axis>
    </cx:plotArea>
    <cx:legend pos="t" align="ctr" overlay="0"/>
  </cx:chart>
</cx:chartSpace>
</file>

<file path=xl/charts/chart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_xlchart.7</cx:f>
      </cx:numDim>
    </cx:data>
    <cx:data id="1">
      <cx:numDim type="val">
        <cx:f>_xlchart.9</cx:f>
      </cx:numDim>
    </cx:data>
    <cx:data id="2">
      <cx:numDim type="val">
        <cx:f>_xlchart.11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sk-SK"/>
              <a:t>Porovnanie vyrobenych podla strojov</a:t>
            </a:r>
          </a:p>
        </cx:rich>
      </cx:tx>
    </cx:title>
    <cx:plotArea>
      <cx:plotAreaRegion>
        <cx:series layoutId="boxWhisker" uniqueId="{9260B488-1C62-437C-9971-F6A6CC3269E4}">
          <cx:tx>
            <cx:txData>
              <cx:f>_xlchart.6</cx:f>
              <cx:v>stroj 1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2DAD78A6-EB91-4500-9840-CF908F7679FF}">
          <cx:tx>
            <cx:txData>
              <cx:f>_xlchart.8</cx:f>
              <cx:v>stroj 2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57ABCE-6292-4047-8102-F27DAF56B8AE}">
          <cx:tx>
            <cx:txData>
              <cx:f>_xlchart.10</cx:f>
              <cx:v>stroj 3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sk-SK"/>
                  <a:t>stroje</a:t>
                </a:r>
              </a:p>
            </cx:rich>
          </cx:tx>
        </cx:title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sk-SK"/>
                  <a:t>pocet vyrobenych</a:t>
                </a:r>
              </a:p>
            </cx:rich>
          </cx:tx>
        </cx:title>
        <cx:majorGridlines/>
        <cx:tickLabels/>
      </cx:axis>
    </cx:plotArea>
    <cx:legend pos="t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2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5.png"/><Relationship Id="rId7" Type="http://schemas.openxmlformats.org/officeDocument/2006/relationships/image" Target="../media/image21.png"/><Relationship Id="rId2" Type="http://schemas.openxmlformats.org/officeDocument/2006/relationships/image" Target="../media/image3.png"/><Relationship Id="rId1" Type="http://schemas.openxmlformats.org/officeDocument/2006/relationships/image" Target="../media/image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15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4" Type="http://schemas.openxmlformats.org/officeDocument/2006/relationships/image" Target="../media/image3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28.png"/><Relationship Id="rId4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209550</xdr:colOff>
      <xdr:row>36</xdr:row>
      <xdr:rowOff>180975</xdr:rowOff>
    </xdr:to>
    <xdr:pic>
      <xdr:nvPicPr>
        <xdr:cNvPr id="2" name="Obrázok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21" t="11133" r="8349" b="16690"/>
        <a:stretch/>
      </xdr:blipFill>
      <xdr:spPr>
        <a:xfrm>
          <a:off x="0" y="0"/>
          <a:ext cx="10572750" cy="70389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21835</xdr:colOff>
      <xdr:row>13</xdr:row>
      <xdr:rowOff>133350</xdr:rowOff>
    </xdr:from>
    <xdr:to>
      <xdr:col>3</xdr:col>
      <xdr:colOff>151844</xdr:colOff>
      <xdr:row>16</xdr:row>
      <xdr:rowOff>56946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435" y="2724150"/>
          <a:ext cx="1349209" cy="495096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11</xdr:row>
      <xdr:rowOff>150226</xdr:rowOff>
    </xdr:from>
    <xdr:to>
      <xdr:col>16</xdr:col>
      <xdr:colOff>75407</xdr:colOff>
      <xdr:row>20</xdr:row>
      <xdr:rowOff>75794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0825" y="2321926"/>
          <a:ext cx="3352007" cy="1716268"/>
        </a:xfrm>
        <a:prstGeom prst="rect">
          <a:avLst/>
        </a:prstGeom>
      </xdr:spPr>
    </xdr:pic>
    <xdr:clientData/>
  </xdr:twoCellAnchor>
  <xdr:twoCellAnchor>
    <xdr:from>
      <xdr:col>5</xdr:col>
      <xdr:colOff>390525</xdr:colOff>
      <xdr:row>26</xdr:row>
      <xdr:rowOff>9525</xdr:rowOff>
    </xdr:from>
    <xdr:to>
      <xdr:col>9</xdr:col>
      <xdr:colOff>180975</xdr:colOff>
      <xdr:row>26</xdr:row>
      <xdr:rowOff>9525</xdr:rowOff>
    </xdr:to>
    <xdr:cxnSp macro="">
      <xdr:nvCxnSpPr>
        <xdr:cNvPr id="5" name="Rovná spojnica 4"/>
        <xdr:cNvCxnSpPr/>
      </xdr:nvCxnSpPr>
      <xdr:spPr>
        <a:xfrm>
          <a:off x="3438525" y="5114925"/>
          <a:ext cx="23526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26</xdr:row>
      <xdr:rowOff>47625</xdr:rowOff>
    </xdr:from>
    <xdr:to>
      <xdr:col>6</xdr:col>
      <xdr:colOff>512029</xdr:colOff>
      <xdr:row>27</xdr:row>
      <xdr:rowOff>97320</xdr:rowOff>
    </xdr:to>
    <xdr:sp macro="" textlink="">
      <xdr:nvSpPr>
        <xdr:cNvPr id="6" name="BlokTextu 5"/>
        <xdr:cNvSpPr txBox="1"/>
      </xdr:nvSpPr>
      <xdr:spPr>
        <a:xfrm>
          <a:off x="3562350" y="5153025"/>
          <a:ext cx="607279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rgbClr val="C00000"/>
              </a:solidFill>
            </a:rPr>
            <a:t>60,64</a:t>
          </a:r>
        </a:p>
      </xdr:txBody>
    </xdr:sp>
    <xdr:clientData/>
  </xdr:twoCellAnchor>
  <xdr:twoCellAnchor>
    <xdr:from>
      <xdr:col>8</xdr:col>
      <xdr:colOff>447675</xdr:colOff>
      <xdr:row>26</xdr:row>
      <xdr:rowOff>47625</xdr:rowOff>
    </xdr:from>
    <xdr:to>
      <xdr:col>9</xdr:col>
      <xdr:colOff>325879</xdr:colOff>
      <xdr:row>27</xdr:row>
      <xdr:rowOff>97320</xdr:rowOff>
    </xdr:to>
    <xdr:sp macro="" textlink="">
      <xdr:nvSpPr>
        <xdr:cNvPr id="7" name="BlokTextu 6"/>
        <xdr:cNvSpPr txBox="1"/>
      </xdr:nvSpPr>
      <xdr:spPr>
        <a:xfrm>
          <a:off x="5448300" y="5153025"/>
          <a:ext cx="487804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>
              <a:solidFill>
                <a:schemeClr val="tx2"/>
              </a:solidFill>
            </a:rPr>
            <a:t>65</a:t>
          </a:r>
        </a:p>
      </xdr:txBody>
    </xdr:sp>
    <xdr:clientData/>
  </xdr:twoCellAnchor>
  <xdr:twoCellAnchor>
    <xdr:from>
      <xdr:col>8</xdr:col>
      <xdr:colOff>9525</xdr:colOff>
      <xdr:row>26</xdr:row>
      <xdr:rowOff>66675</xdr:rowOff>
    </xdr:from>
    <xdr:to>
      <xdr:col>9</xdr:col>
      <xdr:colOff>7204</xdr:colOff>
      <xdr:row>27</xdr:row>
      <xdr:rowOff>116370</xdr:rowOff>
    </xdr:to>
    <xdr:sp macro="" textlink="">
      <xdr:nvSpPr>
        <xdr:cNvPr id="8" name="BlokTextu 7"/>
        <xdr:cNvSpPr txBox="1"/>
      </xdr:nvSpPr>
      <xdr:spPr>
        <a:xfrm>
          <a:off x="5010150" y="5172075"/>
          <a:ext cx="607279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rgbClr val="C00000"/>
              </a:solidFill>
            </a:rPr>
            <a:t>64,36</a:t>
          </a:r>
        </a:p>
      </xdr:txBody>
    </xdr:sp>
    <xdr:clientData/>
  </xdr:twoCellAnchor>
  <xdr:twoCellAnchor>
    <xdr:from>
      <xdr:col>6</xdr:col>
      <xdr:colOff>38100</xdr:colOff>
      <xdr:row>26</xdr:row>
      <xdr:rowOff>0</xdr:rowOff>
    </xdr:from>
    <xdr:to>
      <xdr:col>8</xdr:col>
      <xdr:colOff>269822</xdr:colOff>
      <xdr:row>26</xdr:row>
      <xdr:rowOff>9525</xdr:rowOff>
    </xdr:to>
    <xdr:cxnSp macro="">
      <xdr:nvCxnSpPr>
        <xdr:cNvPr id="9" name="Rovná spojnica 8"/>
        <xdr:cNvCxnSpPr/>
      </xdr:nvCxnSpPr>
      <xdr:spPr>
        <a:xfrm>
          <a:off x="3695700" y="5105400"/>
          <a:ext cx="1574747" cy="9525"/>
        </a:xfrm>
        <a:prstGeom prst="line">
          <a:avLst/>
        </a:prstGeom>
        <a:ln w="57150">
          <a:solidFill>
            <a:srgbClr val="C0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590550</xdr:colOff>
      <xdr:row>25</xdr:row>
      <xdr:rowOff>95250</xdr:rowOff>
    </xdr:from>
    <xdr:to>
      <xdr:col>8</xdr:col>
      <xdr:colOff>590550</xdr:colOff>
      <xdr:row>26</xdr:row>
      <xdr:rowOff>95250</xdr:rowOff>
    </xdr:to>
    <xdr:cxnSp macro="">
      <xdr:nvCxnSpPr>
        <xdr:cNvPr id="11" name="Rovná spojnica 10"/>
        <xdr:cNvCxnSpPr/>
      </xdr:nvCxnSpPr>
      <xdr:spPr>
        <a:xfrm flipV="1">
          <a:off x="5591175" y="5010150"/>
          <a:ext cx="0" cy="19050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276225</xdr:colOff>
      <xdr:row>33</xdr:row>
      <xdr:rowOff>153568</xdr:rowOff>
    </xdr:from>
    <xdr:to>
      <xdr:col>11</xdr:col>
      <xdr:colOff>437084</xdr:colOff>
      <xdr:row>40</xdr:row>
      <xdr:rowOff>47625</xdr:rowOff>
    </xdr:to>
    <xdr:pic>
      <xdr:nvPicPr>
        <xdr:cNvPr id="12" name="Obrázok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6668668"/>
          <a:ext cx="2599259" cy="13418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13</xdr:row>
      <xdr:rowOff>104775</xdr:rowOff>
    </xdr:from>
    <xdr:to>
      <xdr:col>13</xdr:col>
      <xdr:colOff>0</xdr:colOff>
      <xdr:row>15</xdr:row>
      <xdr:rowOff>95250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590800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457200</xdr:colOff>
      <xdr:row>19</xdr:row>
      <xdr:rowOff>76200</xdr:rowOff>
    </xdr:from>
    <xdr:to>
      <xdr:col>14</xdr:col>
      <xdr:colOff>581025</xdr:colOff>
      <xdr:row>21</xdr:row>
      <xdr:rowOff>47625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3705225"/>
          <a:ext cx="37814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352425</xdr:colOff>
      <xdr:row>25</xdr:row>
      <xdr:rowOff>76200</xdr:rowOff>
    </xdr:from>
    <xdr:to>
      <xdr:col>13</xdr:col>
      <xdr:colOff>180975</xdr:colOff>
      <xdr:row>27</xdr:row>
      <xdr:rowOff>38100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848225"/>
          <a:ext cx="22669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8</xdr:row>
      <xdr:rowOff>28575</xdr:rowOff>
    </xdr:from>
    <xdr:to>
      <xdr:col>5</xdr:col>
      <xdr:colOff>600075</xdr:colOff>
      <xdr:row>9</xdr:row>
      <xdr:rowOff>19050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971675"/>
          <a:ext cx="26860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24</xdr:row>
      <xdr:rowOff>133350</xdr:rowOff>
    </xdr:from>
    <xdr:to>
      <xdr:col>2</xdr:col>
      <xdr:colOff>333375</xdr:colOff>
      <xdr:row>26</xdr:row>
      <xdr:rowOff>76200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162550"/>
          <a:ext cx="8001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8</xdr:row>
      <xdr:rowOff>0</xdr:rowOff>
    </xdr:from>
    <xdr:to>
      <xdr:col>20</xdr:col>
      <xdr:colOff>209550</xdr:colOff>
      <xdr:row>25</xdr:row>
      <xdr:rowOff>152400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4" name="Graf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22</xdr:row>
      <xdr:rowOff>16989</xdr:rowOff>
    </xdr:from>
    <xdr:to>
      <xdr:col>4</xdr:col>
      <xdr:colOff>361951</xdr:colOff>
      <xdr:row>23</xdr:row>
      <xdr:rowOff>28574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6" y="4588989"/>
          <a:ext cx="2619375" cy="20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24</xdr:row>
      <xdr:rowOff>24793</xdr:rowOff>
    </xdr:from>
    <xdr:to>
      <xdr:col>4</xdr:col>
      <xdr:colOff>103414</xdr:colOff>
      <xdr:row>25</xdr:row>
      <xdr:rowOff>16818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4787293"/>
          <a:ext cx="3360963" cy="18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34</xdr:row>
      <xdr:rowOff>108893</xdr:rowOff>
    </xdr:from>
    <xdr:to>
      <xdr:col>3</xdr:col>
      <xdr:colOff>165103</xdr:colOff>
      <xdr:row>36</xdr:row>
      <xdr:rowOff>142875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595418"/>
          <a:ext cx="1355728" cy="41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600075</xdr:colOff>
      <xdr:row>46</xdr:row>
      <xdr:rowOff>47625</xdr:rowOff>
    </xdr:from>
    <xdr:to>
      <xdr:col>21</xdr:col>
      <xdr:colOff>409575</xdr:colOff>
      <xdr:row>62</xdr:row>
      <xdr:rowOff>95250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6" name="Graf 5" title="stroj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550927</xdr:colOff>
      <xdr:row>38</xdr:row>
      <xdr:rowOff>104776</xdr:rowOff>
    </xdr:to>
    <xdr:pic>
      <xdr:nvPicPr>
        <xdr:cNvPr id="2" name="Obrázok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56" t="11232" r="314" b="13467"/>
        <a:stretch/>
      </xdr:blipFill>
      <xdr:spPr>
        <a:xfrm>
          <a:off x="0" y="0"/>
          <a:ext cx="11523727" cy="73437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198163</xdr:colOff>
      <xdr:row>2</xdr:row>
      <xdr:rowOff>37621</xdr:rowOff>
    </xdr:from>
    <xdr:to>
      <xdr:col>5</xdr:col>
      <xdr:colOff>597775</xdr:colOff>
      <xdr:row>4</xdr:row>
      <xdr:rowOff>65689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63" y="418621"/>
          <a:ext cx="3454181" cy="40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242394</xdr:colOff>
      <xdr:row>6</xdr:row>
      <xdr:rowOff>65690</xdr:rowOff>
    </xdr:from>
    <xdr:to>
      <xdr:col>2</xdr:col>
      <xdr:colOff>133321</xdr:colOff>
      <xdr:row>7</xdr:row>
      <xdr:rowOff>181304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94" y="1208690"/>
          <a:ext cx="1112755" cy="306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201669</xdr:colOff>
      <xdr:row>11</xdr:row>
      <xdr:rowOff>112101</xdr:rowOff>
    </xdr:from>
    <xdr:to>
      <xdr:col>4</xdr:col>
      <xdr:colOff>387570</xdr:colOff>
      <xdr:row>14</xdr:row>
      <xdr:rowOff>41384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69" y="2214170"/>
          <a:ext cx="2629556" cy="50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197068</xdr:colOff>
      <xdr:row>16</xdr:row>
      <xdr:rowOff>155471</xdr:rowOff>
    </xdr:from>
    <xdr:to>
      <xdr:col>4</xdr:col>
      <xdr:colOff>512379</xdr:colOff>
      <xdr:row>20</xdr:row>
      <xdr:rowOff>37442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68" y="3210040"/>
          <a:ext cx="2758966" cy="643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200026</xdr:colOff>
      <xdr:row>32</xdr:row>
      <xdr:rowOff>57150</xdr:rowOff>
    </xdr:from>
    <xdr:to>
      <xdr:col>3</xdr:col>
      <xdr:colOff>354082</xdr:colOff>
      <xdr:row>34</xdr:row>
      <xdr:rowOff>38100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5305425"/>
          <a:ext cx="1982856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203638</xdr:colOff>
      <xdr:row>39</xdr:row>
      <xdr:rowOff>29767</xdr:rowOff>
    </xdr:from>
    <xdr:to>
      <xdr:col>3</xdr:col>
      <xdr:colOff>13138</xdr:colOff>
      <xdr:row>40</xdr:row>
      <xdr:rowOff>32187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38" y="7610353"/>
          <a:ext cx="1642241" cy="19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26276</xdr:colOff>
      <xdr:row>40</xdr:row>
      <xdr:rowOff>190500</xdr:rowOff>
    </xdr:from>
    <xdr:to>
      <xdr:col>1</xdr:col>
      <xdr:colOff>407276</xdr:colOff>
      <xdr:row>42</xdr:row>
      <xdr:rowOff>19050</xdr:rowOff>
    </xdr:to>
    <xdr:pic>
      <xdr:nvPicPr>
        <xdr:cNvPr id="9" name="Obrázok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190" y="6582103"/>
          <a:ext cx="381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19707</xdr:colOff>
      <xdr:row>41</xdr:row>
      <xdr:rowOff>190500</xdr:rowOff>
    </xdr:from>
    <xdr:to>
      <xdr:col>1</xdr:col>
      <xdr:colOff>400707</xdr:colOff>
      <xdr:row>43</xdr:row>
      <xdr:rowOff>19050</xdr:rowOff>
    </xdr:to>
    <xdr:pic>
      <xdr:nvPicPr>
        <xdr:cNvPr id="10" name="Obrázok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621" y="6772603"/>
          <a:ext cx="381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59121</xdr:colOff>
      <xdr:row>37</xdr:row>
      <xdr:rowOff>41385</xdr:rowOff>
    </xdr:from>
    <xdr:to>
      <xdr:col>1</xdr:col>
      <xdr:colOff>486103</xdr:colOff>
      <xdr:row>38</xdr:row>
      <xdr:rowOff>38757</xdr:rowOff>
    </xdr:to>
    <xdr:pic>
      <xdr:nvPicPr>
        <xdr:cNvPr id="12" name="Obrázok 1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035" y="5861488"/>
          <a:ext cx="426982" cy="187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328449</xdr:colOff>
      <xdr:row>29</xdr:row>
      <xdr:rowOff>19707</xdr:rowOff>
    </xdr:from>
    <xdr:to>
      <xdr:col>5</xdr:col>
      <xdr:colOff>499899</xdr:colOff>
      <xdr:row>30</xdr:row>
      <xdr:rowOff>29232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018" y="5669017"/>
          <a:ext cx="171450" cy="206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512381</xdr:colOff>
      <xdr:row>26</xdr:row>
      <xdr:rowOff>137950</xdr:rowOff>
    </xdr:from>
    <xdr:to>
      <xdr:col>8</xdr:col>
      <xdr:colOff>272780</xdr:colOff>
      <xdr:row>29</xdr:row>
      <xdr:rowOff>15109</xdr:rowOff>
    </xdr:to>
    <xdr:pic>
      <xdr:nvPicPr>
        <xdr:cNvPr id="16" name="Obrázok 1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7864" y="5196053"/>
          <a:ext cx="982226" cy="468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505811</xdr:colOff>
      <xdr:row>28</xdr:row>
      <xdr:rowOff>148901</xdr:rowOff>
    </xdr:from>
    <xdr:to>
      <xdr:col>7</xdr:col>
      <xdr:colOff>551793</xdr:colOff>
      <xdr:row>30</xdr:row>
      <xdr:rowOff>104446</xdr:rowOff>
    </xdr:to>
    <xdr:pic>
      <xdr:nvPicPr>
        <xdr:cNvPr id="17" name="Obrázok 1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0380" y="5601142"/>
          <a:ext cx="1267810" cy="349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3340</xdr:colOff>
      <xdr:row>16</xdr:row>
      <xdr:rowOff>114300</xdr:rowOff>
    </xdr:from>
    <xdr:to>
      <xdr:col>7</xdr:col>
      <xdr:colOff>656773</xdr:colOff>
      <xdr:row>18</xdr:row>
      <xdr:rowOff>80625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715" y="3343275"/>
          <a:ext cx="3196608" cy="37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583075</xdr:colOff>
      <xdr:row>14</xdr:row>
      <xdr:rowOff>161327</xdr:rowOff>
    </xdr:from>
    <xdr:to>
      <xdr:col>7</xdr:col>
      <xdr:colOff>439325</xdr:colOff>
      <xdr:row>16</xdr:row>
      <xdr:rowOff>13932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9053" y="3060240"/>
          <a:ext cx="1164902" cy="283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231913</xdr:colOff>
      <xdr:row>27</xdr:row>
      <xdr:rowOff>124239</xdr:rowOff>
    </xdr:from>
    <xdr:to>
      <xdr:col>6</xdr:col>
      <xdr:colOff>301073</xdr:colOff>
      <xdr:row>30</xdr:row>
      <xdr:rowOff>38514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8413" y="5681869"/>
          <a:ext cx="1311551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157369</xdr:colOff>
      <xdr:row>26</xdr:row>
      <xdr:rowOff>192648</xdr:rowOff>
    </xdr:from>
    <xdr:to>
      <xdr:col>15</xdr:col>
      <xdr:colOff>583221</xdr:colOff>
      <xdr:row>36</xdr:row>
      <xdr:rowOff>23989</xdr:rowOff>
    </xdr:to>
    <xdr:pic>
      <xdr:nvPicPr>
        <xdr:cNvPr id="11" name="Obrázok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74326" y="5518365"/>
          <a:ext cx="2877504" cy="1819167"/>
        </a:xfrm>
        <a:prstGeom prst="rect">
          <a:avLst/>
        </a:prstGeom>
      </xdr:spPr>
    </xdr:pic>
    <xdr:clientData/>
  </xdr:twoCellAnchor>
  <xdr:twoCellAnchor editAs="oneCell">
    <xdr:from>
      <xdr:col>9</xdr:col>
      <xdr:colOff>1210236</xdr:colOff>
      <xdr:row>47</xdr:row>
      <xdr:rowOff>141640</xdr:rowOff>
    </xdr:from>
    <xdr:to>
      <xdr:col>12</xdr:col>
      <xdr:colOff>477493</xdr:colOff>
      <xdr:row>53</xdr:row>
      <xdr:rowOff>181143</xdr:rowOff>
    </xdr:to>
    <xdr:pic>
      <xdr:nvPicPr>
        <xdr:cNvPr id="12" name="Obrázok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40707" y="9576993"/>
          <a:ext cx="1710139" cy="1283356"/>
        </a:xfrm>
        <a:prstGeom prst="rect">
          <a:avLst/>
        </a:prstGeom>
      </xdr:spPr>
    </xdr:pic>
    <xdr:clientData/>
  </xdr:twoCellAnchor>
  <xdr:twoCellAnchor>
    <xdr:from>
      <xdr:col>10</xdr:col>
      <xdr:colOff>455544</xdr:colOff>
      <xdr:row>40</xdr:row>
      <xdr:rowOff>82827</xdr:rowOff>
    </xdr:from>
    <xdr:to>
      <xdr:col>13</xdr:col>
      <xdr:colOff>430695</xdr:colOff>
      <xdr:row>40</xdr:row>
      <xdr:rowOff>82827</xdr:rowOff>
    </xdr:to>
    <xdr:cxnSp macro="">
      <xdr:nvCxnSpPr>
        <xdr:cNvPr id="14" name="Rovná spojnica 13"/>
        <xdr:cNvCxnSpPr/>
      </xdr:nvCxnSpPr>
      <xdr:spPr>
        <a:xfrm>
          <a:off x="7959587" y="8158370"/>
          <a:ext cx="181389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521804</xdr:colOff>
      <xdr:row>40</xdr:row>
      <xdr:rowOff>74544</xdr:rowOff>
    </xdr:from>
    <xdr:to>
      <xdr:col>13</xdr:col>
      <xdr:colOff>33130</xdr:colOff>
      <xdr:row>40</xdr:row>
      <xdr:rowOff>74544</xdr:rowOff>
    </xdr:to>
    <xdr:cxnSp macro="">
      <xdr:nvCxnSpPr>
        <xdr:cNvPr id="18" name="Rovná spojnica 17"/>
        <xdr:cNvCxnSpPr/>
      </xdr:nvCxnSpPr>
      <xdr:spPr>
        <a:xfrm>
          <a:off x="8638761" y="8150087"/>
          <a:ext cx="737152" cy="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240195</xdr:colOff>
      <xdr:row>39</xdr:row>
      <xdr:rowOff>190500</xdr:rowOff>
    </xdr:from>
    <xdr:to>
      <xdr:col>11</xdr:col>
      <xdr:colOff>240195</xdr:colOff>
      <xdr:row>40</xdr:row>
      <xdr:rowOff>157370</xdr:rowOff>
    </xdr:to>
    <xdr:cxnSp macro="">
      <xdr:nvCxnSpPr>
        <xdr:cNvPr id="20" name="Rovná spojnica 19"/>
        <xdr:cNvCxnSpPr/>
      </xdr:nvCxnSpPr>
      <xdr:spPr>
        <a:xfrm>
          <a:off x="8357152" y="8075543"/>
          <a:ext cx="0" cy="15737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496956</xdr:colOff>
      <xdr:row>40</xdr:row>
      <xdr:rowOff>115958</xdr:rowOff>
    </xdr:from>
    <xdr:to>
      <xdr:col>13</xdr:col>
      <xdr:colOff>323021</xdr:colOff>
      <xdr:row>41</xdr:row>
      <xdr:rowOff>165653</xdr:rowOff>
    </xdr:to>
    <xdr:sp macro="" textlink="">
      <xdr:nvSpPr>
        <xdr:cNvPr id="21" name="BlokTextu 20"/>
        <xdr:cNvSpPr txBox="1"/>
      </xdr:nvSpPr>
      <xdr:spPr>
        <a:xfrm>
          <a:off x="9226826" y="8191501"/>
          <a:ext cx="438978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rgbClr val="C00000"/>
              </a:solidFill>
            </a:rPr>
            <a:t>1,77</a:t>
          </a:r>
        </a:p>
      </xdr:txBody>
    </xdr:sp>
    <xdr:clientData/>
  </xdr:twoCellAnchor>
  <xdr:twoCellAnchor>
    <xdr:from>
      <xdr:col>11</xdr:col>
      <xdr:colOff>405849</xdr:colOff>
      <xdr:row>40</xdr:row>
      <xdr:rowOff>115957</xdr:rowOff>
    </xdr:from>
    <xdr:to>
      <xdr:col>12</xdr:col>
      <xdr:colOff>231914</xdr:colOff>
      <xdr:row>41</xdr:row>
      <xdr:rowOff>165652</xdr:rowOff>
    </xdr:to>
    <xdr:sp macro="" textlink="">
      <xdr:nvSpPr>
        <xdr:cNvPr id="22" name="BlokTextu 21"/>
        <xdr:cNvSpPr txBox="1"/>
      </xdr:nvSpPr>
      <xdr:spPr>
        <a:xfrm>
          <a:off x="8522806" y="8191500"/>
          <a:ext cx="438978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rgbClr val="C00000"/>
              </a:solidFill>
            </a:rPr>
            <a:t>1,07</a:t>
          </a:r>
        </a:p>
      </xdr:txBody>
    </xdr:sp>
    <xdr:clientData/>
  </xdr:twoCellAnchor>
  <xdr:twoCellAnchor>
    <xdr:from>
      <xdr:col>11</xdr:col>
      <xdr:colOff>107673</xdr:colOff>
      <xdr:row>40</xdr:row>
      <xdr:rowOff>157369</xdr:rowOff>
    </xdr:from>
    <xdr:to>
      <xdr:col>11</xdr:col>
      <xdr:colOff>546651</xdr:colOff>
      <xdr:row>42</xdr:row>
      <xdr:rowOff>16564</xdr:rowOff>
    </xdr:to>
    <xdr:sp macro="" textlink="">
      <xdr:nvSpPr>
        <xdr:cNvPr id="23" name="BlokTextu 22"/>
        <xdr:cNvSpPr txBox="1"/>
      </xdr:nvSpPr>
      <xdr:spPr>
        <a:xfrm>
          <a:off x="8224630" y="8232912"/>
          <a:ext cx="438978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tx2"/>
              </a:solidFill>
            </a:rPr>
            <a:t>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328589</xdr:colOff>
      <xdr:row>24</xdr:row>
      <xdr:rowOff>19797</xdr:rowOff>
    </xdr:from>
    <xdr:to>
      <xdr:col>16</xdr:col>
      <xdr:colOff>264475</xdr:colOff>
      <xdr:row>25</xdr:row>
      <xdr:rowOff>63380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489" y="4953747"/>
          <a:ext cx="2621936" cy="50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304800</xdr:colOff>
      <xdr:row>18</xdr:row>
      <xdr:rowOff>95250</xdr:rowOff>
    </xdr:from>
    <xdr:to>
      <xdr:col>17</xdr:col>
      <xdr:colOff>205758</xdr:colOff>
      <xdr:row>19</xdr:row>
      <xdr:rowOff>13950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3619500"/>
          <a:ext cx="3196608" cy="37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523875</xdr:colOff>
      <xdr:row>64</xdr:row>
      <xdr:rowOff>76200</xdr:rowOff>
    </xdr:from>
    <xdr:to>
      <xdr:col>9</xdr:col>
      <xdr:colOff>40661</xdr:colOff>
      <xdr:row>66</xdr:row>
      <xdr:rowOff>195983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2763500"/>
          <a:ext cx="2774336" cy="548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114300</xdr:colOff>
      <xdr:row>38</xdr:row>
      <xdr:rowOff>152400</xdr:rowOff>
    </xdr:from>
    <xdr:to>
      <xdr:col>5</xdr:col>
      <xdr:colOff>158003</xdr:colOff>
      <xdr:row>41</xdr:row>
      <xdr:rowOff>47625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134350"/>
          <a:ext cx="1262903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257736</xdr:colOff>
      <xdr:row>60</xdr:row>
      <xdr:rowOff>123264</xdr:rowOff>
    </xdr:from>
    <xdr:to>
      <xdr:col>6</xdr:col>
      <xdr:colOff>286311</xdr:colOff>
      <xdr:row>62</xdr:row>
      <xdr:rowOff>132789</xdr:rowOff>
    </xdr:to>
    <xdr:pic>
      <xdr:nvPicPr>
        <xdr:cNvPr id="9" name="Obrázok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912" y="12673852"/>
          <a:ext cx="1843928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264399</xdr:colOff>
      <xdr:row>56</xdr:row>
      <xdr:rowOff>114300</xdr:rowOff>
    </xdr:from>
    <xdr:to>
      <xdr:col>19</xdr:col>
      <xdr:colOff>294792</xdr:colOff>
      <xdr:row>67</xdr:row>
      <xdr:rowOff>151936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61074" y="11801475"/>
          <a:ext cx="2468793" cy="2371261"/>
        </a:xfrm>
        <a:prstGeom prst="rect">
          <a:avLst/>
        </a:prstGeom>
      </xdr:spPr>
    </xdr:pic>
    <xdr:clientData/>
  </xdr:twoCellAnchor>
  <xdr:twoCellAnchor editAs="oneCell">
    <xdr:from>
      <xdr:col>15</xdr:col>
      <xdr:colOff>130549</xdr:colOff>
      <xdr:row>31</xdr:row>
      <xdr:rowOff>8688</xdr:rowOff>
    </xdr:from>
    <xdr:to>
      <xdr:col>20</xdr:col>
      <xdr:colOff>120447</xdr:colOff>
      <xdr:row>42</xdr:row>
      <xdr:rowOff>183881</xdr:rowOff>
    </xdr:to>
    <xdr:pic>
      <xdr:nvPicPr>
        <xdr:cNvPr id="10" name="Obrázok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706225" y="6575335"/>
          <a:ext cx="3015486" cy="2382752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48</xdr:row>
      <xdr:rowOff>92488</xdr:rowOff>
    </xdr:from>
    <xdr:to>
      <xdr:col>19</xdr:col>
      <xdr:colOff>324450</xdr:colOff>
      <xdr:row>55</xdr:row>
      <xdr:rowOff>133080</xdr:rowOff>
    </xdr:to>
    <xdr:pic>
      <xdr:nvPicPr>
        <xdr:cNvPr id="11" name="Obrázok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296650" y="10065163"/>
          <a:ext cx="3018904" cy="1564592"/>
        </a:xfrm>
        <a:prstGeom prst="rect">
          <a:avLst/>
        </a:prstGeom>
      </xdr:spPr>
    </xdr:pic>
    <xdr:clientData/>
  </xdr:twoCellAnchor>
  <xdr:twoCellAnchor>
    <xdr:from>
      <xdr:col>15</xdr:col>
      <xdr:colOff>212912</xdr:colOff>
      <xdr:row>44</xdr:row>
      <xdr:rowOff>33618</xdr:rowOff>
    </xdr:from>
    <xdr:to>
      <xdr:col>17</xdr:col>
      <xdr:colOff>50427</xdr:colOff>
      <xdr:row>44</xdr:row>
      <xdr:rowOff>33618</xdr:rowOff>
    </xdr:to>
    <xdr:cxnSp macro="">
      <xdr:nvCxnSpPr>
        <xdr:cNvPr id="13" name="Rovná spojnica 12"/>
        <xdr:cNvCxnSpPr/>
      </xdr:nvCxnSpPr>
      <xdr:spPr>
        <a:xfrm>
          <a:off x="11665324" y="9222442"/>
          <a:ext cx="1047750" cy="0"/>
        </a:xfrm>
        <a:prstGeom prst="line">
          <a:avLst/>
        </a:prstGeom>
        <a:ln w="57150">
          <a:solidFill>
            <a:srgbClr val="C0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11206</xdr:colOff>
      <xdr:row>43</xdr:row>
      <xdr:rowOff>156883</xdr:rowOff>
    </xdr:from>
    <xdr:to>
      <xdr:col>15</xdr:col>
      <xdr:colOff>11206</xdr:colOff>
      <xdr:row>44</xdr:row>
      <xdr:rowOff>90135</xdr:rowOff>
    </xdr:to>
    <xdr:cxnSp macro="">
      <xdr:nvCxnSpPr>
        <xdr:cNvPr id="14" name="Rovná spojnica 13"/>
        <xdr:cNvCxnSpPr/>
      </xdr:nvCxnSpPr>
      <xdr:spPr>
        <a:xfrm>
          <a:off x="11463618" y="9121589"/>
          <a:ext cx="0" cy="15737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112060</xdr:colOff>
      <xdr:row>44</xdr:row>
      <xdr:rowOff>112058</xdr:rowOff>
    </xdr:from>
    <xdr:to>
      <xdr:col>16</xdr:col>
      <xdr:colOff>107018</xdr:colOff>
      <xdr:row>45</xdr:row>
      <xdr:rowOff>161753</xdr:rowOff>
    </xdr:to>
    <xdr:sp macro="" textlink="">
      <xdr:nvSpPr>
        <xdr:cNvPr id="15" name="BlokTextu 14"/>
        <xdr:cNvSpPr txBox="1"/>
      </xdr:nvSpPr>
      <xdr:spPr>
        <a:xfrm>
          <a:off x="11564472" y="9300882"/>
          <a:ext cx="600075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rgbClr val="C00000"/>
              </a:solidFill>
            </a:rPr>
            <a:t>30,84</a:t>
          </a:r>
        </a:p>
      </xdr:txBody>
    </xdr:sp>
    <xdr:clientData/>
  </xdr:twoCellAnchor>
  <xdr:twoCellAnchor>
    <xdr:from>
      <xdr:col>16</xdr:col>
      <xdr:colOff>403412</xdr:colOff>
      <xdr:row>44</xdr:row>
      <xdr:rowOff>112058</xdr:rowOff>
    </xdr:from>
    <xdr:to>
      <xdr:col>17</xdr:col>
      <xdr:colOff>398369</xdr:colOff>
      <xdr:row>45</xdr:row>
      <xdr:rowOff>161753</xdr:rowOff>
    </xdr:to>
    <xdr:sp macro="" textlink="">
      <xdr:nvSpPr>
        <xdr:cNvPr id="16" name="BlokTextu 15"/>
        <xdr:cNvSpPr txBox="1"/>
      </xdr:nvSpPr>
      <xdr:spPr>
        <a:xfrm>
          <a:off x="12460941" y="9300882"/>
          <a:ext cx="600075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rgbClr val="C00000"/>
              </a:solidFill>
            </a:rPr>
            <a:t>31,58</a:t>
          </a:r>
        </a:p>
      </xdr:txBody>
    </xdr:sp>
    <xdr:clientData/>
  </xdr:twoCellAnchor>
  <xdr:twoCellAnchor>
    <xdr:from>
      <xdr:col>14</xdr:col>
      <xdr:colOff>717176</xdr:colOff>
      <xdr:row>44</xdr:row>
      <xdr:rowOff>100853</xdr:rowOff>
    </xdr:from>
    <xdr:to>
      <xdr:col>15</xdr:col>
      <xdr:colOff>293301</xdr:colOff>
      <xdr:row>45</xdr:row>
      <xdr:rowOff>150548</xdr:rowOff>
    </xdr:to>
    <xdr:sp macro="" textlink="">
      <xdr:nvSpPr>
        <xdr:cNvPr id="18" name="BlokTextu 17"/>
        <xdr:cNvSpPr txBox="1"/>
      </xdr:nvSpPr>
      <xdr:spPr>
        <a:xfrm>
          <a:off x="11306735" y="9289677"/>
          <a:ext cx="438978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>
              <a:solidFill>
                <a:schemeClr val="tx2"/>
              </a:solidFill>
            </a:rPr>
            <a:t>30</a:t>
          </a:r>
        </a:p>
      </xdr:txBody>
    </xdr:sp>
    <xdr:clientData/>
  </xdr:twoCellAnchor>
  <xdr:twoCellAnchor>
    <xdr:from>
      <xdr:col>14</xdr:col>
      <xdr:colOff>336176</xdr:colOff>
      <xdr:row>44</xdr:row>
      <xdr:rowOff>22412</xdr:rowOff>
    </xdr:from>
    <xdr:to>
      <xdr:col>17</xdr:col>
      <xdr:colOff>526677</xdr:colOff>
      <xdr:row>44</xdr:row>
      <xdr:rowOff>33617</xdr:rowOff>
    </xdr:to>
    <xdr:cxnSp macro="">
      <xdr:nvCxnSpPr>
        <xdr:cNvPr id="19" name="Rovná spojnica 18"/>
        <xdr:cNvCxnSpPr/>
      </xdr:nvCxnSpPr>
      <xdr:spPr>
        <a:xfrm>
          <a:off x="10925735" y="9211236"/>
          <a:ext cx="2263589" cy="112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70</xdr:row>
      <xdr:rowOff>0</xdr:rowOff>
    </xdr:from>
    <xdr:to>
      <xdr:col>19</xdr:col>
      <xdr:colOff>504266</xdr:colOff>
      <xdr:row>70</xdr:row>
      <xdr:rowOff>11205</xdr:rowOff>
    </xdr:to>
    <xdr:cxnSp macro="">
      <xdr:nvCxnSpPr>
        <xdr:cNvPr id="20" name="Rovná spojnica 19"/>
        <xdr:cNvCxnSpPr/>
      </xdr:nvCxnSpPr>
      <xdr:spPr>
        <a:xfrm>
          <a:off x="12236824" y="14590059"/>
          <a:ext cx="2319618" cy="112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560294</xdr:colOff>
      <xdr:row>70</xdr:row>
      <xdr:rowOff>67235</xdr:rowOff>
    </xdr:from>
    <xdr:to>
      <xdr:col>18</xdr:col>
      <xdr:colOff>450183</xdr:colOff>
      <xdr:row>71</xdr:row>
      <xdr:rowOff>116930</xdr:rowOff>
    </xdr:to>
    <xdr:sp macro="" textlink="">
      <xdr:nvSpPr>
        <xdr:cNvPr id="21" name="BlokTextu 20"/>
        <xdr:cNvSpPr txBox="1"/>
      </xdr:nvSpPr>
      <xdr:spPr>
        <a:xfrm>
          <a:off x="13402235" y="14657294"/>
          <a:ext cx="495007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>
              <a:solidFill>
                <a:schemeClr val="tx2"/>
              </a:solidFill>
            </a:rPr>
            <a:t>1</a:t>
          </a:r>
        </a:p>
      </xdr:txBody>
    </xdr:sp>
    <xdr:clientData/>
  </xdr:twoCellAnchor>
  <xdr:twoCellAnchor>
    <xdr:from>
      <xdr:col>16</xdr:col>
      <xdr:colOff>526676</xdr:colOff>
      <xdr:row>70</xdr:row>
      <xdr:rowOff>11206</xdr:rowOff>
    </xdr:from>
    <xdr:to>
      <xdr:col>19</xdr:col>
      <xdr:colOff>16808</xdr:colOff>
      <xdr:row>70</xdr:row>
      <xdr:rowOff>11206</xdr:rowOff>
    </xdr:to>
    <xdr:cxnSp macro="">
      <xdr:nvCxnSpPr>
        <xdr:cNvPr id="22" name="Rovná spojnica 21"/>
        <xdr:cNvCxnSpPr/>
      </xdr:nvCxnSpPr>
      <xdr:spPr>
        <a:xfrm>
          <a:off x="12763500" y="14601265"/>
          <a:ext cx="1305484" cy="0"/>
        </a:xfrm>
        <a:prstGeom prst="line">
          <a:avLst/>
        </a:prstGeom>
        <a:ln w="57150">
          <a:solidFill>
            <a:srgbClr val="C0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369794</xdr:colOff>
      <xdr:row>70</xdr:row>
      <xdr:rowOff>56029</xdr:rowOff>
    </xdr:from>
    <xdr:to>
      <xdr:col>17</xdr:col>
      <xdr:colOff>364753</xdr:colOff>
      <xdr:row>71</xdr:row>
      <xdr:rowOff>105724</xdr:rowOff>
    </xdr:to>
    <xdr:sp macro="" textlink="">
      <xdr:nvSpPr>
        <xdr:cNvPr id="24" name="BlokTextu 23"/>
        <xdr:cNvSpPr txBox="1"/>
      </xdr:nvSpPr>
      <xdr:spPr>
        <a:xfrm>
          <a:off x="12606618" y="14646088"/>
          <a:ext cx="600076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rgbClr val="C00000"/>
              </a:solidFill>
            </a:rPr>
            <a:t>0,104</a:t>
          </a:r>
        </a:p>
      </xdr:txBody>
    </xdr:sp>
    <xdr:clientData/>
  </xdr:twoCellAnchor>
  <xdr:twoCellAnchor>
    <xdr:from>
      <xdr:col>18</xdr:col>
      <xdr:colOff>414617</xdr:colOff>
      <xdr:row>70</xdr:row>
      <xdr:rowOff>44823</xdr:rowOff>
    </xdr:from>
    <xdr:to>
      <xdr:col>19</xdr:col>
      <xdr:colOff>409576</xdr:colOff>
      <xdr:row>71</xdr:row>
      <xdr:rowOff>94518</xdr:rowOff>
    </xdr:to>
    <xdr:sp macro="" textlink="">
      <xdr:nvSpPr>
        <xdr:cNvPr id="25" name="BlokTextu 24"/>
        <xdr:cNvSpPr txBox="1"/>
      </xdr:nvSpPr>
      <xdr:spPr>
        <a:xfrm>
          <a:off x="13861676" y="14634882"/>
          <a:ext cx="600076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rgbClr val="C00000"/>
              </a:solidFill>
            </a:rPr>
            <a:t>2,13</a:t>
          </a:r>
        </a:p>
      </xdr:txBody>
    </xdr:sp>
    <xdr:clientData/>
  </xdr:twoCellAnchor>
  <xdr:twoCellAnchor>
    <xdr:from>
      <xdr:col>18</xdr:col>
      <xdr:colOff>67235</xdr:colOff>
      <xdr:row>69</xdr:row>
      <xdr:rowOff>89649</xdr:rowOff>
    </xdr:from>
    <xdr:to>
      <xdr:col>18</xdr:col>
      <xdr:colOff>67235</xdr:colOff>
      <xdr:row>70</xdr:row>
      <xdr:rowOff>89649</xdr:rowOff>
    </xdr:to>
    <xdr:cxnSp macro="">
      <xdr:nvCxnSpPr>
        <xdr:cNvPr id="27" name="Rovná spojnica 26"/>
        <xdr:cNvCxnSpPr/>
      </xdr:nvCxnSpPr>
      <xdr:spPr>
        <a:xfrm flipV="1">
          <a:off x="13514294" y="14489208"/>
          <a:ext cx="0" cy="19050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918881</xdr:colOff>
      <xdr:row>73</xdr:row>
      <xdr:rowOff>90</xdr:rowOff>
    </xdr:from>
    <xdr:to>
      <xdr:col>19</xdr:col>
      <xdr:colOff>555214</xdr:colOff>
      <xdr:row>80</xdr:row>
      <xdr:rowOff>134470</xdr:rowOff>
    </xdr:to>
    <xdr:pic>
      <xdr:nvPicPr>
        <xdr:cNvPr id="28" name="Obrázok 2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631705" y="15195266"/>
          <a:ext cx="2975685" cy="1535116"/>
        </a:xfrm>
        <a:prstGeom prst="rect">
          <a:avLst/>
        </a:prstGeom>
      </xdr:spPr>
    </xdr:pic>
    <xdr:clientData/>
  </xdr:twoCellAnchor>
  <xdr:twoCellAnchor editAs="oneCell">
    <xdr:from>
      <xdr:col>20</xdr:col>
      <xdr:colOff>549091</xdr:colOff>
      <xdr:row>72</xdr:row>
      <xdr:rowOff>143216</xdr:rowOff>
    </xdr:from>
    <xdr:to>
      <xdr:col>25</xdr:col>
      <xdr:colOff>498527</xdr:colOff>
      <xdr:row>80</xdr:row>
      <xdr:rowOff>42499</xdr:rowOff>
    </xdr:to>
    <xdr:pic>
      <xdr:nvPicPr>
        <xdr:cNvPr id="29" name="Obrázok 2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06385" y="15114275"/>
          <a:ext cx="2975024" cy="15241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19</xdr:row>
      <xdr:rowOff>47625</xdr:rowOff>
    </xdr:from>
    <xdr:to>
      <xdr:col>17</xdr:col>
      <xdr:colOff>519276</xdr:colOff>
      <xdr:row>20</xdr:row>
      <xdr:rowOff>91208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048125"/>
          <a:ext cx="2624301" cy="50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12</xdr:row>
      <xdr:rowOff>0</xdr:rowOff>
    </xdr:from>
    <xdr:to>
      <xdr:col>18</xdr:col>
      <xdr:colOff>399612</xdr:colOff>
      <xdr:row>12</xdr:row>
      <xdr:rowOff>409068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2400300"/>
          <a:ext cx="3447612" cy="40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22</xdr:row>
      <xdr:rowOff>171450</xdr:rowOff>
    </xdr:from>
    <xdr:to>
      <xdr:col>5</xdr:col>
      <xdr:colOff>206651</xdr:colOff>
      <xdr:row>24</xdr:row>
      <xdr:rowOff>200025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4629150"/>
          <a:ext cx="1311551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22</xdr:row>
      <xdr:rowOff>171450</xdr:rowOff>
    </xdr:from>
    <xdr:to>
      <xdr:col>18</xdr:col>
      <xdr:colOff>206651</xdr:colOff>
      <xdr:row>24</xdr:row>
      <xdr:rowOff>200025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4648200"/>
          <a:ext cx="1311551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127906</xdr:colOff>
      <xdr:row>31</xdr:row>
      <xdr:rowOff>115626</xdr:rowOff>
    </xdr:from>
    <xdr:to>
      <xdr:col>23</xdr:col>
      <xdr:colOff>165411</xdr:colOff>
      <xdr:row>33</xdr:row>
      <xdr:rowOff>252991</xdr:rowOff>
    </xdr:to>
    <xdr:pic>
      <xdr:nvPicPr>
        <xdr:cNvPr id="5" name="Obrázo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02192" y="6442947"/>
          <a:ext cx="3099112" cy="518365"/>
        </a:xfrm>
        <a:prstGeom prst="rect">
          <a:avLst/>
        </a:prstGeom>
      </xdr:spPr>
    </xdr:pic>
    <xdr:clientData/>
  </xdr:twoCellAnchor>
  <xdr:twoCellAnchor editAs="oneCell">
    <xdr:from>
      <xdr:col>18</xdr:col>
      <xdr:colOff>610977</xdr:colOff>
      <xdr:row>0</xdr:row>
      <xdr:rowOff>312965</xdr:rowOff>
    </xdr:from>
    <xdr:to>
      <xdr:col>24</xdr:col>
      <xdr:colOff>482416</xdr:colOff>
      <xdr:row>11</xdr:row>
      <xdr:rowOff>13607</xdr:rowOff>
    </xdr:to>
    <xdr:pic>
      <xdr:nvPicPr>
        <xdr:cNvPr id="6" name="Obrázok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5263" y="312965"/>
          <a:ext cx="3545367" cy="2041071"/>
        </a:xfrm>
        <a:prstGeom prst="rect">
          <a:avLst/>
        </a:prstGeom>
      </xdr:spPr>
    </xdr:pic>
    <xdr:clientData/>
  </xdr:twoCellAnchor>
  <xdr:twoCellAnchor editAs="oneCell">
    <xdr:from>
      <xdr:col>24</xdr:col>
      <xdr:colOff>54429</xdr:colOff>
      <xdr:row>15</xdr:row>
      <xdr:rowOff>95250</xdr:rowOff>
    </xdr:from>
    <xdr:to>
      <xdr:col>31</xdr:col>
      <xdr:colOff>253893</xdr:colOff>
      <xdr:row>43</xdr:row>
      <xdr:rowOff>64620</xdr:rowOff>
    </xdr:to>
    <xdr:pic>
      <xdr:nvPicPr>
        <xdr:cNvPr id="7" name="Obrázok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02643" y="3197679"/>
          <a:ext cx="4485714" cy="5561905"/>
        </a:xfrm>
        <a:prstGeom prst="rect">
          <a:avLst/>
        </a:prstGeom>
      </xdr:spPr>
    </xdr:pic>
    <xdr:clientData/>
  </xdr:twoCellAnchor>
  <xdr:twoCellAnchor editAs="oneCell">
    <xdr:from>
      <xdr:col>12</xdr:col>
      <xdr:colOff>489857</xdr:colOff>
      <xdr:row>0</xdr:row>
      <xdr:rowOff>285748</xdr:rowOff>
    </xdr:from>
    <xdr:to>
      <xdr:col>18</xdr:col>
      <xdr:colOff>317838</xdr:colOff>
      <xdr:row>16</xdr:row>
      <xdr:rowOff>121902</xdr:rowOff>
    </xdr:to>
    <xdr:pic>
      <xdr:nvPicPr>
        <xdr:cNvPr id="8" name="Obrázok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90214" y="285748"/>
          <a:ext cx="3501910" cy="31290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6</xdr:row>
      <xdr:rowOff>107248</xdr:rowOff>
    </xdr:from>
    <xdr:to>
      <xdr:col>5</xdr:col>
      <xdr:colOff>161370</xdr:colOff>
      <xdr:row>8</xdr:row>
      <xdr:rowOff>180771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1297873"/>
          <a:ext cx="1342470" cy="492623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8</xdr:row>
      <xdr:rowOff>163776</xdr:rowOff>
    </xdr:from>
    <xdr:to>
      <xdr:col>15</xdr:col>
      <xdr:colOff>292173</xdr:colOff>
      <xdr:row>15</xdr:row>
      <xdr:rowOff>104775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4225" y="1763976"/>
          <a:ext cx="3092523" cy="1407849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21</xdr:row>
      <xdr:rowOff>9525</xdr:rowOff>
    </xdr:from>
    <xdr:to>
      <xdr:col>12</xdr:col>
      <xdr:colOff>590550</xdr:colOff>
      <xdr:row>21</xdr:row>
      <xdr:rowOff>9525</xdr:rowOff>
    </xdr:to>
    <xdr:cxnSp macro="">
      <xdr:nvCxnSpPr>
        <xdr:cNvPr id="4" name="Rovná spojnica 3"/>
        <xdr:cNvCxnSpPr/>
      </xdr:nvCxnSpPr>
      <xdr:spPr>
        <a:xfrm>
          <a:off x="6343650" y="4229100"/>
          <a:ext cx="23526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21</xdr:row>
      <xdr:rowOff>28575</xdr:rowOff>
    </xdr:from>
    <xdr:to>
      <xdr:col>12</xdr:col>
      <xdr:colOff>365072</xdr:colOff>
      <xdr:row>21</xdr:row>
      <xdr:rowOff>28575</xdr:rowOff>
    </xdr:to>
    <xdr:cxnSp macro="">
      <xdr:nvCxnSpPr>
        <xdr:cNvPr id="5" name="Rovná spojnica 4"/>
        <xdr:cNvCxnSpPr/>
      </xdr:nvCxnSpPr>
      <xdr:spPr>
        <a:xfrm>
          <a:off x="7143750" y="4248150"/>
          <a:ext cx="1327097" cy="0"/>
        </a:xfrm>
        <a:prstGeom prst="line">
          <a:avLst/>
        </a:prstGeom>
        <a:ln w="57150">
          <a:solidFill>
            <a:srgbClr val="C0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590550</xdr:colOff>
      <xdr:row>21</xdr:row>
      <xdr:rowOff>57150</xdr:rowOff>
    </xdr:from>
    <xdr:to>
      <xdr:col>10</xdr:col>
      <xdr:colOff>588229</xdr:colOff>
      <xdr:row>22</xdr:row>
      <xdr:rowOff>106845</xdr:rowOff>
    </xdr:to>
    <xdr:sp macro="" textlink="">
      <xdr:nvSpPr>
        <xdr:cNvPr id="7" name="BlokTextu 6"/>
        <xdr:cNvSpPr txBox="1"/>
      </xdr:nvSpPr>
      <xdr:spPr>
        <a:xfrm>
          <a:off x="6867525" y="4276725"/>
          <a:ext cx="607279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rgbClr val="C00000"/>
              </a:solidFill>
            </a:rPr>
            <a:t>15,198</a:t>
          </a:r>
        </a:p>
      </xdr:txBody>
    </xdr:sp>
    <xdr:clientData/>
  </xdr:twoCellAnchor>
  <xdr:twoCellAnchor>
    <xdr:from>
      <xdr:col>12</xdr:col>
      <xdr:colOff>38100</xdr:colOff>
      <xdr:row>21</xdr:row>
      <xdr:rowOff>47625</xdr:rowOff>
    </xdr:from>
    <xdr:to>
      <xdr:col>13</xdr:col>
      <xdr:colOff>35779</xdr:colOff>
      <xdr:row>22</xdr:row>
      <xdr:rowOff>97320</xdr:rowOff>
    </xdr:to>
    <xdr:sp macro="" textlink="">
      <xdr:nvSpPr>
        <xdr:cNvPr id="8" name="BlokTextu 7"/>
        <xdr:cNvSpPr txBox="1"/>
      </xdr:nvSpPr>
      <xdr:spPr>
        <a:xfrm>
          <a:off x="8143875" y="4267200"/>
          <a:ext cx="607279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rgbClr val="C00000"/>
              </a:solidFill>
            </a:rPr>
            <a:t>15,258</a:t>
          </a:r>
        </a:p>
      </xdr:txBody>
    </xdr:sp>
    <xdr:clientData/>
  </xdr:twoCellAnchor>
  <xdr:twoCellAnchor>
    <xdr:from>
      <xdr:col>10</xdr:col>
      <xdr:colOff>333375</xdr:colOff>
      <xdr:row>20</xdr:row>
      <xdr:rowOff>104775</xdr:rowOff>
    </xdr:from>
    <xdr:to>
      <xdr:col>10</xdr:col>
      <xdr:colOff>333375</xdr:colOff>
      <xdr:row>21</xdr:row>
      <xdr:rowOff>104775</xdr:rowOff>
    </xdr:to>
    <xdr:cxnSp macro="">
      <xdr:nvCxnSpPr>
        <xdr:cNvPr id="9" name="Rovná spojnica 8"/>
        <xdr:cNvCxnSpPr/>
      </xdr:nvCxnSpPr>
      <xdr:spPr>
        <a:xfrm flipV="1">
          <a:off x="7219950" y="4133850"/>
          <a:ext cx="0" cy="19050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19</xdr:row>
      <xdr:rowOff>38100</xdr:rowOff>
    </xdr:from>
    <xdr:to>
      <xdr:col>10</xdr:col>
      <xdr:colOff>583054</xdr:colOff>
      <xdr:row>20</xdr:row>
      <xdr:rowOff>87795</xdr:rowOff>
    </xdr:to>
    <xdr:sp macro="" textlink="">
      <xdr:nvSpPr>
        <xdr:cNvPr id="10" name="BlokTextu 9"/>
        <xdr:cNvSpPr txBox="1"/>
      </xdr:nvSpPr>
      <xdr:spPr>
        <a:xfrm>
          <a:off x="6981825" y="3876675"/>
          <a:ext cx="487804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>
              <a:solidFill>
                <a:schemeClr val="tx2"/>
              </a:solidFill>
            </a:rPr>
            <a:t>15,2</a:t>
          </a:r>
        </a:p>
      </xdr:txBody>
    </xdr:sp>
    <xdr:clientData/>
  </xdr:twoCellAnchor>
  <xdr:twoCellAnchor editAs="oneCell">
    <xdr:from>
      <xdr:col>12</xdr:col>
      <xdr:colOff>19050</xdr:colOff>
      <xdr:row>26</xdr:row>
      <xdr:rowOff>93821</xdr:rowOff>
    </xdr:from>
    <xdr:to>
      <xdr:col>15</xdr:col>
      <xdr:colOff>504182</xdr:colOff>
      <xdr:row>32</xdr:row>
      <xdr:rowOff>152034</xdr:rowOff>
    </xdr:to>
    <xdr:pic>
      <xdr:nvPicPr>
        <xdr:cNvPr id="12" name="Obrázok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4825" y="5342096"/>
          <a:ext cx="2313932" cy="1315513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809624</xdr:colOff>
      <xdr:row>25</xdr:row>
      <xdr:rowOff>135960</xdr:rowOff>
    </xdr:from>
    <xdr:to>
      <xdr:col>18</xdr:col>
      <xdr:colOff>399419</xdr:colOff>
      <xdr:row>32</xdr:row>
      <xdr:rowOff>113864</xdr:rowOff>
    </xdr:to>
    <xdr:pic>
      <xdr:nvPicPr>
        <xdr:cNvPr id="13" name="Obrázok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53799" y="5193735"/>
          <a:ext cx="2066295" cy="14257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7</xdr:row>
      <xdr:rowOff>130754</xdr:rowOff>
    </xdr:from>
    <xdr:to>
      <xdr:col>4</xdr:col>
      <xdr:colOff>571500</xdr:colOff>
      <xdr:row>9</xdr:row>
      <xdr:rowOff>141567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175" y="1502354"/>
          <a:ext cx="1171575" cy="4299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27</xdr:row>
      <xdr:rowOff>7078</xdr:rowOff>
    </xdr:from>
    <xdr:to>
      <xdr:col>7</xdr:col>
      <xdr:colOff>285055</xdr:colOff>
      <xdr:row>33</xdr:row>
      <xdr:rowOff>75825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5341078"/>
          <a:ext cx="2466280" cy="1326047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323850</xdr:colOff>
      <xdr:row>8</xdr:row>
      <xdr:rowOff>11488</xdr:rowOff>
    </xdr:from>
    <xdr:to>
      <xdr:col>15</xdr:col>
      <xdr:colOff>275301</xdr:colOff>
      <xdr:row>16</xdr:row>
      <xdr:rowOff>28129</xdr:rowOff>
    </xdr:to>
    <xdr:pic>
      <xdr:nvPicPr>
        <xdr:cNvPr id="5" name="Obrázok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9950" y="1611688"/>
          <a:ext cx="3275676" cy="1578741"/>
        </a:xfrm>
        <a:prstGeom prst="rect">
          <a:avLst/>
        </a:prstGeom>
      </xdr:spPr>
    </xdr:pic>
    <xdr:clientData/>
  </xdr:twoCellAnchor>
  <xdr:twoCellAnchor>
    <xdr:from>
      <xdr:col>7</xdr:col>
      <xdr:colOff>476250</xdr:colOff>
      <xdr:row>22</xdr:row>
      <xdr:rowOff>47625</xdr:rowOff>
    </xdr:from>
    <xdr:to>
      <xdr:col>7</xdr:col>
      <xdr:colOff>476250</xdr:colOff>
      <xdr:row>23</xdr:row>
      <xdr:rowOff>47625</xdr:rowOff>
    </xdr:to>
    <xdr:cxnSp macro="">
      <xdr:nvCxnSpPr>
        <xdr:cNvPr id="6" name="Rovná spojnica 5"/>
        <xdr:cNvCxnSpPr/>
      </xdr:nvCxnSpPr>
      <xdr:spPr>
        <a:xfrm flipV="1">
          <a:off x="5543550" y="4352925"/>
          <a:ext cx="0" cy="19050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876300</xdr:colOff>
      <xdr:row>22</xdr:row>
      <xdr:rowOff>142875</xdr:rowOff>
    </xdr:from>
    <xdr:to>
      <xdr:col>8</xdr:col>
      <xdr:colOff>507947</xdr:colOff>
      <xdr:row>22</xdr:row>
      <xdr:rowOff>142875</xdr:rowOff>
    </xdr:to>
    <xdr:cxnSp macro="">
      <xdr:nvCxnSpPr>
        <xdr:cNvPr id="7" name="Rovná spojnica 6"/>
        <xdr:cNvCxnSpPr/>
      </xdr:nvCxnSpPr>
      <xdr:spPr>
        <a:xfrm>
          <a:off x="4857750" y="4448175"/>
          <a:ext cx="1327097" cy="0"/>
        </a:xfrm>
        <a:prstGeom prst="line">
          <a:avLst/>
        </a:prstGeom>
        <a:ln w="57150">
          <a:solidFill>
            <a:srgbClr val="C0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638175</xdr:colOff>
      <xdr:row>22</xdr:row>
      <xdr:rowOff>180975</xdr:rowOff>
    </xdr:from>
    <xdr:to>
      <xdr:col>7</xdr:col>
      <xdr:colOff>159604</xdr:colOff>
      <xdr:row>23</xdr:row>
      <xdr:rowOff>230670</xdr:rowOff>
    </xdr:to>
    <xdr:sp macro="" textlink="">
      <xdr:nvSpPr>
        <xdr:cNvPr id="8" name="BlokTextu 7"/>
        <xdr:cNvSpPr txBox="1"/>
      </xdr:nvSpPr>
      <xdr:spPr>
        <a:xfrm>
          <a:off x="4619625" y="4486275"/>
          <a:ext cx="607279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rgbClr val="C00000"/>
              </a:solidFill>
            </a:rPr>
            <a:t>24,23</a:t>
          </a:r>
        </a:p>
      </xdr:txBody>
    </xdr:sp>
    <xdr:clientData/>
  </xdr:twoCellAnchor>
  <xdr:twoCellAnchor>
    <xdr:from>
      <xdr:col>8</xdr:col>
      <xdr:colOff>285750</xdr:colOff>
      <xdr:row>22</xdr:row>
      <xdr:rowOff>161925</xdr:rowOff>
    </xdr:from>
    <xdr:to>
      <xdr:col>9</xdr:col>
      <xdr:colOff>283429</xdr:colOff>
      <xdr:row>23</xdr:row>
      <xdr:rowOff>211620</xdr:rowOff>
    </xdr:to>
    <xdr:sp macro="" textlink="">
      <xdr:nvSpPr>
        <xdr:cNvPr id="9" name="BlokTextu 8"/>
        <xdr:cNvSpPr txBox="1"/>
      </xdr:nvSpPr>
      <xdr:spPr>
        <a:xfrm>
          <a:off x="5962650" y="4467225"/>
          <a:ext cx="607279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rgbClr val="C00000"/>
              </a:solidFill>
            </a:rPr>
            <a:t>77,97</a:t>
          </a:r>
        </a:p>
      </xdr:txBody>
    </xdr:sp>
    <xdr:clientData/>
  </xdr:twoCellAnchor>
  <xdr:twoCellAnchor>
    <xdr:from>
      <xdr:col>7</xdr:col>
      <xdr:colOff>323850</xdr:colOff>
      <xdr:row>23</xdr:row>
      <xdr:rowOff>28575</xdr:rowOff>
    </xdr:from>
    <xdr:to>
      <xdr:col>8</xdr:col>
      <xdr:colOff>202054</xdr:colOff>
      <xdr:row>24</xdr:row>
      <xdr:rowOff>2070</xdr:rowOff>
    </xdr:to>
    <xdr:sp macro="" textlink="">
      <xdr:nvSpPr>
        <xdr:cNvPr id="10" name="BlokTextu 9"/>
        <xdr:cNvSpPr txBox="1"/>
      </xdr:nvSpPr>
      <xdr:spPr>
        <a:xfrm>
          <a:off x="5391150" y="4524375"/>
          <a:ext cx="487804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>
              <a:solidFill>
                <a:schemeClr val="tx2"/>
              </a:solidFill>
            </a:rPr>
            <a:t>50</a:t>
          </a:r>
        </a:p>
      </xdr:txBody>
    </xdr:sp>
    <xdr:clientData/>
  </xdr:twoCellAnchor>
  <xdr:twoCellAnchor>
    <xdr:from>
      <xdr:col>6</xdr:col>
      <xdr:colOff>381000</xdr:colOff>
      <xdr:row>22</xdr:row>
      <xdr:rowOff>123825</xdr:rowOff>
    </xdr:from>
    <xdr:to>
      <xdr:col>9</xdr:col>
      <xdr:colOff>428625</xdr:colOff>
      <xdr:row>22</xdr:row>
      <xdr:rowOff>123825</xdr:rowOff>
    </xdr:to>
    <xdr:cxnSp macro="">
      <xdr:nvCxnSpPr>
        <xdr:cNvPr id="11" name="Rovná spojnica 10"/>
        <xdr:cNvCxnSpPr/>
      </xdr:nvCxnSpPr>
      <xdr:spPr>
        <a:xfrm>
          <a:off x="4362450" y="4429125"/>
          <a:ext cx="23526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16341</xdr:colOff>
      <xdr:row>27</xdr:row>
      <xdr:rowOff>57150</xdr:rowOff>
    </xdr:from>
    <xdr:to>
      <xdr:col>12</xdr:col>
      <xdr:colOff>123156</xdr:colOff>
      <xdr:row>34</xdr:row>
      <xdr:rowOff>18631</xdr:rowOff>
    </xdr:to>
    <xdr:pic>
      <xdr:nvPicPr>
        <xdr:cNvPr id="12" name="Obrázok 11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1597"/>
        <a:stretch/>
      </xdr:blipFill>
      <xdr:spPr>
        <a:xfrm>
          <a:off x="5693241" y="5391150"/>
          <a:ext cx="2545215" cy="1409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40" sqref="N4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"/>
  <sheetViews>
    <sheetView topLeftCell="A13" zoomScaleNormal="100" workbookViewId="0">
      <selection activeCell="D47" sqref="D47"/>
    </sheetView>
  </sheetViews>
  <sheetFormatPr defaultRowHeight="15" x14ac:dyDescent="0.25"/>
  <cols>
    <col min="7" max="7" width="11" customWidth="1"/>
  </cols>
  <sheetData>
    <row r="1" spans="1:9" x14ac:dyDescent="0.25">
      <c r="A1" s="81" t="s">
        <v>41</v>
      </c>
      <c r="B1" s="81" t="s">
        <v>72</v>
      </c>
      <c r="C1" s="81"/>
      <c r="D1" s="81"/>
      <c r="E1" s="81"/>
      <c r="F1" s="81"/>
      <c r="G1" s="81"/>
      <c r="H1" s="81"/>
      <c r="I1" s="81"/>
    </row>
    <row r="2" spans="1:9" x14ac:dyDescent="0.25">
      <c r="A2" s="81"/>
      <c r="B2" s="81" t="s">
        <v>164</v>
      </c>
      <c r="C2" s="81"/>
      <c r="D2" s="81"/>
      <c r="E2" s="81"/>
      <c r="F2" s="81"/>
      <c r="G2" s="81"/>
      <c r="H2" s="81"/>
      <c r="I2" s="81"/>
    </row>
    <row r="3" spans="1:9" x14ac:dyDescent="0.25">
      <c r="A3" s="81"/>
      <c r="B3" s="81" t="s">
        <v>73</v>
      </c>
      <c r="C3" s="81"/>
      <c r="D3" s="81"/>
      <c r="E3" s="81"/>
      <c r="F3" s="81"/>
      <c r="G3" s="81"/>
      <c r="H3" s="81"/>
      <c r="I3" s="81"/>
    </row>
    <row r="4" spans="1:9" x14ac:dyDescent="0.25">
      <c r="A4" s="81"/>
      <c r="B4" s="81" t="s">
        <v>74</v>
      </c>
      <c r="C4" s="81"/>
      <c r="D4" s="81"/>
      <c r="E4" s="81"/>
      <c r="F4" s="81"/>
      <c r="G4" s="81"/>
      <c r="H4" s="81"/>
      <c r="I4" s="81"/>
    </row>
    <row r="5" spans="1:9" x14ac:dyDescent="0.25">
      <c r="A5" s="81"/>
      <c r="B5" s="81" t="s">
        <v>75</v>
      </c>
      <c r="C5" s="81"/>
      <c r="D5" s="81"/>
      <c r="E5" s="81"/>
      <c r="F5" s="81"/>
      <c r="G5" s="81"/>
      <c r="H5" s="81"/>
      <c r="I5" s="81"/>
    </row>
    <row r="7" spans="1:9" ht="18" x14ac:dyDescent="0.35">
      <c r="B7" s="122" t="s">
        <v>373</v>
      </c>
      <c r="C7" s="82"/>
      <c r="D7" s="82"/>
      <c r="E7" s="82"/>
      <c r="F7" s="82"/>
      <c r="G7" s="82"/>
      <c r="H7" s="83"/>
    </row>
    <row r="8" spans="1:9" x14ac:dyDescent="0.25">
      <c r="A8" s="84"/>
      <c r="B8" s="85" t="s">
        <v>76</v>
      </c>
      <c r="C8" s="84"/>
      <c r="D8" s="86"/>
    </row>
    <row r="10" spans="1:9" x14ac:dyDescent="0.25">
      <c r="B10" s="88" t="s">
        <v>77</v>
      </c>
      <c r="C10" s="162">
        <v>21</v>
      </c>
    </row>
    <row r="11" spans="1:9" ht="18" x14ac:dyDescent="0.35">
      <c r="B11" s="87" t="s">
        <v>6</v>
      </c>
      <c r="C11" s="162">
        <v>62.5</v>
      </c>
    </row>
    <row r="12" spans="1:9" ht="18" x14ac:dyDescent="0.35">
      <c r="B12" s="89" t="s">
        <v>78</v>
      </c>
      <c r="C12" s="162">
        <v>3</v>
      </c>
    </row>
    <row r="13" spans="1:9" x14ac:dyDescent="0.25">
      <c r="B13" s="214" t="s">
        <v>267</v>
      </c>
      <c r="C13" s="162">
        <v>0.01</v>
      </c>
    </row>
    <row r="18" spans="1:10" ht="18" x14ac:dyDescent="0.35">
      <c r="A18" s="97"/>
      <c r="B18" s="97"/>
      <c r="C18" s="97"/>
      <c r="D18" s="100" t="s">
        <v>368</v>
      </c>
      <c r="E18" s="79">
        <f>(C11-65)/(C12/SQRT(C10))</f>
        <v>-3.8188130791298662</v>
      </c>
      <c r="H18" s="97"/>
      <c r="I18" s="97"/>
      <c r="J18" s="97"/>
    </row>
    <row r="19" spans="1:10" x14ac:dyDescent="0.25">
      <c r="A19" s="97"/>
      <c r="B19" s="100" t="s">
        <v>31</v>
      </c>
      <c r="C19" s="127">
        <f>_xlfn.T.INV(0.005,20)</f>
        <v>-2.8453397097861091</v>
      </c>
      <c r="D19" s="97"/>
      <c r="E19" s="97"/>
      <c r="F19" s="97"/>
      <c r="G19" s="97"/>
      <c r="H19" s="97"/>
      <c r="I19" s="97"/>
      <c r="J19" s="97"/>
    </row>
    <row r="20" spans="1:10" x14ac:dyDescent="0.25">
      <c r="A20" s="97"/>
      <c r="B20" s="100" t="s">
        <v>32</v>
      </c>
      <c r="C20" s="79">
        <f>_xlfn.T.INV(0.995,20)</f>
        <v>2.8453397097861086</v>
      </c>
      <c r="D20" s="97"/>
      <c r="E20" s="100" t="s">
        <v>33</v>
      </c>
      <c r="F20" s="229" t="s">
        <v>367</v>
      </c>
      <c r="G20" s="230"/>
      <c r="H20" s="230"/>
      <c r="I20" s="230"/>
      <c r="J20" s="231"/>
    </row>
    <row r="21" spans="1:10" x14ac:dyDescent="0.25">
      <c r="A21" s="97"/>
      <c r="B21" s="97"/>
      <c r="C21" s="97"/>
      <c r="D21" s="97"/>
      <c r="E21" s="97"/>
      <c r="F21" s="97"/>
      <c r="G21" s="97"/>
      <c r="H21" s="97"/>
      <c r="I21" s="97"/>
      <c r="J21" s="97"/>
    </row>
    <row r="22" spans="1:10" x14ac:dyDescent="0.25">
      <c r="A22" s="97"/>
      <c r="B22" s="114">
        <f>ABS(E18)</f>
        <v>3.8188130791298662</v>
      </c>
      <c r="C22" s="115" t="s">
        <v>147</v>
      </c>
      <c r="D22" s="116">
        <f>C20</f>
        <v>2.8453397097861086</v>
      </c>
      <c r="E22" s="116"/>
      <c r="F22" s="116" t="s">
        <v>370</v>
      </c>
      <c r="G22" s="117" t="s">
        <v>308</v>
      </c>
      <c r="H22" s="97"/>
      <c r="I22" s="122" t="s">
        <v>362</v>
      </c>
      <c r="J22" s="122"/>
    </row>
    <row r="23" spans="1:10" x14ac:dyDescent="0.25">
      <c r="A23" s="97"/>
      <c r="B23" s="118"/>
      <c r="C23" s="119"/>
      <c r="D23" s="120"/>
      <c r="E23" s="120"/>
      <c r="F23" s="120" t="s">
        <v>371</v>
      </c>
      <c r="G23" s="121" t="s">
        <v>353</v>
      </c>
      <c r="H23" s="97"/>
      <c r="I23" s="122" t="s">
        <v>372</v>
      </c>
      <c r="J23" s="122"/>
    </row>
    <row r="24" spans="1:10" x14ac:dyDescent="0.25">
      <c r="A24" s="97"/>
      <c r="B24" s="97"/>
      <c r="C24" s="97"/>
      <c r="D24" s="97"/>
      <c r="E24" s="97"/>
      <c r="F24" s="97"/>
      <c r="G24" s="97"/>
      <c r="H24" s="97"/>
      <c r="I24" s="97"/>
      <c r="J24" s="97"/>
    </row>
    <row r="25" spans="1:10" x14ac:dyDescent="0.25">
      <c r="A25" s="97"/>
      <c r="B25" s="97"/>
      <c r="C25" s="97"/>
      <c r="D25" s="97"/>
      <c r="E25" s="97"/>
      <c r="F25" s="97"/>
      <c r="G25" s="97"/>
      <c r="H25" s="97"/>
      <c r="I25" s="97"/>
      <c r="J25" s="97"/>
    </row>
    <row r="26" spans="1:10" x14ac:dyDescent="0.25">
      <c r="B26" s="97" t="s">
        <v>35</v>
      </c>
      <c r="C26" s="97"/>
      <c r="D26" s="97"/>
      <c r="E26" s="97"/>
      <c r="F26" s="97"/>
      <c r="G26" s="97"/>
      <c r="H26" s="97"/>
      <c r="I26" s="97"/>
      <c r="J26" s="97"/>
    </row>
    <row r="27" spans="1:10" x14ac:dyDescent="0.25">
      <c r="B27" s="103" t="s">
        <v>76</v>
      </c>
      <c r="C27" s="97"/>
      <c r="D27" s="86"/>
      <c r="E27" s="97"/>
      <c r="F27" s="97"/>
      <c r="G27" s="97"/>
      <c r="H27" s="97"/>
      <c r="I27" s="97"/>
      <c r="J27" s="97"/>
    </row>
    <row r="28" spans="1:10" s="97" customFormat="1" x14ac:dyDescent="0.25">
      <c r="B28" s="215" t="s">
        <v>154</v>
      </c>
      <c r="C28" s="97">
        <f>C20*C12/SQRT(C10)</f>
        <v>1.8627120854226467</v>
      </c>
      <c r="D28" s="86"/>
    </row>
    <row r="29" spans="1:10" ht="21" x14ac:dyDescent="0.35">
      <c r="B29" s="99" t="s">
        <v>364</v>
      </c>
      <c r="C29" s="22">
        <f>C11-C28</f>
        <v>60.637287914577357</v>
      </c>
      <c r="D29" s="23">
        <f>C11+C28</f>
        <v>64.362712085422643</v>
      </c>
      <c r="E29" s="97"/>
      <c r="F29" s="97"/>
      <c r="G29" s="97"/>
      <c r="H29" s="97"/>
      <c r="I29" s="97"/>
      <c r="J29" s="97"/>
    </row>
    <row r="30" spans="1:10" x14ac:dyDescent="0.25">
      <c r="A30" s="97"/>
      <c r="B30" s="133"/>
      <c r="C30" s="133"/>
      <c r="D30" s="133"/>
      <c r="E30" s="133"/>
      <c r="F30" s="133"/>
      <c r="G30" s="133"/>
      <c r="H30" s="97"/>
      <c r="I30" s="97"/>
      <c r="J30" s="97"/>
    </row>
    <row r="31" spans="1:10" x14ac:dyDescent="0.25">
      <c r="A31" s="132"/>
      <c r="B31" s="47">
        <v>65</v>
      </c>
      <c r="C31" s="139" t="s">
        <v>310</v>
      </c>
      <c r="D31" s="47" t="s">
        <v>365</v>
      </c>
      <c r="E31" s="98"/>
      <c r="F31" s="116" t="s">
        <v>370</v>
      </c>
      <c r="G31" s="117" t="s">
        <v>308</v>
      </c>
      <c r="H31" s="97"/>
      <c r="I31" s="122" t="s">
        <v>369</v>
      </c>
      <c r="J31" s="97"/>
    </row>
    <row r="32" spans="1:10" x14ac:dyDescent="0.25">
      <c r="A32" s="132"/>
      <c r="B32" s="135"/>
      <c r="C32" s="133"/>
      <c r="D32" s="133"/>
      <c r="E32" s="133"/>
      <c r="F32" s="120" t="s">
        <v>371</v>
      </c>
      <c r="G32" s="121" t="s">
        <v>353</v>
      </c>
      <c r="H32" s="97"/>
      <c r="I32" s="122" t="s">
        <v>372</v>
      </c>
      <c r="J32" s="97"/>
    </row>
    <row r="33" spans="1:10" s="97" customFormat="1" x14ac:dyDescent="0.25">
      <c r="A33" s="98"/>
      <c r="B33" s="98"/>
      <c r="C33" s="98"/>
      <c r="D33" s="98"/>
      <c r="E33" s="98"/>
      <c r="F33" s="47"/>
      <c r="G33" s="47"/>
      <c r="I33" s="122"/>
    </row>
    <row r="34" spans="1:10" s="97" customFormat="1" x14ac:dyDescent="0.25">
      <c r="A34" s="98"/>
      <c r="B34" s="98"/>
      <c r="C34" s="98"/>
      <c r="D34" s="98"/>
      <c r="E34" s="98"/>
      <c r="F34" s="47"/>
      <c r="G34" s="47"/>
      <c r="I34" s="122"/>
    </row>
    <row r="35" spans="1:10" x14ac:dyDescent="0.25">
      <c r="A35" s="97"/>
      <c r="B35" s="97"/>
      <c r="C35" s="97"/>
      <c r="D35" s="97"/>
      <c r="E35" s="97"/>
      <c r="F35" s="97"/>
      <c r="G35" s="97"/>
      <c r="H35" s="97"/>
      <c r="I35" s="97"/>
      <c r="J35" s="97"/>
    </row>
    <row r="36" spans="1:10" x14ac:dyDescent="0.25">
      <c r="A36" s="97" t="s">
        <v>38</v>
      </c>
      <c r="B36" s="97"/>
      <c r="C36" s="97"/>
      <c r="D36" s="97"/>
      <c r="E36" s="97"/>
      <c r="F36" s="97"/>
      <c r="G36" s="97"/>
      <c r="H36" s="97"/>
      <c r="I36" s="97"/>
      <c r="J36" s="97"/>
    </row>
    <row r="37" spans="1:10" x14ac:dyDescent="0.25">
      <c r="A37" s="103" t="s">
        <v>225</v>
      </c>
      <c r="B37" s="98"/>
      <c r="C37" s="98"/>
      <c r="D37" s="97"/>
      <c r="E37" s="97"/>
      <c r="F37" s="97"/>
      <c r="G37" s="97"/>
      <c r="H37" s="97"/>
      <c r="I37" s="97"/>
      <c r="J37" s="97"/>
    </row>
    <row r="38" spans="1:10" ht="18" x14ac:dyDescent="0.35">
      <c r="A38" s="97"/>
      <c r="B38" s="100" t="s">
        <v>140</v>
      </c>
      <c r="C38" s="79">
        <f>_xlfn.T.DIST(E18,20,1)</f>
        <v>5.371539810323894E-4</v>
      </c>
      <c r="D38" s="97"/>
      <c r="E38" s="97"/>
      <c r="F38" s="97"/>
      <c r="G38" s="97"/>
      <c r="H38" s="97"/>
      <c r="I38" s="97"/>
      <c r="J38" s="97"/>
    </row>
    <row r="39" spans="1:10" ht="18" x14ac:dyDescent="0.35">
      <c r="A39" s="97"/>
      <c r="B39" s="100" t="s">
        <v>141</v>
      </c>
      <c r="C39" s="79">
        <f>1-C38</f>
        <v>0.99946284601896762</v>
      </c>
      <c r="D39" s="97"/>
      <c r="E39" s="97"/>
      <c r="F39" s="97"/>
      <c r="G39" s="97"/>
      <c r="H39" s="97"/>
      <c r="I39" s="97"/>
      <c r="J39" s="97"/>
    </row>
    <row r="40" spans="1:10" ht="18" x14ac:dyDescent="0.35">
      <c r="A40" s="97"/>
      <c r="B40" s="100" t="s">
        <v>101</v>
      </c>
      <c r="C40" s="79">
        <f>2*MIN(C38:C39)</f>
        <v>1.0743079620647788E-3</v>
      </c>
      <c r="D40" s="97"/>
      <c r="E40" s="97"/>
      <c r="F40" s="97"/>
      <c r="G40" s="97"/>
      <c r="H40" s="97"/>
      <c r="I40" s="97"/>
      <c r="J40" s="97"/>
    </row>
    <row r="41" spans="1:10" x14ac:dyDescent="0.25">
      <c r="A41" s="133"/>
      <c r="B41" s="133"/>
      <c r="C41" s="133"/>
      <c r="D41" s="133"/>
      <c r="E41" s="133"/>
      <c r="F41" s="133"/>
      <c r="G41" s="133"/>
      <c r="H41" s="97"/>
      <c r="I41" s="97"/>
      <c r="J41" s="97"/>
    </row>
    <row r="42" spans="1:10" x14ac:dyDescent="0.25">
      <c r="A42" s="138" t="s">
        <v>39</v>
      </c>
      <c r="B42" s="141">
        <f>C40</f>
        <v>1.0743079620647788E-3</v>
      </c>
      <c r="C42" s="48" t="s">
        <v>134</v>
      </c>
      <c r="D42" s="140">
        <v>0.01</v>
      </c>
      <c r="E42" s="47" t="s">
        <v>142</v>
      </c>
      <c r="F42" s="116" t="s">
        <v>370</v>
      </c>
      <c r="G42" s="117" t="s">
        <v>308</v>
      </c>
      <c r="H42" s="97"/>
      <c r="I42" s="122" t="s">
        <v>369</v>
      </c>
      <c r="J42" s="97"/>
    </row>
    <row r="43" spans="1:10" x14ac:dyDescent="0.25">
      <c r="A43" s="135"/>
      <c r="B43" s="133"/>
      <c r="C43" s="133"/>
      <c r="D43" s="133"/>
      <c r="E43" s="133"/>
      <c r="F43" s="120" t="s">
        <v>371</v>
      </c>
      <c r="G43" s="121" t="s">
        <v>353</v>
      </c>
      <c r="H43" s="97"/>
      <c r="I43" s="122" t="s">
        <v>372</v>
      </c>
      <c r="J43" s="97"/>
    </row>
    <row r="44" spans="1:10" x14ac:dyDescent="0.25">
      <c r="A44" s="97"/>
      <c r="B44" s="97"/>
      <c r="C44" s="97"/>
      <c r="D44" s="97"/>
      <c r="E44" s="97"/>
      <c r="F44" s="97"/>
      <c r="G44" s="97"/>
      <c r="H44" s="97"/>
      <c r="I44" s="97"/>
      <c r="J44" s="97"/>
    </row>
    <row r="45" spans="1:10" x14ac:dyDescent="0.25">
      <c r="A45" s="97"/>
      <c r="B45" s="97"/>
      <c r="C45" s="97"/>
      <c r="D45" s="97"/>
      <c r="E45" s="97"/>
      <c r="F45" s="97"/>
      <c r="G45" s="97"/>
      <c r="H45" s="97"/>
      <c r="J45" s="97"/>
    </row>
    <row r="46" spans="1:10" x14ac:dyDescent="0.25">
      <c r="A46" s="97"/>
      <c r="B46" s="97"/>
      <c r="C46" s="97"/>
      <c r="D46" s="97"/>
      <c r="E46" s="97"/>
      <c r="F46" s="97"/>
      <c r="G46" s="97"/>
      <c r="H46" s="97"/>
      <c r="J46" s="97"/>
    </row>
  </sheetData>
  <mergeCells count="1">
    <mergeCell ref="F20:J20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>
      <selection activeCell="T33" sqref="T33"/>
    </sheetView>
  </sheetViews>
  <sheetFormatPr defaultRowHeight="15" x14ac:dyDescent="0.25"/>
  <sheetData>
    <row r="1" spans="1:2" x14ac:dyDescent="0.25">
      <c r="A1" s="90" t="s">
        <v>41</v>
      </c>
      <c r="B1" s="90" t="s">
        <v>79</v>
      </c>
    </row>
    <row r="2" spans="1:2" x14ac:dyDescent="0.25">
      <c r="A2" s="90"/>
      <c r="B2" s="90" t="s">
        <v>293</v>
      </c>
    </row>
    <row r="3" spans="1:2" x14ac:dyDescent="0.25">
      <c r="A3" s="90"/>
      <c r="B3" s="90" t="s">
        <v>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selection activeCell="E4" sqref="E4"/>
    </sheetView>
  </sheetViews>
  <sheetFormatPr defaultRowHeight="15" x14ac:dyDescent="0.25"/>
  <sheetData>
    <row r="1" spans="1:9" x14ac:dyDescent="0.25">
      <c r="A1" t="s">
        <v>0</v>
      </c>
      <c r="B1" s="91" t="s">
        <v>81</v>
      </c>
      <c r="C1" s="91"/>
      <c r="D1" s="91"/>
      <c r="E1" s="91"/>
      <c r="F1" s="91"/>
      <c r="G1" s="91"/>
      <c r="H1" s="91"/>
      <c r="I1" s="91"/>
    </row>
    <row r="2" spans="1:9" x14ac:dyDescent="0.25">
      <c r="B2" s="91" t="s">
        <v>82</v>
      </c>
      <c r="C2" s="91"/>
      <c r="D2" s="91"/>
      <c r="E2" s="91"/>
      <c r="F2" s="91"/>
      <c r="G2" s="91"/>
      <c r="H2" s="91"/>
      <c r="I2" s="91"/>
    </row>
    <row r="4" spans="1:9" x14ac:dyDescent="0.25">
      <c r="B4" s="92" t="s">
        <v>83</v>
      </c>
    </row>
    <row r="5" spans="1:9" x14ac:dyDescent="0.25">
      <c r="B5" s="92"/>
    </row>
    <row r="6" spans="1:9" x14ac:dyDescent="0.25">
      <c r="B6" s="92">
        <v>0.62</v>
      </c>
    </row>
    <row r="7" spans="1:9" x14ac:dyDescent="0.25">
      <c r="B7" s="92">
        <v>0.64</v>
      </c>
    </row>
    <row r="8" spans="1:9" x14ac:dyDescent="0.25">
      <c r="B8" s="92">
        <v>0.56999999999999995</v>
      </c>
    </row>
    <row r="9" spans="1:9" x14ac:dyDescent="0.25">
      <c r="B9" s="92">
        <v>0.61</v>
      </c>
    </row>
    <row r="10" spans="1:9" x14ac:dyDescent="0.25">
      <c r="B10" s="92">
        <v>0.59</v>
      </c>
    </row>
    <row r="11" spans="1:9" x14ac:dyDescent="0.25">
      <c r="B11" s="92">
        <v>0.56999999999999995</v>
      </c>
    </row>
    <row r="12" spans="1:9" x14ac:dyDescent="0.25">
      <c r="B12" s="92">
        <v>0.62</v>
      </c>
    </row>
    <row r="13" spans="1:9" x14ac:dyDescent="0.25">
      <c r="B13" s="92">
        <v>0.59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workbookViewId="0">
      <selection activeCell="G11" sqref="G11"/>
    </sheetView>
  </sheetViews>
  <sheetFormatPr defaultRowHeight="15" x14ac:dyDescent="0.25"/>
  <sheetData>
    <row r="1" spans="1:2" x14ac:dyDescent="0.25">
      <c r="A1" s="93" t="s">
        <v>41</v>
      </c>
      <c r="B1" s="93" t="s">
        <v>84</v>
      </c>
    </row>
    <row r="2" spans="1:2" x14ac:dyDescent="0.25">
      <c r="A2" s="93"/>
      <c r="B2" s="93" t="s">
        <v>90</v>
      </c>
    </row>
    <row r="3" spans="1:2" x14ac:dyDescent="0.25">
      <c r="A3" s="93"/>
      <c r="B3" s="93" t="s">
        <v>85</v>
      </c>
    </row>
    <row r="4" spans="1:2" x14ac:dyDescent="0.25">
      <c r="A4" s="93"/>
      <c r="B4" s="93" t="s">
        <v>86</v>
      </c>
    </row>
    <row r="5" spans="1:2" x14ac:dyDescent="0.25">
      <c r="A5" s="93"/>
      <c r="B5" s="93" t="s">
        <v>87</v>
      </c>
    </row>
    <row r="6" spans="1:2" x14ac:dyDescent="0.25">
      <c r="A6" s="93"/>
      <c r="B6" s="93" t="s">
        <v>88</v>
      </c>
    </row>
    <row r="7" spans="1:2" x14ac:dyDescent="0.25">
      <c r="A7" s="93"/>
      <c r="B7" s="93" t="s">
        <v>89</v>
      </c>
    </row>
    <row r="8" spans="1:2" x14ac:dyDescent="0.25">
      <c r="A8" s="9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Normal="100" workbookViewId="0">
      <selection activeCell="O19" sqref="O19"/>
    </sheetView>
  </sheetViews>
  <sheetFormatPr defaultRowHeight="15" x14ac:dyDescent="0.25"/>
  <sheetData>
    <row r="1" spans="1:2" x14ac:dyDescent="0.25">
      <c r="A1" s="94" t="s">
        <v>0</v>
      </c>
      <c r="B1" s="94" t="s">
        <v>94</v>
      </c>
    </row>
    <row r="2" spans="1:2" x14ac:dyDescent="0.25">
      <c r="A2" s="94"/>
      <c r="B2" s="94" t="s">
        <v>91</v>
      </c>
    </row>
    <row r="3" spans="1:2" x14ac:dyDescent="0.25">
      <c r="A3" s="94"/>
      <c r="B3" s="94" t="s">
        <v>92</v>
      </c>
    </row>
    <row r="5" spans="1:2" x14ac:dyDescent="0.25">
      <c r="B5" s="95" t="s">
        <v>93</v>
      </c>
    </row>
    <row r="7" spans="1:2" x14ac:dyDescent="0.25">
      <c r="B7" s="96">
        <v>35</v>
      </c>
    </row>
    <row r="8" spans="1:2" x14ac:dyDescent="0.25">
      <c r="B8" s="96">
        <v>39</v>
      </c>
    </row>
    <row r="9" spans="1:2" x14ac:dyDescent="0.25">
      <c r="B9" s="96">
        <v>50</v>
      </c>
    </row>
    <row r="10" spans="1:2" x14ac:dyDescent="0.25">
      <c r="B10" s="96">
        <v>56</v>
      </c>
    </row>
    <row r="11" spans="1:2" x14ac:dyDescent="0.25">
      <c r="B11" s="96">
        <v>65</v>
      </c>
    </row>
    <row r="12" spans="1:2" x14ac:dyDescent="0.25">
      <c r="B12" s="96">
        <v>68</v>
      </c>
    </row>
    <row r="13" spans="1:2" x14ac:dyDescent="0.25">
      <c r="B13" s="96">
        <v>33</v>
      </c>
    </row>
    <row r="14" spans="1:2" x14ac:dyDescent="0.25">
      <c r="B14" s="96">
        <v>45</v>
      </c>
    </row>
    <row r="15" spans="1:2" x14ac:dyDescent="0.25">
      <c r="B15" s="96">
        <v>50</v>
      </c>
    </row>
    <row r="16" spans="1:2" x14ac:dyDescent="0.25">
      <c r="B16" s="96">
        <v>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zoomScaleNormal="100" workbookViewId="0"/>
  </sheetViews>
  <sheetFormatPr defaultRowHeight="15" x14ac:dyDescent="0.25"/>
  <sheetData>
    <row r="1" spans="1:10" x14ac:dyDescent="0.25">
      <c r="A1" s="97" t="s">
        <v>0</v>
      </c>
      <c r="B1" s="97" t="s">
        <v>95</v>
      </c>
      <c r="C1" s="97"/>
      <c r="D1" s="97"/>
      <c r="E1" s="97"/>
      <c r="F1" s="97"/>
      <c r="G1" s="97"/>
      <c r="H1" s="97"/>
      <c r="I1" s="97"/>
      <c r="J1" s="97"/>
    </row>
    <row r="2" spans="1:10" x14ac:dyDescent="0.25">
      <c r="A2" s="97"/>
      <c r="B2" s="97" t="s">
        <v>100</v>
      </c>
      <c r="C2" s="97"/>
      <c r="D2" s="97"/>
      <c r="E2" s="97"/>
      <c r="F2" s="97"/>
      <c r="G2" s="97"/>
      <c r="H2" s="97"/>
      <c r="I2" s="97"/>
      <c r="J2" s="97"/>
    </row>
    <row r="3" spans="1:10" x14ac:dyDescent="0.25">
      <c r="A3" s="97" t="s">
        <v>96</v>
      </c>
      <c r="B3" s="97" t="s">
        <v>97</v>
      </c>
      <c r="C3" s="97"/>
      <c r="D3" s="97"/>
      <c r="E3" s="97"/>
      <c r="F3" s="97"/>
      <c r="G3" s="97"/>
      <c r="H3" s="97"/>
      <c r="I3" s="97"/>
      <c r="J3" s="97"/>
    </row>
    <row r="4" spans="1:10" x14ac:dyDescent="0.25">
      <c r="A4" s="97"/>
      <c r="B4" s="97" t="s">
        <v>98</v>
      </c>
      <c r="C4" s="97"/>
      <c r="D4" s="97"/>
      <c r="E4" s="97"/>
      <c r="F4" s="97"/>
      <c r="G4" s="97"/>
      <c r="H4" s="97"/>
      <c r="I4" s="97"/>
      <c r="J4" s="97"/>
    </row>
    <row r="5" spans="1:10" x14ac:dyDescent="0.25">
      <c r="A5" s="97"/>
      <c r="B5" s="97" t="s">
        <v>99</v>
      </c>
      <c r="C5" s="97"/>
      <c r="D5" s="97"/>
      <c r="E5" s="97"/>
      <c r="F5" s="97"/>
      <c r="G5" s="97"/>
      <c r="H5" s="97"/>
      <c r="I5" s="97"/>
      <c r="J5" s="9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5" zoomScaleNormal="85" workbookViewId="0">
      <selection activeCell="N41" sqref="N41"/>
    </sheetView>
  </sheetViews>
  <sheetFormatPr defaultRowHeight="15" x14ac:dyDescent="0.25"/>
  <cols>
    <col min="1" max="1" width="9.140625" style="97"/>
    <col min="2" max="2" width="26.42578125" style="97" customWidth="1"/>
    <col min="3" max="5" width="9.140625" style="97"/>
    <col min="6" max="6" width="16.28515625" style="97" customWidth="1"/>
    <col min="7" max="16384" width="9.140625" style="97"/>
  </cols>
  <sheetData>
    <row r="1" spans="1:12" x14ac:dyDescent="0.25">
      <c r="A1" s="97" t="s">
        <v>0</v>
      </c>
      <c r="B1" s="97" t="s">
        <v>165</v>
      </c>
    </row>
    <row r="2" spans="1:12" x14ac:dyDescent="0.25">
      <c r="B2" s="97" t="s">
        <v>166</v>
      </c>
    </row>
    <row r="3" spans="1:12" x14ac:dyDescent="0.25">
      <c r="B3" s="97" t="s">
        <v>167</v>
      </c>
    </row>
    <row r="4" spans="1:12" x14ac:dyDescent="0.25">
      <c r="B4" s="154" t="s">
        <v>168</v>
      </c>
      <c r="C4" s="154">
        <v>2.4</v>
      </c>
      <c r="D4" s="154">
        <v>3.8</v>
      </c>
      <c r="E4" s="154">
        <v>1.5</v>
      </c>
      <c r="F4" s="154">
        <v>2.8</v>
      </c>
      <c r="G4" s="154">
        <v>2.4</v>
      </c>
      <c r="H4" s="154">
        <v>3.5</v>
      </c>
      <c r="I4" s="154">
        <v>2.4</v>
      </c>
      <c r="J4" s="154">
        <v>2.8</v>
      </c>
      <c r="K4" s="154">
        <v>2.7</v>
      </c>
      <c r="L4" s="154">
        <v>2.2000000000000002</v>
      </c>
    </row>
    <row r="5" spans="1:12" x14ac:dyDescent="0.25">
      <c r="B5" s="154" t="s">
        <v>169</v>
      </c>
      <c r="C5" s="154">
        <v>3.1</v>
      </c>
      <c r="D5" s="154">
        <v>2.9</v>
      </c>
      <c r="E5" s="154">
        <v>2.9</v>
      </c>
      <c r="F5" s="154">
        <v>3.4</v>
      </c>
      <c r="G5" s="154">
        <v>2.8</v>
      </c>
      <c r="H5" s="154">
        <v>2.5</v>
      </c>
      <c r="I5" s="154">
        <v>3.4</v>
      </c>
      <c r="J5" s="154">
        <v>3</v>
      </c>
      <c r="K5" s="154">
        <v>2.9</v>
      </c>
      <c r="L5" s="154">
        <v>3.2</v>
      </c>
    </row>
    <row r="6" spans="1:12" x14ac:dyDescent="0.25">
      <c r="B6" s="97" t="s">
        <v>170</v>
      </c>
    </row>
    <row r="7" spans="1:12" x14ac:dyDescent="0.25">
      <c r="B7" s="97" t="s">
        <v>171</v>
      </c>
    </row>
    <row r="8" spans="1:12" x14ac:dyDescent="0.25">
      <c r="B8" s="97" t="s">
        <v>172</v>
      </c>
    </row>
    <row r="11" spans="1:12" x14ac:dyDescent="0.25">
      <c r="B11" t="s">
        <v>294</v>
      </c>
      <c r="C11"/>
      <c r="D11"/>
    </row>
    <row r="12" spans="1:12" ht="15.75" thickBot="1" x14ac:dyDescent="0.3">
      <c r="B12"/>
      <c r="C12"/>
      <c r="D12"/>
    </row>
    <row r="13" spans="1:12" x14ac:dyDescent="0.25">
      <c r="B13" s="192"/>
      <c r="C13" s="192" t="s">
        <v>168</v>
      </c>
      <c r="D13" s="192" t="s">
        <v>169</v>
      </c>
    </row>
    <row r="14" spans="1:12" x14ac:dyDescent="0.25">
      <c r="B14" s="111" t="s">
        <v>184</v>
      </c>
      <c r="C14" s="111">
        <v>2.6499999999999995</v>
      </c>
      <c r="D14" s="111">
        <v>3.01</v>
      </c>
    </row>
    <row r="15" spans="1:12" x14ac:dyDescent="0.25">
      <c r="B15" s="111" t="s">
        <v>295</v>
      </c>
      <c r="C15" s="111">
        <v>0.42277777777778014</v>
      </c>
      <c r="D15" s="111">
        <v>7.6555555555555557E-2</v>
      </c>
    </row>
    <row r="16" spans="1:12" x14ac:dyDescent="0.25">
      <c r="B16" s="111" t="s">
        <v>296</v>
      </c>
      <c r="C16" s="111">
        <v>10</v>
      </c>
      <c r="D16" s="111">
        <v>10</v>
      </c>
    </row>
    <row r="17" spans="2:10" x14ac:dyDescent="0.25">
      <c r="B17" s="111" t="s">
        <v>297</v>
      </c>
      <c r="C17" s="111">
        <v>-0.3304203907948961</v>
      </c>
      <c r="D17" s="111"/>
    </row>
    <row r="18" spans="2:10" x14ac:dyDescent="0.25">
      <c r="B18" s="111" t="s">
        <v>298</v>
      </c>
      <c r="C18" s="111">
        <v>0</v>
      </c>
      <c r="D18" s="111"/>
    </row>
    <row r="19" spans="2:10" x14ac:dyDescent="0.25">
      <c r="B19" s="111" t="s">
        <v>299</v>
      </c>
      <c r="C19" s="111">
        <v>9</v>
      </c>
      <c r="D19" s="111"/>
    </row>
    <row r="20" spans="2:10" x14ac:dyDescent="0.25">
      <c r="B20" s="111" t="s">
        <v>300</v>
      </c>
      <c r="C20" s="194">
        <v>-1.4478720844636406</v>
      </c>
      <c r="D20" s="111"/>
    </row>
    <row r="21" spans="2:10" x14ac:dyDescent="0.25">
      <c r="B21" s="111" t="s">
        <v>301</v>
      </c>
      <c r="C21" s="111">
        <v>9.0787522127099743E-2</v>
      </c>
      <c r="D21" s="111"/>
    </row>
    <row r="22" spans="2:10" x14ac:dyDescent="0.25">
      <c r="B22" s="111" t="s">
        <v>302</v>
      </c>
      <c r="C22" s="111">
        <v>1.8331129326562374</v>
      </c>
      <c r="D22" s="111"/>
    </row>
    <row r="23" spans="2:10" x14ac:dyDescent="0.25">
      <c r="B23" s="111" t="s">
        <v>303</v>
      </c>
      <c r="C23" s="111">
        <v>0.18157504425419949</v>
      </c>
      <c r="D23" s="111"/>
      <c r="H23" s="133"/>
      <c r="I23" s="133"/>
    </row>
    <row r="24" spans="2:10" ht="15.75" thickBot="1" x14ac:dyDescent="0.3">
      <c r="B24" s="157" t="s">
        <v>304</v>
      </c>
      <c r="C24" s="157">
        <v>2.2621571627982053</v>
      </c>
      <c r="D24" s="157"/>
      <c r="G24" s="132"/>
      <c r="H24" s="218" t="s">
        <v>382</v>
      </c>
      <c r="I24" s="217"/>
      <c r="J24" s="86"/>
    </row>
    <row r="25" spans="2:10" ht="15.75" thickBot="1" x14ac:dyDescent="0.3"/>
    <row r="26" spans="2:10" x14ac:dyDescent="0.25">
      <c r="B26" s="97" t="s">
        <v>374</v>
      </c>
      <c r="C26" s="97" t="s">
        <v>375</v>
      </c>
      <c r="D26" s="97" t="s">
        <v>376</v>
      </c>
      <c r="F26" s="155" t="s">
        <v>181</v>
      </c>
      <c r="G26" s="155"/>
      <c r="I26" s="100" t="s">
        <v>377</v>
      </c>
      <c r="J26" s="122">
        <f>(G28-0)/(G32/SQRT(G40))</f>
        <v>-1.4478720844636406</v>
      </c>
    </row>
    <row r="27" spans="2:10" x14ac:dyDescent="0.25">
      <c r="B27" s="97">
        <v>2.4</v>
      </c>
      <c r="C27" s="97">
        <v>3.1</v>
      </c>
      <c r="D27" s="97">
        <f>B27-C27</f>
        <v>-0.70000000000000018</v>
      </c>
      <c r="F27" s="111"/>
      <c r="G27" s="111"/>
      <c r="I27" s="100" t="s">
        <v>378</v>
      </c>
      <c r="J27" s="97">
        <f>_xlfn.T.INV(0.025,9)</f>
        <v>-2.2621571627982053</v>
      </c>
    </row>
    <row r="28" spans="2:10" x14ac:dyDescent="0.25">
      <c r="B28" s="97">
        <v>3.8</v>
      </c>
      <c r="C28" s="97">
        <v>2.9</v>
      </c>
      <c r="D28" s="97">
        <f t="shared" ref="D28:D36" si="0">B28-C28</f>
        <v>0.89999999999999991</v>
      </c>
      <c r="F28" s="111" t="s">
        <v>184</v>
      </c>
      <c r="G28" s="111">
        <v>-0.36</v>
      </c>
      <c r="I28" s="100" t="s">
        <v>379</v>
      </c>
      <c r="J28" s="97">
        <f>_xlfn.T.INV(0.975,9)</f>
        <v>2.2621571627982049</v>
      </c>
    </row>
    <row r="29" spans="2:10" x14ac:dyDescent="0.25">
      <c r="B29" s="97">
        <v>1.5</v>
      </c>
      <c r="C29" s="97">
        <v>2.9</v>
      </c>
      <c r="D29" s="97">
        <f t="shared" si="0"/>
        <v>-1.4</v>
      </c>
      <c r="F29" s="111" t="s">
        <v>185</v>
      </c>
      <c r="G29" s="111">
        <v>0.24864074931962019</v>
      </c>
      <c r="I29" s="100" t="s">
        <v>154</v>
      </c>
      <c r="J29" s="97">
        <f>_xlfn.CONFIDENCE.T(0.05,G32,G40)</f>
        <v>0.56246445203689177</v>
      </c>
    </row>
    <row r="30" spans="2:10" x14ac:dyDescent="0.25">
      <c r="B30" s="97">
        <v>2.8</v>
      </c>
      <c r="C30" s="97">
        <v>3.4</v>
      </c>
      <c r="D30" s="97">
        <f t="shared" si="0"/>
        <v>-0.60000000000000009</v>
      </c>
      <c r="F30" s="111" t="s">
        <v>187</v>
      </c>
      <c r="G30" s="111">
        <v>-0.5</v>
      </c>
      <c r="I30" s="100" t="s">
        <v>344</v>
      </c>
      <c r="J30" s="97">
        <f>_xlfn.T.DIST(J26,9,1)</f>
        <v>9.0787522127099743E-2</v>
      </c>
    </row>
    <row r="31" spans="2:10" x14ac:dyDescent="0.25">
      <c r="B31" s="97">
        <v>2.4</v>
      </c>
      <c r="C31" s="97">
        <v>2.8</v>
      </c>
      <c r="D31" s="97">
        <f t="shared" si="0"/>
        <v>-0.39999999999999991</v>
      </c>
      <c r="F31" s="111" t="s">
        <v>189</v>
      </c>
      <c r="G31" s="111">
        <v>-1</v>
      </c>
      <c r="I31" s="100" t="s">
        <v>380</v>
      </c>
      <c r="J31" s="97">
        <f>1-J30</f>
        <v>0.90921247787290027</v>
      </c>
    </row>
    <row r="32" spans="2:10" x14ac:dyDescent="0.25">
      <c r="B32" s="97">
        <v>3.5</v>
      </c>
      <c r="C32" s="97">
        <v>2.5</v>
      </c>
      <c r="D32" s="97">
        <f t="shared" si="0"/>
        <v>1</v>
      </c>
      <c r="F32" s="111" t="s">
        <v>190</v>
      </c>
      <c r="G32" s="111">
        <v>0.78627108698096115</v>
      </c>
      <c r="I32" s="100" t="s">
        <v>39</v>
      </c>
      <c r="J32" s="97">
        <f>2*MIN(J30:J31)</f>
        <v>0.18157504425419949</v>
      </c>
    </row>
    <row r="33" spans="2:10" x14ac:dyDescent="0.25">
      <c r="B33" s="97">
        <v>2.4</v>
      </c>
      <c r="C33" s="97">
        <v>3.4</v>
      </c>
      <c r="D33" s="97">
        <f t="shared" si="0"/>
        <v>-1</v>
      </c>
      <c r="F33" s="111" t="s">
        <v>192</v>
      </c>
      <c r="G33" s="111">
        <v>0.61822222222222223</v>
      </c>
    </row>
    <row r="34" spans="2:10" x14ac:dyDescent="0.25">
      <c r="B34" s="97">
        <v>2.8</v>
      </c>
      <c r="C34" s="97">
        <v>3</v>
      </c>
      <c r="D34" s="97">
        <f t="shared" si="0"/>
        <v>-0.20000000000000018</v>
      </c>
      <c r="F34" s="111" t="s">
        <v>194</v>
      </c>
      <c r="G34" s="111">
        <v>-7.6471480305878359E-2</v>
      </c>
      <c r="I34" s="100" t="s">
        <v>381</v>
      </c>
    </row>
    <row r="35" spans="2:10" x14ac:dyDescent="0.25">
      <c r="B35" s="97">
        <v>2.7</v>
      </c>
      <c r="C35" s="97">
        <v>2.9</v>
      </c>
      <c r="D35" s="97">
        <f t="shared" si="0"/>
        <v>-0.19999999999999973</v>
      </c>
      <c r="F35" s="111" t="s">
        <v>196</v>
      </c>
      <c r="G35" s="111">
        <v>0.80622887008344812</v>
      </c>
      <c r="I35" s="216">
        <f>G28-J29</f>
        <v>-0.92246445203689176</v>
      </c>
      <c r="J35" s="11">
        <f>G28+J29</f>
        <v>0.20246445203689178</v>
      </c>
    </row>
    <row r="36" spans="2:10" x14ac:dyDescent="0.25">
      <c r="B36" s="97">
        <v>2.2000000000000002</v>
      </c>
      <c r="C36" s="97">
        <v>3.2</v>
      </c>
      <c r="D36" s="97">
        <f t="shared" si="0"/>
        <v>-1</v>
      </c>
      <c r="F36" s="111" t="s">
        <v>197</v>
      </c>
      <c r="G36" s="111">
        <v>2.4</v>
      </c>
    </row>
    <row r="37" spans="2:10" x14ac:dyDescent="0.25">
      <c r="F37" s="111" t="s">
        <v>199</v>
      </c>
      <c r="G37" s="111">
        <v>-1.4</v>
      </c>
    </row>
    <row r="38" spans="2:10" x14ac:dyDescent="0.25">
      <c r="F38" s="111" t="s">
        <v>200</v>
      </c>
      <c r="G38" s="111">
        <v>1</v>
      </c>
    </row>
    <row r="39" spans="2:10" x14ac:dyDescent="0.25">
      <c r="F39" s="111" t="s">
        <v>201</v>
      </c>
      <c r="G39" s="111">
        <v>-3.6</v>
      </c>
    </row>
    <row r="40" spans="2:10" x14ac:dyDescent="0.25">
      <c r="F40" s="111" t="s">
        <v>202</v>
      </c>
      <c r="G40" s="111">
        <v>10</v>
      </c>
    </row>
    <row r="41" spans="2:10" ht="15.75" thickBot="1" x14ac:dyDescent="0.3">
      <c r="F41" s="157" t="s">
        <v>204</v>
      </c>
      <c r="G41" s="157">
        <v>0.56246445203689166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0"/>
  <sheetViews>
    <sheetView zoomScaleNormal="100" workbookViewId="0">
      <selection activeCell="Q33" sqref="Q33"/>
    </sheetView>
  </sheetViews>
  <sheetFormatPr defaultRowHeight="15" x14ac:dyDescent="0.25"/>
  <cols>
    <col min="1" max="1" width="6.42578125" style="97" customWidth="1"/>
    <col min="2" max="2" width="9.140625" style="97"/>
    <col min="3" max="3" width="22.42578125" style="97" customWidth="1"/>
    <col min="4" max="8" width="9.140625" style="97"/>
    <col min="9" max="9" width="9.140625" style="97" customWidth="1"/>
    <col min="10" max="17" width="9.140625" style="97"/>
    <col min="18" max="18" width="14.7109375" style="97" customWidth="1"/>
    <col min="19" max="19" width="37.140625" style="97" customWidth="1"/>
    <col min="20" max="16384" width="9.140625" style="97"/>
  </cols>
  <sheetData>
    <row r="1" spans="1:20" x14ac:dyDescent="0.25">
      <c r="A1" s="97" t="s">
        <v>0</v>
      </c>
      <c r="B1" s="97" t="s">
        <v>173</v>
      </c>
    </row>
    <row r="2" spans="1:20" x14ac:dyDescent="0.25">
      <c r="B2" s="97">
        <v>6.5</v>
      </c>
      <c r="C2" s="97">
        <v>6.8</v>
      </c>
      <c r="D2" s="97">
        <v>6.7</v>
      </c>
      <c r="E2" s="97">
        <v>6</v>
      </c>
      <c r="F2" s="97">
        <v>5.6</v>
      </c>
      <c r="G2" s="97">
        <v>6.6</v>
      </c>
      <c r="H2" s="97">
        <v>5.5</v>
      </c>
      <c r="I2" s="97">
        <v>6.4</v>
      </c>
      <c r="J2" s="97">
        <v>5.5</v>
      </c>
      <c r="K2" s="97">
        <v>6.5</v>
      </c>
    </row>
    <row r="3" spans="1:20" x14ac:dyDescent="0.25">
      <c r="B3" s="97">
        <v>6.3</v>
      </c>
      <c r="C3" s="97">
        <v>6.2</v>
      </c>
      <c r="D3" s="97">
        <v>6.3</v>
      </c>
      <c r="E3" s="97">
        <v>5.9</v>
      </c>
      <c r="F3" s="97">
        <v>5.8</v>
      </c>
      <c r="G3" s="97">
        <v>6.4</v>
      </c>
      <c r="H3" s="97">
        <v>6.5</v>
      </c>
      <c r="I3" s="97">
        <v>6.3</v>
      </c>
      <c r="J3" s="97">
        <v>5.7</v>
      </c>
      <c r="K3" s="97">
        <v>6.1</v>
      </c>
    </row>
    <row r="4" spans="1:20" x14ac:dyDescent="0.25">
      <c r="B4" s="97" t="s">
        <v>174</v>
      </c>
    </row>
    <row r="5" spans="1:20" x14ac:dyDescent="0.25">
      <c r="B5" s="97" t="s">
        <v>175</v>
      </c>
    </row>
    <row r="6" spans="1:20" x14ac:dyDescent="0.25">
      <c r="B6" s="97" t="s">
        <v>176</v>
      </c>
    </row>
    <row r="7" spans="1:20" x14ac:dyDescent="0.25">
      <c r="B7" s="97" t="s">
        <v>177</v>
      </c>
    </row>
    <row r="9" spans="1:20" x14ac:dyDescent="0.25">
      <c r="B9" s="97" t="s">
        <v>178</v>
      </c>
    </row>
    <row r="10" spans="1:20" ht="15.75" thickBot="1" x14ac:dyDescent="0.3">
      <c r="B10" s="97" t="s">
        <v>179</v>
      </c>
      <c r="F10" s="97" t="s">
        <v>180</v>
      </c>
    </row>
    <row r="11" spans="1:20" x14ac:dyDescent="0.25">
      <c r="A11" s="97">
        <v>6.5</v>
      </c>
      <c r="C11" s="155" t="s">
        <v>181</v>
      </c>
      <c r="D11" s="155"/>
      <c r="F11" s="97" t="s">
        <v>182</v>
      </c>
      <c r="R11" s="98"/>
      <c r="S11" s="98"/>
      <c r="T11" s="98"/>
    </row>
    <row r="12" spans="1:20" x14ac:dyDescent="0.25">
      <c r="A12" s="97">
        <v>6.8</v>
      </c>
      <c r="C12" s="111"/>
      <c r="D12" s="111"/>
      <c r="F12" s="156" t="s">
        <v>183</v>
      </c>
      <c r="H12" s="109">
        <f>D13</f>
        <v>6.1800000000000006</v>
      </c>
      <c r="I12" s="109">
        <f>D24/D25</f>
        <v>6.1800000000000006</v>
      </c>
      <c r="R12" s="98"/>
      <c r="S12" s="98"/>
      <c r="T12" s="98"/>
    </row>
    <row r="13" spans="1:20" x14ac:dyDescent="0.25">
      <c r="A13" s="97">
        <v>6.7</v>
      </c>
      <c r="C13" s="111" t="s">
        <v>184</v>
      </c>
      <c r="D13" s="111">
        <v>6.1800000000000006</v>
      </c>
      <c r="R13" s="178"/>
      <c r="S13" s="178"/>
      <c r="T13" s="178"/>
    </row>
    <row r="14" spans="1:20" x14ac:dyDescent="0.25">
      <c r="A14" s="97">
        <v>6</v>
      </c>
      <c r="C14" s="111" t="s">
        <v>185</v>
      </c>
      <c r="D14" s="111">
        <v>8.9324953783481195E-2</v>
      </c>
      <c r="F14" s="97" t="s">
        <v>186</v>
      </c>
      <c r="R14" s="111"/>
      <c r="S14" s="111"/>
      <c r="T14" s="111"/>
    </row>
    <row r="15" spans="1:20" x14ac:dyDescent="0.25">
      <c r="A15" s="97">
        <v>5.6</v>
      </c>
      <c r="C15" s="111" t="s">
        <v>187</v>
      </c>
      <c r="D15" s="111">
        <v>6.3</v>
      </c>
      <c r="F15" s="97" t="s">
        <v>188</v>
      </c>
      <c r="H15" s="109">
        <f>D14</f>
        <v>8.9324953783481195E-2</v>
      </c>
      <c r="I15" s="109">
        <f>D17/SQRT(D25)</f>
        <v>8.9324953783481195E-2</v>
      </c>
      <c r="R15" s="111"/>
      <c r="S15" s="111"/>
      <c r="T15" s="111"/>
    </row>
    <row r="16" spans="1:20" x14ac:dyDescent="0.25">
      <c r="A16" s="97">
        <v>6.6</v>
      </c>
      <c r="C16" s="111" t="s">
        <v>189</v>
      </c>
      <c r="D16" s="111">
        <v>6.5</v>
      </c>
      <c r="R16" s="111"/>
      <c r="S16" s="111"/>
      <c r="T16" s="111"/>
    </row>
    <row r="17" spans="1:20" x14ac:dyDescent="0.25">
      <c r="A17" s="97">
        <v>5.5</v>
      </c>
      <c r="C17" s="111" t="s">
        <v>190</v>
      </c>
      <c r="D17" s="111">
        <v>0.399473337493782</v>
      </c>
      <c r="F17" s="97" t="s">
        <v>191</v>
      </c>
      <c r="R17" s="111"/>
      <c r="S17" s="111"/>
      <c r="T17" s="111"/>
    </row>
    <row r="18" spans="1:20" x14ac:dyDescent="0.25">
      <c r="A18" s="97">
        <v>6.4</v>
      </c>
      <c r="C18" s="111" t="s">
        <v>192</v>
      </c>
      <c r="D18" s="111">
        <v>0.15957894736842104</v>
      </c>
      <c r="F18" s="97" t="s">
        <v>193</v>
      </c>
      <c r="R18" s="111"/>
      <c r="S18" s="111"/>
      <c r="T18" s="111"/>
    </row>
    <row r="19" spans="1:20" x14ac:dyDescent="0.25">
      <c r="A19" s="97">
        <v>5.5</v>
      </c>
      <c r="C19" s="111" t="s">
        <v>194</v>
      </c>
      <c r="D19" s="111">
        <v>-0.95570062946962508</v>
      </c>
      <c r="F19" s="109">
        <f>D13-D26</f>
        <v>5.993040723072264</v>
      </c>
      <c r="G19" s="96" t="s">
        <v>195</v>
      </c>
      <c r="H19" s="109">
        <f>D13+D26</f>
        <v>6.3669592769277372</v>
      </c>
      <c r="R19" s="111"/>
      <c r="S19" s="111"/>
      <c r="T19" s="111"/>
    </row>
    <row r="20" spans="1:20" x14ac:dyDescent="0.25">
      <c r="A20" s="97">
        <v>6.5</v>
      </c>
      <c r="C20" s="111" t="s">
        <v>196</v>
      </c>
      <c r="D20" s="111">
        <v>-0.40356565804378436</v>
      </c>
      <c r="R20" s="111"/>
      <c r="S20" s="111"/>
      <c r="T20" s="111"/>
    </row>
    <row r="21" spans="1:20" x14ac:dyDescent="0.25">
      <c r="A21" s="97">
        <v>6.3</v>
      </c>
      <c r="C21" s="111" t="s">
        <v>197</v>
      </c>
      <c r="D21" s="111">
        <v>1.2999999999999998</v>
      </c>
      <c r="F21" s="97" t="s">
        <v>198</v>
      </c>
      <c r="H21" s="109">
        <f>_xlfn.T.INV(1-0.05/2,D25-1)</f>
        <v>2.0930240544083087</v>
      </c>
      <c r="R21" s="111"/>
      <c r="S21" s="111"/>
      <c r="T21" s="111"/>
    </row>
    <row r="22" spans="1:20" x14ac:dyDescent="0.25">
      <c r="A22" s="97">
        <v>6.2</v>
      </c>
      <c r="C22" s="111" t="s">
        <v>199</v>
      </c>
      <c r="D22" s="111">
        <v>5.5</v>
      </c>
      <c r="F22" s="97" t="s">
        <v>154</v>
      </c>
      <c r="H22" s="109">
        <f>H21*D14</f>
        <v>0.18695927692773662</v>
      </c>
      <c r="R22" s="111"/>
      <c r="S22" s="111"/>
      <c r="T22" s="111"/>
    </row>
    <row r="23" spans="1:20" x14ac:dyDescent="0.25">
      <c r="A23" s="97">
        <v>6.3</v>
      </c>
      <c r="C23" s="111" t="s">
        <v>200</v>
      </c>
      <c r="D23" s="111">
        <v>6.8</v>
      </c>
      <c r="R23" s="111"/>
      <c r="S23" s="111"/>
      <c r="T23" s="111"/>
    </row>
    <row r="24" spans="1:20" x14ac:dyDescent="0.25">
      <c r="A24" s="97">
        <v>5.9</v>
      </c>
      <c r="C24" s="111" t="s">
        <v>201</v>
      </c>
      <c r="D24" s="111">
        <v>123.60000000000001</v>
      </c>
      <c r="R24" s="111"/>
      <c r="S24" s="111"/>
      <c r="T24" s="111"/>
    </row>
    <row r="25" spans="1:20" x14ac:dyDescent="0.25">
      <c r="A25" s="97">
        <v>5.8</v>
      </c>
      <c r="C25" s="111" t="s">
        <v>202</v>
      </c>
      <c r="D25" s="111">
        <v>20</v>
      </c>
      <c r="F25" s="97" t="s">
        <v>203</v>
      </c>
    </row>
    <row r="26" spans="1:20" ht="15.75" thickBot="1" x14ac:dyDescent="0.3">
      <c r="A26" s="97">
        <v>6.4</v>
      </c>
      <c r="C26" s="157" t="s">
        <v>204</v>
      </c>
      <c r="D26" s="157">
        <v>0.18695927692773662</v>
      </c>
      <c r="G26" s="158" t="s">
        <v>205</v>
      </c>
      <c r="H26" s="109">
        <f>D13+D29</f>
        <v>6.3344547084746479</v>
      </c>
    </row>
    <row r="27" spans="1:20" x14ac:dyDescent="0.25">
      <c r="A27" s="97">
        <v>6.5</v>
      </c>
      <c r="C27" s="155" t="s">
        <v>181</v>
      </c>
      <c r="D27" s="155"/>
    </row>
    <row r="28" spans="1:20" x14ac:dyDescent="0.25">
      <c r="A28" s="97">
        <v>6.3</v>
      </c>
      <c r="C28" s="111"/>
      <c r="D28" s="111"/>
      <c r="F28" s="97" t="s">
        <v>198</v>
      </c>
      <c r="H28" s="109">
        <f>_xlfn.T.INV(1-0.05,D25-1)</f>
        <v>1.7291328115213698</v>
      </c>
    </row>
    <row r="29" spans="1:20" ht="15.75" thickBot="1" x14ac:dyDescent="0.3">
      <c r="A29" s="97">
        <v>5.7</v>
      </c>
      <c r="C29" s="157" t="s">
        <v>206</v>
      </c>
      <c r="D29" s="157">
        <v>0.15445470847464726</v>
      </c>
      <c r="F29" s="97" t="s">
        <v>154</v>
      </c>
      <c r="H29" s="109">
        <f>H28*D14</f>
        <v>0.15445470847464726</v>
      </c>
    </row>
    <row r="30" spans="1:20" x14ac:dyDescent="0.25">
      <c r="A30" s="97">
        <v>6.1</v>
      </c>
    </row>
  </sheetData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topLeftCell="A10" workbookViewId="0">
      <selection activeCell="N35" sqref="N35"/>
    </sheetView>
  </sheetViews>
  <sheetFormatPr defaultRowHeight="15" x14ac:dyDescent="0.25"/>
  <cols>
    <col min="1" max="1" width="17.140625" style="97" customWidth="1"/>
    <col min="2" max="2" width="10.7109375" style="97" customWidth="1"/>
    <col min="3" max="9" width="9.140625" style="97"/>
    <col min="10" max="10" width="5.5703125" style="97" customWidth="1"/>
    <col min="11" max="11" width="12" style="97" customWidth="1"/>
    <col min="12" max="13" width="9.140625" style="97"/>
    <col min="14" max="14" width="16.85546875" style="97" customWidth="1"/>
    <col min="15" max="16" width="9.140625" style="97"/>
    <col min="17" max="17" width="20" style="97" customWidth="1"/>
    <col min="18" max="18" width="9.140625" style="97"/>
    <col min="19" max="19" width="14.5703125" style="97" customWidth="1"/>
    <col min="20" max="16384" width="9.140625" style="97"/>
  </cols>
  <sheetData>
    <row r="1" spans="1:20" x14ac:dyDescent="0.25">
      <c r="A1" s="97" t="s">
        <v>226</v>
      </c>
    </row>
    <row r="2" spans="1:20" x14ac:dyDescent="0.25">
      <c r="A2" s="97" t="s">
        <v>227</v>
      </c>
      <c r="D2" s="79">
        <v>0.05</v>
      </c>
      <c r="E2" s="97" t="s">
        <v>228</v>
      </c>
    </row>
    <row r="3" spans="1:20" ht="69" customHeight="1" x14ac:dyDescent="0.25">
      <c r="K3" s="97" t="s">
        <v>229</v>
      </c>
      <c r="N3" s="232" t="s">
        <v>230</v>
      </c>
      <c r="O3" s="232"/>
      <c r="Q3" s="160" t="s">
        <v>231</v>
      </c>
      <c r="R3" s="160"/>
      <c r="S3" s="161" t="s">
        <v>259</v>
      </c>
    </row>
    <row r="4" spans="1:20" x14ac:dyDescent="0.25">
      <c r="A4" s="97" t="s">
        <v>232</v>
      </c>
      <c r="B4" s="97">
        <v>5.89</v>
      </c>
      <c r="C4" s="97">
        <v>5.98</v>
      </c>
      <c r="D4" s="97">
        <v>5.69</v>
      </c>
      <c r="E4" s="97">
        <v>5.74</v>
      </c>
      <c r="F4" s="97">
        <v>5.7</v>
      </c>
      <c r="I4" s="100" t="s">
        <v>233</v>
      </c>
      <c r="J4" s="162">
        <f>COUNT(B4:G4)</f>
        <v>5</v>
      </c>
      <c r="K4" s="100" t="s">
        <v>234</v>
      </c>
      <c r="L4" s="162">
        <f>AVERAGE(B4:F4)</f>
        <v>5.8000000000000007</v>
      </c>
      <c r="N4" s="100" t="s">
        <v>235</v>
      </c>
      <c r="O4" s="162">
        <f>L4-$L$8</f>
        <v>8.6666666666674885E-3</v>
      </c>
      <c r="Q4" s="109">
        <f>O4^2</f>
        <v>7.5111111111125352E-5</v>
      </c>
      <c r="S4" s="109">
        <f>DEVSQ(B4:F4)</f>
        <v>6.6199999999999953E-2</v>
      </c>
    </row>
    <row r="5" spans="1:20" x14ac:dyDescent="0.25">
      <c r="A5" s="97" t="s">
        <v>236</v>
      </c>
      <c r="B5" s="97">
        <v>5.81</v>
      </c>
      <c r="C5" s="97">
        <v>5.9</v>
      </c>
      <c r="D5" s="97">
        <v>5.63</v>
      </c>
      <c r="E5" s="97">
        <v>5.71</v>
      </c>
      <c r="I5" s="100" t="s">
        <v>233</v>
      </c>
      <c r="J5" s="162">
        <f t="shared" ref="J5:J6" si="0">COUNT(B5:G5)</f>
        <v>4</v>
      </c>
      <c r="K5" s="100" t="s">
        <v>237</v>
      </c>
      <c r="L5" s="162">
        <f>AVERAGE(B5:E5)</f>
        <v>5.7625000000000002</v>
      </c>
      <c r="N5" s="100" t="s">
        <v>238</v>
      </c>
      <c r="O5" s="162">
        <f>L5-$L$8</f>
        <v>-2.8833333333333044E-2</v>
      </c>
      <c r="Q5" s="109">
        <f t="shared" ref="Q5:Q6" si="1">O5^2</f>
        <v>8.3136111111109447E-4</v>
      </c>
      <c r="S5" s="109">
        <f>DEVSQ(B5:E5)</f>
        <v>4.1475000000000088E-2</v>
      </c>
    </row>
    <row r="6" spans="1:20" x14ac:dyDescent="0.25">
      <c r="A6" s="97" t="s">
        <v>239</v>
      </c>
      <c r="B6" s="97">
        <v>5.8</v>
      </c>
      <c r="C6" s="97">
        <v>5.99</v>
      </c>
      <c r="D6" s="97">
        <v>5.62</v>
      </c>
      <c r="E6" s="97">
        <v>6</v>
      </c>
      <c r="F6" s="97">
        <v>5.7</v>
      </c>
      <c r="G6" s="97">
        <v>5.71</v>
      </c>
      <c r="I6" s="100" t="s">
        <v>233</v>
      </c>
      <c r="J6" s="162">
        <f t="shared" si="0"/>
        <v>6</v>
      </c>
      <c r="K6" s="100" t="s">
        <v>240</v>
      </c>
      <c r="L6" s="162">
        <f>AVERAGE(B6:G6)</f>
        <v>5.8033333333333337</v>
      </c>
      <c r="N6" s="100" t="s">
        <v>241</v>
      </c>
      <c r="O6" s="162">
        <f t="shared" ref="O6" si="2">L6-$L$8</f>
        <v>1.2000000000000455E-2</v>
      </c>
      <c r="Q6" s="109">
        <f t="shared" si="1"/>
        <v>1.4400000000001093E-4</v>
      </c>
      <c r="S6" s="109">
        <f>DEVSQ(B6:G6)</f>
        <v>0.12653333333333333</v>
      </c>
    </row>
    <row r="7" spans="1:20" x14ac:dyDescent="0.25">
      <c r="J7" s="168">
        <f>SUM(J4:J6)</f>
        <v>15</v>
      </c>
      <c r="O7" s="163">
        <f>SUM(O4:O6)</f>
        <v>-8.1666666666651011E-3</v>
      </c>
      <c r="Q7" s="164">
        <f>Q4*J4+Q5*J5+Q6*J6</f>
        <v>4.5650000000000699E-3</v>
      </c>
      <c r="S7" s="165">
        <f>SUM(S4:S6)</f>
        <v>0.23420833333333338</v>
      </c>
    </row>
    <row r="8" spans="1:20" x14ac:dyDescent="0.25">
      <c r="A8" s="166" t="s">
        <v>414</v>
      </c>
      <c r="K8" s="100" t="s">
        <v>242</v>
      </c>
      <c r="L8" s="109">
        <f>AVERAGE(B4:F4,B5:E5,B6:G6)</f>
        <v>5.7913333333333332</v>
      </c>
    </row>
    <row r="9" spans="1:20" x14ac:dyDescent="0.25">
      <c r="G9" s="167" t="s">
        <v>243</v>
      </c>
    </row>
    <row r="10" spans="1:20" x14ac:dyDescent="0.25">
      <c r="A10" s="78" t="s">
        <v>244</v>
      </c>
      <c r="B10" s="78"/>
      <c r="C10" s="78"/>
      <c r="D10" s="78"/>
      <c r="E10" s="78"/>
      <c r="J10" s="97" t="s">
        <v>245</v>
      </c>
      <c r="K10" s="97">
        <v>5.89</v>
      </c>
      <c r="L10" s="109"/>
      <c r="N10"/>
      <c r="O10"/>
      <c r="P10"/>
      <c r="Q10"/>
      <c r="R10"/>
      <c r="S10"/>
      <c r="T10"/>
    </row>
    <row r="11" spans="1:20" x14ac:dyDescent="0.25">
      <c r="A11" s="78"/>
      <c r="B11" s="78"/>
      <c r="C11" s="78"/>
      <c r="D11" s="78"/>
      <c r="E11" s="78"/>
      <c r="K11" s="97">
        <v>5.98</v>
      </c>
      <c r="L11" s="109"/>
      <c r="N11"/>
      <c r="O11"/>
      <c r="P11"/>
      <c r="Q11"/>
      <c r="R11"/>
      <c r="S11"/>
      <c r="T11"/>
    </row>
    <row r="12" spans="1:20" ht="15.75" thickBot="1" x14ac:dyDescent="0.3">
      <c r="A12" t="s">
        <v>246</v>
      </c>
      <c r="B12"/>
      <c r="C12"/>
      <c r="D12"/>
      <c r="E12"/>
      <c r="K12" s="97">
        <v>5.69</v>
      </c>
      <c r="L12" s="109"/>
      <c r="S12"/>
      <c r="T12"/>
    </row>
    <row r="13" spans="1:20" x14ac:dyDescent="0.25">
      <c r="A13" s="192" t="s">
        <v>387</v>
      </c>
      <c r="B13" s="192" t="s">
        <v>202</v>
      </c>
      <c r="C13" s="192" t="s">
        <v>201</v>
      </c>
      <c r="D13" s="192" t="s">
        <v>388</v>
      </c>
      <c r="E13" s="192" t="s">
        <v>295</v>
      </c>
      <c r="K13" s="97">
        <v>5.74</v>
      </c>
      <c r="L13" s="109"/>
      <c r="S13"/>
      <c r="T13"/>
    </row>
    <row r="14" spans="1:20" x14ac:dyDescent="0.25">
      <c r="A14" s="111" t="s">
        <v>232</v>
      </c>
      <c r="B14" s="111">
        <v>5</v>
      </c>
      <c r="C14" s="111">
        <v>29.000000000000004</v>
      </c>
      <c r="D14" s="111">
        <v>5.8000000000000007</v>
      </c>
      <c r="E14" s="111">
        <v>1.6549999999999988E-2</v>
      </c>
      <c r="K14" s="97">
        <v>5.7</v>
      </c>
      <c r="L14" s="109"/>
      <c r="S14"/>
      <c r="T14"/>
    </row>
    <row r="15" spans="1:20" x14ac:dyDescent="0.25">
      <c r="A15" s="111" t="s">
        <v>236</v>
      </c>
      <c r="B15" s="111">
        <v>4</v>
      </c>
      <c r="C15" s="111">
        <v>23.05</v>
      </c>
      <c r="D15" s="111">
        <v>5.7625000000000002</v>
      </c>
      <c r="E15" s="111">
        <v>1.382500000000003E-2</v>
      </c>
      <c r="J15" s="97" t="s">
        <v>247</v>
      </c>
      <c r="K15" s="97">
        <v>5.81</v>
      </c>
      <c r="L15" s="109"/>
      <c r="S15"/>
      <c r="T15"/>
    </row>
    <row r="16" spans="1:20" ht="15.75" thickBot="1" x14ac:dyDescent="0.3">
      <c r="A16" s="157" t="s">
        <v>239</v>
      </c>
      <c r="B16" s="157">
        <v>6</v>
      </c>
      <c r="C16" s="157">
        <v>34.82</v>
      </c>
      <c r="D16" s="157">
        <v>5.8033333333333337</v>
      </c>
      <c r="E16" s="157">
        <v>2.5306666666666665E-2</v>
      </c>
      <c r="K16" s="97">
        <v>5.9</v>
      </c>
      <c r="L16" s="109"/>
      <c r="S16"/>
      <c r="T16"/>
    </row>
    <row r="17" spans="1:21" x14ac:dyDescent="0.25">
      <c r="A17" s="78"/>
      <c r="B17" s="78"/>
      <c r="C17" s="78"/>
      <c r="D17" s="78"/>
      <c r="E17" s="78"/>
      <c r="F17" s="78"/>
      <c r="G17" s="78"/>
      <c r="K17" s="97">
        <v>5.63</v>
      </c>
      <c r="L17" s="109"/>
      <c r="N17"/>
      <c r="O17"/>
      <c r="P17"/>
      <c r="Q17"/>
      <c r="R17"/>
      <c r="S17"/>
      <c r="T17"/>
    </row>
    <row r="18" spans="1:21" x14ac:dyDescent="0.25">
      <c r="A18" s="78"/>
      <c r="B18" s="78"/>
      <c r="C18" s="78"/>
      <c r="D18" s="78"/>
      <c r="E18" s="78"/>
      <c r="F18" s="78"/>
      <c r="G18" s="78"/>
      <c r="K18" s="97">
        <v>5.71</v>
      </c>
      <c r="L18" s="109"/>
      <c r="N18"/>
      <c r="O18"/>
      <c r="P18"/>
      <c r="Q18"/>
      <c r="R18"/>
      <c r="S18"/>
      <c r="T18"/>
    </row>
    <row r="19" spans="1:21" ht="15.75" thickBot="1" x14ac:dyDescent="0.3">
      <c r="A19" s="97" t="s">
        <v>389</v>
      </c>
      <c r="C19" s="78"/>
      <c r="D19" s="78"/>
      <c r="E19" s="78"/>
      <c r="F19" s="78"/>
      <c r="G19" s="78"/>
      <c r="J19" s="97" t="s">
        <v>248</v>
      </c>
      <c r="K19" s="97">
        <v>5.8</v>
      </c>
      <c r="L19" s="109"/>
      <c r="N19" s="98"/>
      <c r="O19" s="98"/>
      <c r="P19" s="98"/>
      <c r="Q19" s="98"/>
      <c r="R19" s="98"/>
      <c r="S19" s="98"/>
      <c r="T19" s="98"/>
      <c r="U19" s="98"/>
    </row>
    <row r="20" spans="1:21" x14ac:dyDescent="0.25">
      <c r="A20" s="192" t="s">
        <v>390</v>
      </c>
      <c r="B20" s="192" t="s">
        <v>391</v>
      </c>
      <c r="C20" s="192" t="s">
        <v>299</v>
      </c>
      <c r="D20" s="192" t="s">
        <v>392</v>
      </c>
      <c r="E20" s="192" t="s">
        <v>393</v>
      </c>
      <c r="F20" s="192" t="s">
        <v>394</v>
      </c>
      <c r="G20" s="192" t="s">
        <v>395</v>
      </c>
      <c r="K20" s="97">
        <v>5.99</v>
      </c>
      <c r="L20" s="109"/>
      <c r="N20" s="178"/>
      <c r="O20" s="178"/>
      <c r="P20" s="178"/>
      <c r="Q20" s="178"/>
      <c r="R20" s="178"/>
      <c r="S20" s="178"/>
      <c r="T20" s="178"/>
      <c r="U20" s="98"/>
    </row>
    <row r="21" spans="1:21" x14ac:dyDescent="0.25">
      <c r="A21" s="111" t="s">
        <v>396</v>
      </c>
      <c r="B21" s="227">
        <v>4.5650000000000412E-3</v>
      </c>
      <c r="C21" s="111">
        <v>2</v>
      </c>
      <c r="D21" s="111">
        <v>2.2824999999999998E-3</v>
      </c>
      <c r="E21" s="111">
        <v>0.11694716242661553</v>
      </c>
      <c r="F21" s="111">
        <v>0.89063370724021129</v>
      </c>
      <c r="G21" s="111">
        <v>3.8852938346523942</v>
      </c>
      <c r="K21" s="97">
        <v>5.62</v>
      </c>
      <c r="L21" s="109"/>
      <c r="N21" s="111"/>
      <c r="O21" s="111"/>
      <c r="P21" s="111"/>
      <c r="Q21" s="111"/>
      <c r="R21" s="111"/>
      <c r="S21" s="111"/>
      <c r="T21" s="111"/>
      <c r="U21" s="98"/>
    </row>
    <row r="22" spans="1:21" x14ac:dyDescent="0.25">
      <c r="A22" s="111" t="s">
        <v>397</v>
      </c>
      <c r="B22" s="204">
        <v>0.23420833333333338</v>
      </c>
      <c r="C22" s="111">
        <v>12</v>
      </c>
      <c r="D22" s="111">
        <v>1.9517361E-2</v>
      </c>
      <c r="E22" s="111"/>
      <c r="F22" s="111"/>
      <c r="G22" s="111"/>
      <c r="K22" s="97">
        <v>6</v>
      </c>
      <c r="L22" s="109"/>
      <c r="N22" s="111"/>
      <c r="O22" s="111"/>
      <c r="P22" s="111"/>
      <c r="Q22" s="111"/>
      <c r="R22" s="111"/>
      <c r="S22" s="111"/>
      <c r="T22" s="111"/>
      <c r="U22" s="98"/>
    </row>
    <row r="23" spans="1:21" x14ac:dyDescent="0.25">
      <c r="A23" s="111"/>
      <c r="B23" s="111"/>
      <c r="C23" s="111"/>
      <c r="D23" s="111"/>
      <c r="E23" s="111"/>
      <c r="F23" s="111"/>
      <c r="G23" s="111"/>
      <c r="K23" s="97">
        <v>5.7</v>
      </c>
      <c r="L23" s="109"/>
      <c r="N23" s="111"/>
      <c r="O23" s="111"/>
      <c r="P23" s="111"/>
      <c r="Q23" s="111"/>
      <c r="R23" s="111"/>
      <c r="S23" s="111"/>
      <c r="T23" s="111"/>
      <c r="U23" s="98"/>
    </row>
    <row r="24" spans="1:21" ht="15.75" thickBot="1" x14ac:dyDescent="0.3">
      <c r="A24" s="157" t="s">
        <v>398</v>
      </c>
      <c r="B24" s="213">
        <v>0.23877333333333342</v>
      </c>
      <c r="C24" s="157">
        <v>14</v>
      </c>
      <c r="D24" s="157"/>
      <c r="E24" s="157"/>
      <c r="F24" s="157"/>
      <c r="G24" s="157"/>
      <c r="K24" s="97">
        <v>5.71</v>
      </c>
      <c r="L24" s="109"/>
      <c r="N24" s="111"/>
      <c r="O24" s="111"/>
      <c r="P24" s="111"/>
      <c r="Q24" s="111"/>
      <c r="R24" s="111"/>
      <c r="S24" s="111"/>
      <c r="T24" s="111"/>
      <c r="U24" s="98"/>
    </row>
    <row r="25" spans="1:21" x14ac:dyDescent="0.25">
      <c r="L25" s="122">
        <f>DEVSQ(K10:K24)</f>
        <v>0.23877333333333342</v>
      </c>
    </row>
    <row r="26" spans="1:21" x14ac:dyDescent="0.25">
      <c r="A26" s="97" t="s">
        <v>153</v>
      </c>
    </row>
    <row r="28" spans="1:21" x14ac:dyDescent="0.25">
      <c r="A28" s="97" t="s">
        <v>249</v>
      </c>
      <c r="C28" s="100" t="s">
        <v>250</v>
      </c>
      <c r="D28" s="109">
        <f>D21/D22</f>
        <v>0.11694716309238733</v>
      </c>
    </row>
    <row r="29" spans="1:21" x14ac:dyDescent="0.25">
      <c r="A29" s="97" t="s">
        <v>251</v>
      </c>
    </row>
    <row r="30" spans="1:21" x14ac:dyDescent="0.25">
      <c r="A30" s="97" t="s">
        <v>252</v>
      </c>
      <c r="B30" s="97" t="s">
        <v>399</v>
      </c>
    </row>
    <row r="31" spans="1:21" x14ac:dyDescent="0.25">
      <c r="A31" s="97" t="s">
        <v>253</v>
      </c>
      <c r="B31" s="97" t="s">
        <v>254</v>
      </c>
      <c r="E31" s="109">
        <f>_xlfn.F.INV(0.95,C21,C22)</f>
        <v>3.8852938346523924</v>
      </c>
    </row>
    <row r="32" spans="1:21" x14ac:dyDescent="0.25">
      <c r="A32" s="97" t="s">
        <v>255</v>
      </c>
      <c r="B32" s="97" t="s">
        <v>411</v>
      </c>
    </row>
    <row r="33" spans="1:5" x14ac:dyDescent="0.25">
      <c r="B33" s="97" t="s">
        <v>257</v>
      </c>
    </row>
    <row r="35" spans="1:5" x14ac:dyDescent="0.25">
      <c r="A35" s="97" t="s">
        <v>258</v>
      </c>
    </row>
    <row r="36" spans="1:5" x14ac:dyDescent="0.25">
      <c r="A36" s="100" t="s">
        <v>39</v>
      </c>
      <c r="B36" s="109">
        <f>1-_xlfn.F.DIST(D28,C21,C22,1)</f>
        <v>0.89063370665858899</v>
      </c>
      <c r="E36" s="97" t="s">
        <v>256</v>
      </c>
    </row>
    <row r="37" spans="1:5" x14ac:dyDescent="0.25">
      <c r="E37" s="97" t="s">
        <v>257</v>
      </c>
    </row>
    <row r="39" spans="1:5" x14ac:dyDescent="0.25">
      <c r="A39" s="97" t="s">
        <v>415</v>
      </c>
    </row>
  </sheetData>
  <mergeCells count="1">
    <mergeCell ref="N3:O3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3"/>
  <sheetViews>
    <sheetView topLeftCell="A22" zoomScaleNormal="100" workbookViewId="0">
      <selection activeCell="E46" sqref="E46"/>
    </sheetView>
  </sheetViews>
  <sheetFormatPr defaultRowHeight="15" x14ac:dyDescent="0.25"/>
  <cols>
    <col min="1" max="1" width="18.7109375" customWidth="1"/>
    <col min="3" max="3" width="12" bestFit="1" customWidth="1"/>
    <col min="4" max="4" width="16.140625" customWidth="1"/>
    <col min="5" max="5" width="19.28515625" customWidth="1"/>
    <col min="6" max="6" width="18.7109375" customWidth="1"/>
    <col min="8" max="8" width="9.140625" customWidth="1"/>
  </cols>
  <sheetData>
    <row r="1" spans="1:12" s="97" customFormat="1" x14ac:dyDescent="0.25">
      <c r="A1" s="180" t="s">
        <v>283</v>
      </c>
    </row>
    <row r="2" spans="1:12" s="180" customFormat="1" ht="45" x14ac:dyDescent="0.25">
      <c r="D2" s="181" t="s">
        <v>290</v>
      </c>
      <c r="E2" s="181" t="s">
        <v>282</v>
      </c>
      <c r="F2" s="181" t="s">
        <v>281</v>
      </c>
    </row>
    <row r="3" spans="1:12" x14ac:dyDescent="0.25">
      <c r="A3" s="169" t="s">
        <v>260</v>
      </c>
      <c r="B3" s="96" t="s">
        <v>261</v>
      </c>
      <c r="C3" s="96" t="s">
        <v>262</v>
      </c>
      <c r="D3" s="182" t="s">
        <v>263</v>
      </c>
      <c r="E3" s="182" t="s">
        <v>264</v>
      </c>
      <c r="F3" s="182" t="s">
        <v>265</v>
      </c>
      <c r="G3" s="97"/>
      <c r="H3" s="97"/>
      <c r="I3" s="97"/>
      <c r="J3" s="97"/>
      <c r="K3" s="97"/>
      <c r="L3" s="97"/>
    </row>
    <row r="4" spans="1:12" x14ac:dyDescent="0.25">
      <c r="A4" s="170">
        <v>1</v>
      </c>
      <c r="B4" s="171">
        <v>5850</v>
      </c>
      <c r="C4" s="172">
        <f>AVERAGE(B4:B8)</f>
        <v>5836</v>
      </c>
      <c r="D4" s="183">
        <f>(B4-$C$21)^2</f>
        <v>16384</v>
      </c>
      <c r="E4" s="172">
        <f>(B4-$C$4)^2</f>
        <v>196</v>
      </c>
      <c r="F4" s="183">
        <f>(C4-C21)^2</f>
        <v>12996</v>
      </c>
      <c r="G4" s="97"/>
      <c r="H4" s="97"/>
      <c r="I4" s="97"/>
      <c r="J4" s="97"/>
      <c r="K4" s="97"/>
      <c r="L4" s="97"/>
    </row>
    <row r="5" spans="1:12" x14ac:dyDescent="0.25">
      <c r="A5" s="173"/>
      <c r="B5" s="159">
        <v>5750</v>
      </c>
      <c r="C5" s="159"/>
      <c r="D5" s="184">
        <f t="shared" ref="D5:D18" si="0">(B5-$C$21)^2</f>
        <v>784</v>
      </c>
      <c r="E5" s="220">
        <f>(B5-$C$4)^2</f>
        <v>7396</v>
      </c>
      <c r="F5" s="184">
        <f>(C4-C21)^2</f>
        <v>12996</v>
      </c>
      <c r="G5" s="97"/>
      <c r="H5" s="97"/>
      <c r="I5" s="97"/>
      <c r="J5" s="97"/>
      <c r="K5" s="97"/>
      <c r="L5" s="97"/>
    </row>
    <row r="6" spans="1:12" x14ac:dyDescent="0.25">
      <c r="A6" s="173"/>
      <c r="B6" s="159">
        <v>5880</v>
      </c>
      <c r="C6" s="159"/>
      <c r="D6" s="184">
        <f t="shared" si="0"/>
        <v>24964</v>
      </c>
      <c r="E6" s="220">
        <f>(B6-$C$4)^2</f>
        <v>1936</v>
      </c>
      <c r="F6" s="184">
        <f>(C4-C21)^2</f>
        <v>12996</v>
      </c>
      <c r="G6" s="97"/>
      <c r="H6" s="97"/>
      <c r="I6" s="97"/>
      <c r="J6" s="97"/>
      <c r="K6" s="97"/>
      <c r="L6" s="97"/>
    </row>
    <row r="7" spans="1:12" x14ac:dyDescent="0.25">
      <c r="A7" s="173"/>
      <c r="B7" s="159">
        <v>5900</v>
      </c>
      <c r="C7" s="159"/>
      <c r="D7" s="184">
        <f t="shared" si="0"/>
        <v>31684</v>
      </c>
      <c r="E7" s="220">
        <f>(B7-$C$4)^2</f>
        <v>4096</v>
      </c>
      <c r="F7" s="184">
        <f>(C4-C21)^2</f>
        <v>12996</v>
      </c>
      <c r="G7" s="97"/>
      <c r="H7" s="97"/>
      <c r="I7" s="97"/>
      <c r="J7" s="97"/>
      <c r="K7" s="97"/>
      <c r="L7" s="97"/>
    </row>
    <row r="8" spans="1:12" x14ac:dyDescent="0.25">
      <c r="A8" s="174"/>
      <c r="B8" s="5">
        <v>5800</v>
      </c>
      <c r="C8" s="5"/>
      <c r="D8" s="177">
        <f t="shared" si="0"/>
        <v>6084</v>
      </c>
      <c r="E8" s="221">
        <f>(B8-$C$4)^2</f>
        <v>1296</v>
      </c>
      <c r="F8" s="177">
        <f>(C4-C21)^2</f>
        <v>12996</v>
      </c>
      <c r="G8" s="97"/>
      <c r="H8" s="97"/>
      <c r="I8" s="97"/>
      <c r="J8" s="97"/>
      <c r="K8" s="97"/>
      <c r="L8" s="97"/>
    </row>
    <row r="9" spans="1:12" x14ac:dyDescent="0.25">
      <c r="A9" s="170">
        <v>2</v>
      </c>
      <c r="B9" s="171">
        <v>5550</v>
      </c>
      <c r="C9" s="172">
        <f>AVERAGE(B9:B13)</f>
        <v>5578</v>
      </c>
      <c r="D9" s="183">
        <f t="shared" si="0"/>
        <v>29584</v>
      </c>
      <c r="E9" s="219">
        <f>(B9-$C$9)^2</f>
        <v>784</v>
      </c>
      <c r="F9" s="184">
        <f>(C9-C21)^2</f>
        <v>20736</v>
      </c>
      <c r="G9" s="97"/>
      <c r="H9" s="97"/>
      <c r="I9" s="97"/>
      <c r="J9" s="97"/>
      <c r="K9" s="97"/>
      <c r="L9" s="97"/>
    </row>
    <row r="10" spans="1:12" x14ac:dyDescent="0.25">
      <c r="A10" s="173"/>
      <c r="B10" s="159">
        <v>5560</v>
      </c>
      <c r="C10" s="159"/>
      <c r="D10" s="184">
        <f t="shared" si="0"/>
        <v>26244</v>
      </c>
      <c r="E10" s="219">
        <f>(B10-$C$9)^2</f>
        <v>324</v>
      </c>
      <c r="F10" s="184">
        <f>(C9-C21)^2</f>
        <v>20736</v>
      </c>
      <c r="G10" s="97"/>
      <c r="H10" s="97"/>
      <c r="I10" s="97"/>
      <c r="J10" s="97"/>
      <c r="K10" s="97"/>
      <c r="L10" s="97"/>
    </row>
    <row r="11" spans="1:12" x14ac:dyDescent="0.25">
      <c r="A11" s="173"/>
      <c r="B11" s="159">
        <v>5520</v>
      </c>
      <c r="C11" s="159"/>
      <c r="D11" s="184">
        <f t="shared" si="0"/>
        <v>40804</v>
      </c>
      <c r="E11" s="219">
        <f>(B11-$C$9)^2</f>
        <v>3364</v>
      </c>
      <c r="F11" s="184">
        <f>(C9-C21)^2</f>
        <v>20736</v>
      </c>
      <c r="G11" s="97"/>
      <c r="H11" s="97"/>
      <c r="I11" s="97"/>
      <c r="J11" s="97"/>
      <c r="K11" s="97"/>
      <c r="L11" s="97"/>
    </row>
    <row r="12" spans="1:12" x14ac:dyDescent="0.25">
      <c r="A12" s="173"/>
      <c r="B12" s="159">
        <v>5620</v>
      </c>
      <c r="C12" s="159"/>
      <c r="D12" s="184">
        <f t="shared" si="0"/>
        <v>10404</v>
      </c>
      <c r="E12" s="219">
        <f>(B12-$C$9)^2</f>
        <v>1764</v>
      </c>
      <c r="F12" s="184">
        <f>(C9-C21)^2</f>
        <v>20736</v>
      </c>
      <c r="G12" s="97"/>
      <c r="H12" s="97"/>
      <c r="I12" s="97"/>
      <c r="J12" s="97"/>
      <c r="K12" s="97"/>
      <c r="L12" s="97"/>
    </row>
    <row r="13" spans="1:12" x14ac:dyDescent="0.25">
      <c r="A13" s="174"/>
      <c r="B13" s="5">
        <v>5640</v>
      </c>
      <c r="C13" s="5"/>
      <c r="D13" s="177">
        <f t="shared" si="0"/>
        <v>6724</v>
      </c>
      <c r="E13" s="219">
        <f>(B13-$C$9)^2</f>
        <v>3844</v>
      </c>
      <c r="F13" s="184">
        <f>(C9-C21)^2</f>
        <v>20736</v>
      </c>
      <c r="G13" s="97"/>
      <c r="H13" s="97"/>
      <c r="I13" s="97"/>
      <c r="J13" s="97"/>
      <c r="K13" s="97"/>
      <c r="L13" s="97"/>
    </row>
    <row r="14" spans="1:12" x14ac:dyDescent="0.25">
      <c r="A14" s="170">
        <v>3</v>
      </c>
      <c r="B14" s="171">
        <v>5720</v>
      </c>
      <c r="C14" s="172">
        <f>AVERAGE(B14:B18)</f>
        <v>5752</v>
      </c>
      <c r="D14" s="183">
        <f t="shared" si="0"/>
        <v>4</v>
      </c>
      <c r="E14" s="172">
        <f>(B14-$C$14)^2</f>
        <v>1024</v>
      </c>
      <c r="F14" s="183">
        <f>(C14-C21)^2</f>
        <v>900</v>
      </c>
      <c r="G14" s="97"/>
      <c r="H14" s="97"/>
      <c r="I14" s="97"/>
      <c r="J14" s="97"/>
      <c r="K14" s="97"/>
      <c r="L14" s="97"/>
    </row>
    <row r="15" spans="1:12" x14ac:dyDescent="0.25">
      <c r="A15" s="173"/>
      <c r="B15" s="159">
        <v>5800</v>
      </c>
      <c r="C15" s="159"/>
      <c r="D15" s="184">
        <f t="shared" si="0"/>
        <v>6084</v>
      </c>
      <c r="E15" s="220">
        <f>(B15-$C$14)^2</f>
        <v>2304</v>
      </c>
      <c r="F15" s="184">
        <f>(C14-C21)^2</f>
        <v>900</v>
      </c>
      <c r="G15" s="97"/>
      <c r="H15" s="97"/>
      <c r="I15" s="97"/>
      <c r="J15" s="97"/>
      <c r="K15" s="97"/>
      <c r="L15" s="97"/>
    </row>
    <row r="16" spans="1:12" x14ac:dyDescent="0.25">
      <c r="A16" s="173"/>
      <c r="B16" s="159">
        <v>5700</v>
      </c>
      <c r="C16" s="159"/>
      <c r="D16" s="184">
        <f t="shared" si="0"/>
        <v>484</v>
      </c>
      <c r="E16" s="220">
        <f>(B16-$C$14)^2</f>
        <v>2704</v>
      </c>
      <c r="F16" s="184">
        <f>(C14-C21)^2</f>
        <v>900</v>
      </c>
      <c r="G16" s="97"/>
      <c r="H16" s="97"/>
      <c r="I16" s="97"/>
      <c r="J16" s="97"/>
      <c r="K16" s="97"/>
      <c r="L16" s="97"/>
    </row>
    <row r="17" spans="1:12" x14ac:dyDescent="0.25">
      <c r="A17" s="173"/>
      <c r="B17" s="159">
        <v>5780</v>
      </c>
      <c r="C17" s="159"/>
      <c r="D17" s="184">
        <f t="shared" si="0"/>
        <v>3364</v>
      </c>
      <c r="E17" s="220">
        <f>(B17-$C$14)^2</f>
        <v>784</v>
      </c>
      <c r="F17" s="184">
        <f>(C14-C21)^2</f>
        <v>900</v>
      </c>
      <c r="G17" s="97"/>
      <c r="H17" s="97"/>
      <c r="I17" s="97"/>
      <c r="J17" s="97"/>
      <c r="K17" s="97"/>
      <c r="L17" s="97"/>
    </row>
    <row r="18" spans="1:12" x14ac:dyDescent="0.25">
      <c r="A18" s="174"/>
      <c r="B18" s="5">
        <v>5760</v>
      </c>
      <c r="C18" s="5"/>
      <c r="D18" s="177">
        <f t="shared" si="0"/>
        <v>1444</v>
      </c>
      <c r="E18" s="221">
        <f>(B18-$C$14)^2</f>
        <v>64</v>
      </c>
      <c r="F18" s="177">
        <f>(C14-C21)^2</f>
        <v>900</v>
      </c>
      <c r="G18" s="97"/>
      <c r="H18" s="97"/>
      <c r="I18" s="97"/>
      <c r="J18" s="97"/>
      <c r="K18" s="97"/>
      <c r="L18" s="97"/>
    </row>
    <row r="19" spans="1:12" x14ac:dyDescent="0.25">
      <c r="A19" s="97"/>
      <c r="B19" s="96"/>
      <c r="C19" s="96"/>
      <c r="D19" s="225">
        <f>SUM(D4:D18)</f>
        <v>205040</v>
      </c>
      <c r="E19" s="226">
        <f>SUM(E4:E18)</f>
        <v>31880</v>
      </c>
      <c r="F19" s="228">
        <f>SUM(F4:F18)</f>
        <v>173160</v>
      </c>
      <c r="G19" s="97"/>
      <c r="H19" s="97"/>
      <c r="I19" s="97"/>
      <c r="J19" s="97"/>
      <c r="K19" s="97"/>
      <c r="L19" s="97"/>
    </row>
    <row r="20" spans="1:12" x14ac:dyDescent="0.25">
      <c r="A20" s="97"/>
      <c r="B20" s="96"/>
      <c r="C20" s="175" t="s">
        <v>266</v>
      </c>
      <c r="D20" s="176"/>
      <c r="E20" s="96"/>
      <c r="F20" s="96"/>
      <c r="G20" s="97"/>
      <c r="H20" s="97"/>
      <c r="I20" s="97"/>
      <c r="J20" s="97"/>
      <c r="K20" s="97"/>
      <c r="L20" s="97"/>
    </row>
    <row r="21" spans="1:12" x14ac:dyDescent="0.25">
      <c r="A21" s="97"/>
      <c r="B21" s="96"/>
      <c r="C21" s="177">
        <f>AVERAGE(B4:B18)</f>
        <v>5722</v>
      </c>
      <c r="D21" s="159"/>
      <c r="E21" s="96"/>
      <c r="F21" s="96"/>
      <c r="G21" s="97"/>
      <c r="H21" s="97"/>
      <c r="I21" s="97"/>
      <c r="J21" s="97"/>
      <c r="K21" s="97"/>
      <c r="L21" s="97"/>
    </row>
    <row r="22" spans="1:12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x14ac:dyDescent="0.2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x14ac:dyDescent="0.25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x14ac:dyDescent="0.2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x14ac:dyDescent="0.2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x14ac:dyDescent="0.25">
      <c r="A27" s="100" t="s">
        <v>267</v>
      </c>
      <c r="B27" s="39">
        <v>0.05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x14ac:dyDescent="0.25">
      <c r="A28" s="100" t="s">
        <v>268</v>
      </c>
      <c r="B28" s="39">
        <f>D19</f>
        <v>205040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x14ac:dyDescent="0.25">
      <c r="A29" s="100" t="s">
        <v>269</v>
      </c>
      <c r="B29" s="39">
        <f>F19</f>
        <v>173160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x14ac:dyDescent="0.25">
      <c r="A30" s="100" t="s">
        <v>270</v>
      </c>
      <c r="B30" s="39">
        <f>E19</f>
        <v>31880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x14ac:dyDescent="0.25">
      <c r="A31" s="97" t="s">
        <v>271</v>
      </c>
      <c r="B31" s="39">
        <v>2</v>
      </c>
      <c r="D31" s="97"/>
      <c r="E31" s="97"/>
      <c r="F31" s="97"/>
      <c r="G31" s="97"/>
      <c r="H31" s="97"/>
      <c r="I31" s="97"/>
      <c r="J31" s="97"/>
      <c r="K31" s="97"/>
      <c r="L31" s="97"/>
    </row>
    <row r="32" spans="1:12" x14ac:dyDescent="0.25">
      <c r="A32" s="97" t="s">
        <v>272</v>
      </c>
      <c r="B32" s="39">
        <f>15-3</f>
        <v>12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22" x14ac:dyDescent="0.25">
      <c r="A33" s="101" t="s">
        <v>273</v>
      </c>
      <c r="B33" s="79">
        <f>B29/B31</f>
        <v>86580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22" x14ac:dyDescent="0.25">
      <c r="A34" s="100" t="s">
        <v>274</v>
      </c>
      <c r="B34" s="79">
        <f>B30/B32</f>
        <v>2656.6666666666665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22" x14ac:dyDescent="0.25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22" x14ac:dyDescent="0.25">
      <c r="A36" s="97" t="s">
        <v>275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22" x14ac:dyDescent="0.25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22" x14ac:dyDescent="0.25">
      <c r="A38" s="97" t="s">
        <v>276</v>
      </c>
      <c r="B38" s="97"/>
      <c r="C38" s="97"/>
      <c r="D38" s="79">
        <f>B33/B34</f>
        <v>32.589711417816815</v>
      </c>
      <c r="E38" s="97"/>
      <c r="F38" s="97"/>
      <c r="G38" s="97"/>
      <c r="H38" s="97"/>
      <c r="I38" s="97"/>
      <c r="J38" s="97"/>
      <c r="K38" s="97"/>
      <c r="L38" s="97"/>
    </row>
    <row r="39" spans="1:22" x14ac:dyDescent="0.25">
      <c r="A39" s="97" t="s">
        <v>277</v>
      </c>
      <c r="B39" s="97"/>
      <c r="C39" s="97"/>
      <c r="D39" s="79">
        <f>_xlfn.F.INV(1-B27,B31,B32)</f>
        <v>3.8852938346523924</v>
      </c>
      <c r="E39" s="97"/>
      <c r="F39" s="97"/>
      <c r="G39" s="97"/>
      <c r="H39" s="97"/>
      <c r="I39" s="97"/>
      <c r="J39" s="97"/>
      <c r="K39" s="97"/>
      <c r="L39" s="97"/>
    </row>
    <row r="40" spans="1:22" x14ac:dyDescent="0.25">
      <c r="A40" s="97" t="s">
        <v>383</v>
      </c>
      <c r="B40" s="97"/>
      <c r="C40" s="97" t="s">
        <v>384</v>
      </c>
      <c r="D40" s="102"/>
      <c r="E40" s="97"/>
      <c r="F40" s="97"/>
      <c r="G40" s="97"/>
      <c r="H40" s="97"/>
      <c r="I40" s="97"/>
      <c r="J40" s="97"/>
      <c r="K40" s="97"/>
      <c r="L40" s="97"/>
    </row>
    <row r="41" spans="1:22" x14ac:dyDescent="0.25">
      <c r="A41" s="97"/>
      <c r="B41" s="97"/>
      <c r="C41" s="97" t="s">
        <v>385</v>
      </c>
      <c r="D41" s="102"/>
      <c r="E41" s="97"/>
      <c r="F41" s="97"/>
      <c r="G41" s="97"/>
      <c r="H41" s="97"/>
      <c r="I41" s="97"/>
      <c r="J41" s="97"/>
      <c r="K41" s="97"/>
      <c r="L41" s="97"/>
    </row>
    <row r="42" spans="1:22" x14ac:dyDescent="0.25">
      <c r="A42" s="97" t="s">
        <v>278</v>
      </c>
      <c r="B42" s="97"/>
      <c r="C42" s="79">
        <f>1-_xlfn.F.DIST(D38,B31,B32,1)</f>
        <v>1.4127922936202353E-5</v>
      </c>
      <c r="D42" s="96" t="s">
        <v>134</v>
      </c>
      <c r="E42" s="97" t="s">
        <v>279</v>
      </c>
      <c r="F42" s="102" t="s">
        <v>417</v>
      </c>
      <c r="G42" s="97"/>
      <c r="H42" s="97"/>
      <c r="I42" s="97"/>
      <c r="J42" s="97"/>
      <c r="K42" s="97"/>
      <c r="L42" s="97"/>
    </row>
    <row r="43" spans="1:22" x14ac:dyDescent="0.25">
      <c r="A43" s="97"/>
      <c r="B43" s="97"/>
      <c r="C43" s="97" t="s">
        <v>386</v>
      </c>
      <c r="D43" s="97"/>
      <c r="E43" s="97"/>
      <c r="F43" s="97" t="s">
        <v>416</v>
      </c>
      <c r="G43" s="97"/>
      <c r="H43" s="97"/>
      <c r="I43" s="97"/>
      <c r="J43" s="97"/>
      <c r="K43" s="97"/>
      <c r="L43" s="97"/>
    </row>
    <row r="44" spans="1:22" x14ac:dyDescent="0.25">
      <c r="A44" s="97"/>
      <c r="B44" s="97"/>
      <c r="C44" s="97" t="s">
        <v>385</v>
      </c>
      <c r="D44" s="97"/>
      <c r="E44" s="97"/>
      <c r="F44" s="97"/>
      <c r="G44" s="97"/>
      <c r="H44" s="97"/>
      <c r="I44" s="97"/>
      <c r="J44" s="97"/>
      <c r="K44" s="97"/>
      <c r="L44" s="97"/>
    </row>
    <row r="45" spans="1:22" x14ac:dyDescent="0.2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22" x14ac:dyDescent="0.25">
      <c r="A46" s="97" t="s">
        <v>280</v>
      </c>
      <c r="B46" s="97"/>
      <c r="C46" s="97"/>
      <c r="D46" s="97"/>
      <c r="E46" s="97"/>
      <c r="F46" s="98"/>
      <c r="G46" s="98"/>
      <c r="H46" s="98"/>
      <c r="I46" s="98"/>
      <c r="J46" s="98"/>
      <c r="K46" s="98"/>
      <c r="L46" s="97"/>
    </row>
    <row r="47" spans="1:22" x14ac:dyDescent="0.25">
      <c r="A47" s="97"/>
      <c r="B47" s="179" t="s">
        <v>284</v>
      </c>
      <c r="C47" s="179" t="s">
        <v>285</v>
      </c>
      <c r="D47" s="179" t="s">
        <v>286</v>
      </c>
      <c r="E47" s="98"/>
      <c r="F47" s="170" t="s">
        <v>244</v>
      </c>
      <c r="G47" s="185"/>
      <c r="H47" s="185"/>
      <c r="I47" s="185"/>
      <c r="J47" s="185"/>
      <c r="K47" s="185"/>
      <c r="L47" s="186"/>
      <c r="M47" s="185" t="s">
        <v>291</v>
      </c>
      <c r="N47" s="185"/>
      <c r="O47" s="185"/>
      <c r="P47" s="185"/>
      <c r="Q47" s="185"/>
      <c r="R47" s="185"/>
      <c r="S47" s="185"/>
      <c r="T47" s="185"/>
      <c r="U47" s="185"/>
      <c r="V47" s="186"/>
    </row>
    <row r="48" spans="1:22" x14ac:dyDescent="0.25">
      <c r="A48" s="97"/>
      <c r="B48" s="171">
        <v>5850</v>
      </c>
      <c r="C48" s="171">
        <v>5550</v>
      </c>
      <c r="D48" s="171">
        <v>5720</v>
      </c>
      <c r="E48" s="98"/>
      <c r="F48" s="173"/>
      <c r="G48" s="98"/>
      <c r="H48" s="98"/>
      <c r="I48" s="98"/>
      <c r="J48" s="98"/>
      <c r="K48" s="98"/>
      <c r="L48" s="187"/>
      <c r="M48" s="98"/>
      <c r="N48" s="98"/>
      <c r="O48" s="98"/>
      <c r="P48" s="98"/>
      <c r="Q48" s="98"/>
      <c r="R48" s="98"/>
      <c r="S48" s="98"/>
      <c r="T48" s="98"/>
      <c r="U48" s="98"/>
      <c r="V48" s="187"/>
    </row>
    <row r="49" spans="1:22" x14ac:dyDescent="0.25">
      <c r="A49" s="97"/>
      <c r="B49" s="179">
        <v>5750</v>
      </c>
      <c r="C49" s="179">
        <v>5560</v>
      </c>
      <c r="D49" s="179">
        <v>5800</v>
      </c>
      <c r="E49" s="98"/>
      <c r="F49" s="173"/>
      <c r="G49" s="98"/>
      <c r="H49" s="98"/>
      <c r="I49" s="98"/>
      <c r="J49" s="98"/>
      <c r="K49" s="98"/>
      <c r="L49" s="187"/>
      <c r="M49" s="98"/>
      <c r="N49" s="98"/>
      <c r="O49" s="98"/>
      <c r="P49" s="98"/>
      <c r="Q49" s="98"/>
      <c r="R49" s="98"/>
      <c r="S49" s="98"/>
      <c r="T49" s="98"/>
      <c r="U49" s="98"/>
      <c r="V49" s="187"/>
    </row>
    <row r="50" spans="1:22" ht="15.75" thickBot="1" x14ac:dyDescent="0.3">
      <c r="A50" s="97"/>
      <c r="B50" s="179">
        <v>5880</v>
      </c>
      <c r="C50" s="179">
        <v>5520</v>
      </c>
      <c r="D50" s="179">
        <v>5700</v>
      </c>
      <c r="E50" s="98"/>
      <c r="F50" s="173" t="s">
        <v>246</v>
      </c>
      <c r="G50" s="98"/>
      <c r="H50" s="98"/>
      <c r="I50" s="98"/>
      <c r="J50" s="98"/>
      <c r="K50" s="98"/>
      <c r="L50" s="187"/>
      <c r="M50" s="98"/>
      <c r="N50" s="98"/>
      <c r="O50" s="98"/>
      <c r="P50" s="98"/>
      <c r="Q50" s="98"/>
      <c r="R50" s="98"/>
      <c r="S50" s="98"/>
      <c r="T50" s="98"/>
      <c r="U50" s="98"/>
      <c r="V50" s="187"/>
    </row>
    <row r="51" spans="1:22" x14ac:dyDescent="0.25">
      <c r="A51" s="97"/>
      <c r="B51" s="179">
        <v>5900</v>
      </c>
      <c r="C51" s="179">
        <v>5620</v>
      </c>
      <c r="D51" s="179">
        <v>5780</v>
      </c>
      <c r="E51" s="98"/>
      <c r="F51" s="222" t="s">
        <v>387</v>
      </c>
      <c r="G51" s="192" t="s">
        <v>202</v>
      </c>
      <c r="H51" s="192" t="s">
        <v>201</v>
      </c>
      <c r="I51" s="192" t="s">
        <v>388</v>
      </c>
      <c r="J51" s="192" t="s">
        <v>295</v>
      </c>
      <c r="K51" s="98"/>
      <c r="L51" s="187"/>
      <c r="M51" s="98"/>
      <c r="N51" s="98"/>
      <c r="O51" s="98"/>
      <c r="P51" s="98"/>
      <c r="Q51" s="98"/>
      <c r="R51" s="98"/>
      <c r="S51" s="98"/>
      <c r="T51" s="98"/>
      <c r="U51" s="98"/>
      <c r="V51" s="187"/>
    </row>
    <row r="52" spans="1:22" x14ac:dyDescent="0.25">
      <c r="A52" s="97"/>
      <c r="B52" s="5">
        <v>5800</v>
      </c>
      <c r="C52" s="5">
        <v>5640</v>
      </c>
      <c r="D52" s="5">
        <v>5760</v>
      </c>
      <c r="E52" s="98"/>
      <c r="F52" s="190" t="s">
        <v>284</v>
      </c>
      <c r="G52" s="111">
        <v>5</v>
      </c>
      <c r="H52" s="111">
        <v>29180</v>
      </c>
      <c r="I52" s="111">
        <v>5836</v>
      </c>
      <c r="J52" s="111">
        <v>3730</v>
      </c>
      <c r="K52" s="98"/>
      <c r="L52" s="187"/>
      <c r="M52" s="98"/>
      <c r="N52" s="98"/>
      <c r="O52" s="98"/>
      <c r="P52" s="98"/>
      <c r="Q52" s="98"/>
      <c r="R52" s="98"/>
      <c r="S52" s="98"/>
      <c r="T52" s="98"/>
      <c r="U52" s="98"/>
      <c r="V52" s="187"/>
    </row>
    <row r="53" spans="1:22" x14ac:dyDescent="0.25">
      <c r="A53" s="97"/>
      <c r="B53" s="98"/>
      <c r="C53" s="98"/>
      <c r="D53" s="98"/>
      <c r="E53" s="98"/>
      <c r="F53" s="190" t="s">
        <v>285</v>
      </c>
      <c r="G53" s="111">
        <v>5</v>
      </c>
      <c r="H53" s="111">
        <v>27890</v>
      </c>
      <c r="I53" s="111">
        <v>5578</v>
      </c>
      <c r="J53" s="111">
        <v>2520</v>
      </c>
      <c r="K53" s="98"/>
      <c r="L53" s="187"/>
      <c r="M53" s="98"/>
      <c r="N53" s="98"/>
      <c r="O53" s="98"/>
      <c r="P53" s="98"/>
      <c r="Q53" s="98"/>
      <c r="R53" s="98"/>
      <c r="S53" s="98"/>
      <c r="T53" s="98"/>
      <c r="U53" s="98"/>
      <c r="V53" s="187"/>
    </row>
    <row r="54" spans="1:22" ht="15.75" thickBot="1" x14ac:dyDescent="0.3">
      <c r="A54" s="97"/>
      <c r="B54" s="98"/>
      <c r="C54" s="98"/>
      <c r="D54" s="98"/>
      <c r="E54" s="98"/>
      <c r="F54" s="223" t="s">
        <v>286</v>
      </c>
      <c r="G54" s="157">
        <v>5</v>
      </c>
      <c r="H54" s="157">
        <v>28760</v>
      </c>
      <c r="I54" s="157">
        <v>5752</v>
      </c>
      <c r="J54" s="157">
        <v>1720</v>
      </c>
      <c r="K54" s="98"/>
      <c r="L54" s="187"/>
      <c r="M54" s="98"/>
      <c r="N54" s="98"/>
      <c r="O54" s="98"/>
      <c r="P54" s="98"/>
      <c r="Q54" s="98"/>
      <c r="R54" s="98"/>
      <c r="S54" s="98"/>
      <c r="T54" s="98"/>
      <c r="U54" s="98"/>
      <c r="V54" s="187"/>
    </row>
    <row r="55" spans="1:22" x14ac:dyDescent="0.25">
      <c r="A55" s="97"/>
      <c r="B55" s="98"/>
      <c r="C55" s="98"/>
      <c r="D55" s="98"/>
      <c r="E55" s="98"/>
      <c r="F55" s="173"/>
      <c r="G55" s="98"/>
      <c r="H55" s="98"/>
      <c r="I55" s="98"/>
      <c r="J55" s="98"/>
      <c r="K55" s="98"/>
      <c r="L55" s="187"/>
      <c r="M55" s="98"/>
      <c r="N55" s="98"/>
      <c r="O55" s="98"/>
      <c r="P55" s="98"/>
      <c r="Q55" s="98"/>
      <c r="R55" s="98"/>
      <c r="S55" s="98"/>
      <c r="T55" s="98"/>
      <c r="U55" s="98"/>
      <c r="V55" s="187"/>
    </row>
    <row r="56" spans="1:22" x14ac:dyDescent="0.25">
      <c r="A56" s="97"/>
      <c r="B56" s="98"/>
      <c r="C56" s="98"/>
      <c r="D56" s="98"/>
      <c r="E56" s="98"/>
      <c r="F56" s="173"/>
      <c r="G56" s="98"/>
      <c r="H56" s="98"/>
      <c r="I56" s="98"/>
      <c r="J56" s="98"/>
      <c r="K56" s="98"/>
      <c r="L56" s="187"/>
      <c r="M56" s="98"/>
      <c r="N56" s="98"/>
      <c r="O56" s="98"/>
      <c r="P56" s="98"/>
      <c r="Q56" s="98"/>
      <c r="R56" s="98"/>
      <c r="S56" s="98"/>
      <c r="T56" s="98"/>
      <c r="U56" s="98"/>
      <c r="V56" s="187"/>
    </row>
    <row r="57" spans="1:22" ht="15.75" thickBot="1" x14ac:dyDescent="0.3">
      <c r="A57" s="97"/>
      <c r="B57" s="98"/>
      <c r="C57" s="98"/>
      <c r="D57" s="98"/>
      <c r="E57" s="98"/>
      <c r="F57" s="173" t="s">
        <v>389</v>
      </c>
      <c r="G57" s="98"/>
      <c r="H57" s="98"/>
      <c r="I57" s="98"/>
      <c r="J57" s="98"/>
      <c r="K57" s="98"/>
      <c r="L57" s="187"/>
      <c r="M57" s="98"/>
      <c r="N57" s="98"/>
      <c r="O57" s="98"/>
      <c r="P57" s="98"/>
      <c r="Q57" s="98"/>
      <c r="R57" s="98"/>
      <c r="S57" s="98"/>
      <c r="T57" s="98"/>
      <c r="U57" s="98"/>
      <c r="V57" s="187"/>
    </row>
    <row r="58" spans="1:22" x14ac:dyDescent="0.25">
      <c r="A58" s="97"/>
      <c r="B58" s="98"/>
      <c r="C58" s="98"/>
      <c r="D58" s="98"/>
      <c r="E58" s="98"/>
      <c r="F58" s="222" t="s">
        <v>390</v>
      </c>
      <c r="G58" s="192" t="s">
        <v>391</v>
      </c>
      <c r="H58" s="192" t="s">
        <v>299</v>
      </c>
      <c r="I58" s="192" t="s">
        <v>392</v>
      </c>
      <c r="J58" s="192" t="s">
        <v>393</v>
      </c>
      <c r="K58" s="192" t="s">
        <v>394</v>
      </c>
      <c r="L58" s="224" t="s">
        <v>395</v>
      </c>
      <c r="M58" s="98"/>
      <c r="N58" s="98"/>
      <c r="O58" s="98"/>
      <c r="P58" s="98"/>
      <c r="Q58" s="98"/>
      <c r="R58" s="98"/>
      <c r="S58" s="98"/>
      <c r="T58" s="98"/>
      <c r="U58" s="98"/>
      <c r="V58" s="187"/>
    </row>
    <row r="59" spans="1:22" x14ac:dyDescent="0.25">
      <c r="A59" s="97"/>
      <c r="B59" s="98"/>
      <c r="C59" s="98"/>
      <c r="D59" s="98"/>
      <c r="E59" s="98"/>
      <c r="F59" s="190" t="s">
        <v>396</v>
      </c>
      <c r="G59" s="227">
        <v>173160</v>
      </c>
      <c r="H59" s="111">
        <v>2</v>
      </c>
      <c r="I59" s="111">
        <v>86580</v>
      </c>
      <c r="J59" s="111">
        <v>32.589711417816815</v>
      </c>
      <c r="K59" s="111">
        <v>1.4127922936206632E-5</v>
      </c>
      <c r="L59" s="191">
        <v>3.8852938346523942</v>
      </c>
      <c r="M59" s="98"/>
      <c r="N59" s="98"/>
      <c r="O59" s="98"/>
      <c r="P59" s="98"/>
      <c r="Q59" s="98"/>
      <c r="R59" s="98"/>
      <c r="S59" s="98"/>
      <c r="T59" s="98"/>
      <c r="U59" s="98"/>
      <c r="V59" s="187"/>
    </row>
    <row r="60" spans="1:22" x14ac:dyDescent="0.25">
      <c r="A60" s="97"/>
      <c r="B60" s="98"/>
      <c r="C60" s="98"/>
      <c r="D60" s="98"/>
      <c r="E60" s="98"/>
      <c r="F60" s="190" t="s">
        <v>397</v>
      </c>
      <c r="G60" s="204">
        <v>31880</v>
      </c>
      <c r="H60" s="111">
        <v>12</v>
      </c>
      <c r="I60" s="111">
        <v>2656.6666666666665</v>
      </c>
      <c r="J60" s="111"/>
      <c r="K60" s="111"/>
      <c r="L60" s="191"/>
      <c r="M60" s="98"/>
      <c r="N60" s="98"/>
      <c r="O60" s="98"/>
      <c r="P60" s="98"/>
      <c r="Q60" s="98"/>
      <c r="R60" s="98"/>
      <c r="S60" s="98"/>
      <c r="T60" s="98"/>
      <c r="U60" s="98"/>
      <c r="V60" s="187"/>
    </row>
    <row r="61" spans="1:22" x14ac:dyDescent="0.25">
      <c r="A61" s="97"/>
      <c r="B61" s="98"/>
      <c r="C61" s="98"/>
      <c r="D61" s="98"/>
      <c r="E61" s="98"/>
      <c r="F61" s="190"/>
      <c r="G61" s="111"/>
      <c r="H61" s="111"/>
      <c r="I61" s="111"/>
      <c r="J61" s="111"/>
      <c r="K61" s="111"/>
      <c r="L61" s="191"/>
      <c r="M61" s="98"/>
      <c r="N61" s="98"/>
      <c r="O61" s="98"/>
      <c r="P61" s="98"/>
      <c r="Q61" s="98"/>
      <c r="R61" s="98"/>
      <c r="S61" s="98"/>
      <c r="T61" s="98"/>
      <c r="U61" s="98"/>
      <c r="V61" s="187"/>
    </row>
    <row r="62" spans="1:22" x14ac:dyDescent="0.25">
      <c r="B62" s="98"/>
      <c r="C62" s="98"/>
      <c r="D62" s="98"/>
      <c r="E62" s="98"/>
      <c r="F62" s="190" t="s">
        <v>398</v>
      </c>
      <c r="G62" s="194">
        <v>205040</v>
      </c>
      <c r="H62" s="111">
        <v>14</v>
      </c>
      <c r="I62" s="111"/>
      <c r="J62" s="111"/>
      <c r="K62" s="111"/>
      <c r="L62" s="191"/>
      <c r="M62" s="98"/>
      <c r="N62" s="98"/>
      <c r="O62" s="98"/>
      <c r="P62" s="98"/>
      <c r="Q62" s="98"/>
      <c r="R62" s="98"/>
      <c r="S62" s="98"/>
      <c r="T62" s="98"/>
      <c r="U62" s="98"/>
      <c r="V62" s="187"/>
    </row>
    <row r="63" spans="1:22" x14ac:dyDescent="0.25">
      <c r="B63" s="98"/>
      <c r="C63" s="98"/>
      <c r="D63" s="98"/>
      <c r="E63" s="98"/>
      <c r="F63" s="174"/>
      <c r="G63" s="188"/>
      <c r="H63" s="188"/>
      <c r="I63" s="188"/>
      <c r="J63" s="188"/>
      <c r="K63" s="188"/>
      <c r="L63" s="189"/>
      <c r="M63" s="188"/>
      <c r="N63" s="188"/>
      <c r="O63" s="188"/>
      <c r="P63" s="188"/>
      <c r="Q63" s="188"/>
      <c r="R63" s="188"/>
      <c r="S63" s="188"/>
      <c r="T63" s="188"/>
      <c r="U63" s="188"/>
      <c r="V63" s="189"/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5" sqref="F5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W15" sqref="W15"/>
    </sheetView>
  </sheetViews>
  <sheetFormatPr defaultRowHeight="15" x14ac:dyDescent="0.25"/>
  <sheetData>
    <row r="1" spans="1:5" x14ac:dyDescent="0.25">
      <c r="A1" s="80" t="s">
        <v>123</v>
      </c>
    </row>
    <row r="2" spans="1:5" x14ac:dyDescent="0.25">
      <c r="A2" t="s">
        <v>106</v>
      </c>
    </row>
    <row r="6" spans="1:5" x14ac:dyDescent="0.25">
      <c r="A6" t="s">
        <v>104</v>
      </c>
    </row>
    <row r="8" spans="1:5" ht="15.75" x14ac:dyDescent="0.25">
      <c r="E8" s="106" t="s">
        <v>105</v>
      </c>
    </row>
    <row r="11" spans="1:5" x14ac:dyDescent="0.25">
      <c r="A11" t="s">
        <v>107</v>
      </c>
    </row>
    <row r="16" spans="1:5" x14ac:dyDescent="0.25">
      <c r="A16" t="s">
        <v>108</v>
      </c>
    </row>
    <row r="22" spans="1:8" x14ac:dyDescent="0.25">
      <c r="A22" s="108" t="s">
        <v>122</v>
      </c>
    </row>
    <row r="23" spans="1:8" ht="18" x14ac:dyDescent="0.35">
      <c r="A23" t="s">
        <v>109</v>
      </c>
    </row>
    <row r="24" spans="1:8" ht="18" x14ac:dyDescent="0.35">
      <c r="A24" t="s">
        <v>113</v>
      </c>
    </row>
    <row r="25" spans="1:8" ht="16.5" customHeight="1" x14ac:dyDescent="0.35">
      <c r="A25" s="103" t="s">
        <v>114</v>
      </c>
    </row>
    <row r="26" spans="1:8" x14ac:dyDescent="0.25">
      <c r="A26" t="s">
        <v>115</v>
      </c>
    </row>
    <row r="27" spans="1:8" s="97" customFormat="1" ht="15.75" x14ac:dyDescent="0.25">
      <c r="A27" s="97" t="s">
        <v>118</v>
      </c>
      <c r="G27" s="107"/>
    </row>
    <row r="28" spans="1:8" s="97" customFormat="1" ht="15.75" x14ac:dyDescent="0.25">
      <c r="A28" s="107" t="s">
        <v>120</v>
      </c>
      <c r="G28" s="107"/>
      <c r="H28"/>
    </row>
    <row r="29" spans="1:8" s="97" customFormat="1" ht="15.75" x14ac:dyDescent="0.25">
      <c r="G29" s="107"/>
    </row>
    <row r="30" spans="1:8" s="97" customFormat="1" ht="15.75" x14ac:dyDescent="0.25">
      <c r="A30" s="107" t="s">
        <v>121</v>
      </c>
      <c r="G30"/>
    </row>
    <row r="31" spans="1:8" s="97" customFormat="1" ht="15.75" x14ac:dyDescent="0.25">
      <c r="A31" s="107"/>
    </row>
    <row r="32" spans="1:8" ht="15.75" x14ac:dyDescent="0.25">
      <c r="A32" t="s">
        <v>110</v>
      </c>
      <c r="G32" s="107"/>
    </row>
    <row r="33" spans="1:7" ht="15.75" x14ac:dyDescent="0.25">
      <c r="G33" s="107" t="s">
        <v>119</v>
      </c>
    </row>
    <row r="35" spans="1:7" x14ac:dyDescent="0.25">
      <c r="A35" s="97" t="s">
        <v>124</v>
      </c>
    </row>
    <row r="36" spans="1:7" x14ac:dyDescent="0.25">
      <c r="A36" s="97" t="s">
        <v>125</v>
      </c>
    </row>
    <row r="37" spans="1:7" x14ac:dyDescent="0.25">
      <c r="A37" t="s">
        <v>111</v>
      </c>
    </row>
    <row r="38" spans="1:7" x14ac:dyDescent="0.25">
      <c r="A38" s="100" t="s">
        <v>117</v>
      </c>
      <c r="C38" t="s">
        <v>127</v>
      </c>
    </row>
    <row r="39" spans="1:7" x14ac:dyDescent="0.25">
      <c r="A39" t="s">
        <v>112</v>
      </c>
    </row>
    <row r="42" spans="1:7" x14ac:dyDescent="0.25">
      <c r="A42" s="96" t="s">
        <v>117</v>
      </c>
      <c r="C42" s="97" t="s">
        <v>126</v>
      </c>
    </row>
    <row r="43" spans="1:7" x14ac:dyDescent="0.25">
      <c r="C43" t="s">
        <v>116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6"/>
  <sheetViews>
    <sheetView tabSelected="1" topLeftCell="A4" zoomScaleNormal="100" workbookViewId="0">
      <selection activeCell="I28" sqref="I28"/>
    </sheetView>
  </sheetViews>
  <sheetFormatPr defaultRowHeight="15" x14ac:dyDescent="0.25"/>
  <cols>
    <col min="1" max="1" width="9.5703125" customWidth="1"/>
    <col min="3" max="3" width="9.140625" customWidth="1"/>
    <col min="5" max="5" width="9.42578125" customWidth="1"/>
    <col min="6" max="6" width="9.140625" customWidth="1"/>
    <col min="7" max="7" width="10.42578125" customWidth="1"/>
    <col min="8" max="8" width="13.85546875" customWidth="1"/>
    <col min="9" max="9" width="14" customWidth="1"/>
    <col min="10" max="10" width="18.42578125" customWidth="1"/>
  </cols>
  <sheetData>
    <row r="1" spans="1:12" x14ac:dyDescent="0.25">
      <c r="A1" s="2" t="s">
        <v>0</v>
      </c>
      <c r="B1" s="2" t="s">
        <v>102</v>
      </c>
      <c r="C1" s="2"/>
      <c r="D1" s="2"/>
      <c r="E1" s="3"/>
      <c r="F1" s="2"/>
      <c r="G1" s="2"/>
    </row>
    <row r="2" spans="1:12" x14ac:dyDescent="0.25">
      <c r="A2" s="2"/>
      <c r="B2" s="2" t="s">
        <v>307</v>
      </c>
      <c r="C2" s="2"/>
      <c r="D2" s="2"/>
      <c r="E2" s="2"/>
      <c r="F2" s="2"/>
      <c r="G2" s="2"/>
    </row>
    <row r="3" spans="1:12" ht="15.75" thickBot="1" x14ac:dyDescent="0.3">
      <c r="A3" s="2"/>
      <c r="B3" s="2" t="s">
        <v>1</v>
      </c>
      <c r="C3" s="2"/>
      <c r="D3" s="2"/>
      <c r="E3" s="2"/>
      <c r="F3" s="2"/>
      <c r="G3" s="2"/>
    </row>
    <row r="4" spans="1:12" x14ac:dyDescent="0.25">
      <c r="A4" s="2"/>
      <c r="B4" s="2" t="s">
        <v>207</v>
      </c>
      <c r="C4" s="2"/>
      <c r="D4" s="2"/>
      <c r="E4" s="2"/>
      <c r="F4" s="2"/>
      <c r="G4" s="2"/>
      <c r="J4" s="155" t="s">
        <v>2</v>
      </c>
      <c r="K4" s="155"/>
    </row>
    <row r="5" spans="1:12" x14ac:dyDescent="0.25">
      <c r="J5" s="111"/>
      <c r="K5" s="111"/>
      <c r="L5" s="112"/>
    </row>
    <row r="6" spans="1:12" x14ac:dyDescent="0.25">
      <c r="B6" s="5" t="s">
        <v>2</v>
      </c>
      <c r="D6" s="6" t="s">
        <v>3</v>
      </c>
      <c r="E6" s="6"/>
      <c r="G6" s="7" t="s">
        <v>4</v>
      </c>
      <c r="H6" s="8" t="s">
        <v>5</v>
      </c>
      <c r="J6" s="111" t="s">
        <v>184</v>
      </c>
      <c r="K6" s="208">
        <v>1.4222222222222221</v>
      </c>
      <c r="L6" s="111"/>
    </row>
    <row r="7" spans="1:12" ht="18" x14ac:dyDescent="0.35">
      <c r="B7" s="4">
        <v>0.9</v>
      </c>
      <c r="D7" s="100" t="s">
        <v>9</v>
      </c>
      <c r="E7" s="207">
        <f>AVERAGE(B7:B15)</f>
        <v>1.4222222222222221</v>
      </c>
      <c r="F7" s="205">
        <f>SUM(B7:B15)/COUNT(B7:B15)</f>
        <v>1.4222222222222221</v>
      </c>
      <c r="H7" s="99" t="s">
        <v>6</v>
      </c>
      <c r="I7" s="206">
        <f>E7</f>
        <v>1.4222222222222221</v>
      </c>
      <c r="J7" s="111" t="s">
        <v>185</v>
      </c>
      <c r="K7" s="111">
        <v>0.14979409736347532</v>
      </c>
      <c r="L7" s="111"/>
    </row>
    <row r="8" spans="1:12" ht="18.75" x14ac:dyDescent="0.35">
      <c r="B8" s="4">
        <v>1.7</v>
      </c>
      <c r="D8" s="100" t="s">
        <v>138</v>
      </c>
      <c r="E8" s="39">
        <f>_xlfn.VAR.P(B7:B15)</f>
        <v>0.17950617283950643</v>
      </c>
      <c r="F8">
        <f>DEVSQ(B7:B15)/9</f>
        <v>0.17950617283950618</v>
      </c>
      <c r="H8" s="100" t="s">
        <v>8</v>
      </c>
      <c r="I8" s="203">
        <f>E11</f>
        <v>0.20194444444444493</v>
      </c>
      <c r="J8" s="111" t="s">
        <v>187</v>
      </c>
      <c r="K8" s="111">
        <v>1.5</v>
      </c>
      <c r="L8" s="111"/>
    </row>
    <row r="9" spans="1:12" ht="18" x14ac:dyDescent="0.35">
      <c r="B9" s="4">
        <v>1.2</v>
      </c>
      <c r="D9" s="100" t="s">
        <v>139</v>
      </c>
      <c r="E9" s="39">
        <f>SQRT(E8)</f>
        <v>0.42368168810972517</v>
      </c>
      <c r="F9">
        <f>_xlfn.STDEV.P(B7:B15)</f>
        <v>0.42368168810972517</v>
      </c>
      <c r="H9" s="101" t="s">
        <v>306</v>
      </c>
      <c r="I9" s="122">
        <f>E12</f>
        <v>0.44938229209042596</v>
      </c>
      <c r="J9" s="111" t="s">
        <v>189</v>
      </c>
      <c r="K9" s="111" t="e">
        <v>#N/A</v>
      </c>
      <c r="L9" s="111"/>
    </row>
    <row r="10" spans="1:12" x14ac:dyDescent="0.25">
      <c r="B10" s="4">
        <v>2.1</v>
      </c>
      <c r="D10" s="100" t="s">
        <v>77</v>
      </c>
      <c r="E10" s="39">
        <f>COUNT(B7:B15)</f>
        <v>9</v>
      </c>
      <c r="J10" s="111" t="s">
        <v>190</v>
      </c>
      <c r="K10" s="194">
        <v>0.44938229209042596</v>
      </c>
      <c r="L10" s="111"/>
    </row>
    <row r="11" spans="1:12" ht="18.75" x14ac:dyDescent="0.35">
      <c r="B11" s="4">
        <v>0.8</v>
      </c>
      <c r="D11" s="100" t="s">
        <v>305</v>
      </c>
      <c r="E11" s="202">
        <f>_xlfn.VAR.S(B7:B15)</f>
        <v>0.20194444444444493</v>
      </c>
      <c r="F11">
        <f>DEVSQ(B7:B15)/8</f>
        <v>0.20194444444444445</v>
      </c>
      <c r="J11" s="111" t="s">
        <v>192</v>
      </c>
      <c r="K11" s="204">
        <v>0.20194444444444493</v>
      </c>
      <c r="L11" s="111"/>
    </row>
    <row r="12" spans="1:12" ht="18" x14ac:dyDescent="0.35">
      <c r="B12" s="4">
        <v>1.9</v>
      </c>
      <c r="D12" s="100" t="s">
        <v>7</v>
      </c>
      <c r="E12" s="193">
        <f>SQRT(E11)</f>
        <v>0.44938229209042596</v>
      </c>
      <c r="F12">
        <f>_xlfn.STDEV.S(B7:B15)</f>
        <v>0.44938229209042596</v>
      </c>
      <c r="J12" s="111" t="s">
        <v>194</v>
      </c>
      <c r="K12" s="111">
        <v>-1.2373609449190925</v>
      </c>
      <c r="L12" s="111"/>
    </row>
    <row r="13" spans="1:12" x14ac:dyDescent="0.25">
      <c r="B13" s="4">
        <v>1.6</v>
      </c>
      <c r="J13" s="111" t="s">
        <v>196</v>
      </c>
      <c r="K13" s="111">
        <v>3.5768843438188119E-2</v>
      </c>
      <c r="L13" s="111"/>
    </row>
    <row r="14" spans="1:12" x14ac:dyDescent="0.25">
      <c r="B14" s="4">
        <v>1.1000000000000001</v>
      </c>
      <c r="J14" s="111" t="s">
        <v>197</v>
      </c>
      <c r="K14" s="111">
        <v>1.3</v>
      </c>
      <c r="L14" s="111"/>
    </row>
    <row r="15" spans="1:12" ht="17.25" x14ac:dyDescent="0.25">
      <c r="B15" s="4">
        <v>1.5</v>
      </c>
      <c r="C15" s="1"/>
      <c r="J15" s="111" t="s">
        <v>199</v>
      </c>
      <c r="K15" s="111">
        <v>0.8</v>
      </c>
      <c r="L15" s="111"/>
    </row>
    <row r="16" spans="1:12" s="97" customFormat="1" ht="17.25" x14ac:dyDescent="0.25">
      <c r="B16" s="96"/>
      <c r="C16" s="1"/>
      <c r="I16"/>
      <c r="J16" s="111" t="s">
        <v>200</v>
      </c>
      <c r="K16" s="111">
        <v>2.1</v>
      </c>
      <c r="L16" s="111"/>
    </row>
    <row r="17" spans="1:12" s="97" customFormat="1" ht="17.25" x14ac:dyDescent="0.25">
      <c r="B17" s="96"/>
      <c r="C17" s="1"/>
      <c r="I17"/>
      <c r="J17" s="111" t="s">
        <v>201</v>
      </c>
      <c r="K17" s="111">
        <v>12.799999999999999</v>
      </c>
      <c r="L17" s="111"/>
    </row>
    <row r="18" spans="1:12" x14ac:dyDescent="0.25">
      <c r="J18" s="111" t="s">
        <v>202</v>
      </c>
      <c r="K18" s="111">
        <v>9</v>
      </c>
      <c r="L18" s="111"/>
    </row>
    <row r="19" spans="1:12" ht="15.75" thickBot="1" x14ac:dyDescent="0.3">
      <c r="A19" s="9" t="s">
        <v>10</v>
      </c>
      <c r="B19" s="15" t="s">
        <v>24</v>
      </c>
      <c r="C19" s="15"/>
      <c r="D19" s="9"/>
      <c r="E19" s="9"/>
      <c r="F19" s="9"/>
      <c r="G19" s="9"/>
      <c r="H19" s="9"/>
      <c r="J19" s="157" t="s">
        <v>204</v>
      </c>
      <c r="K19" s="197">
        <v>0.34542580794934957</v>
      </c>
      <c r="L19" s="111"/>
    </row>
    <row r="20" spans="1:12" ht="18.75" thickBot="1" x14ac:dyDescent="0.4">
      <c r="A20" s="9"/>
      <c r="B20" s="110" t="s">
        <v>11</v>
      </c>
      <c r="C20" s="110" t="s">
        <v>128</v>
      </c>
      <c r="D20" s="110" t="s">
        <v>129</v>
      </c>
      <c r="E20" s="110" t="s">
        <v>13</v>
      </c>
      <c r="F20" s="110" t="s">
        <v>130</v>
      </c>
      <c r="G20" s="110" t="s">
        <v>19</v>
      </c>
      <c r="H20" s="110" t="s">
        <v>15</v>
      </c>
      <c r="I20" s="128" t="s">
        <v>16</v>
      </c>
      <c r="J20" s="128" t="s">
        <v>17</v>
      </c>
      <c r="K20" s="111"/>
      <c r="L20" s="111"/>
    </row>
    <row r="21" spans="1:12" ht="15.75" thickBot="1" x14ac:dyDescent="0.3">
      <c r="B21" s="123">
        <v>9</v>
      </c>
      <c r="C21" s="195">
        <f>E12</f>
        <v>0.44938229209042596</v>
      </c>
      <c r="D21" s="123">
        <v>0.95</v>
      </c>
      <c r="E21" s="123">
        <v>0.05</v>
      </c>
      <c r="F21" s="123">
        <f>1-E21/2</f>
        <v>0.97499999999999998</v>
      </c>
      <c r="G21" s="123">
        <f>_xlfn.T.INV(F21,8)</f>
        <v>2.3060041352041662</v>
      </c>
      <c r="H21" s="196">
        <f>C21*G21/SQRT(B21)</f>
        <v>0.34542580794934957</v>
      </c>
      <c r="I21" s="129">
        <f>K6-H21</f>
        <v>1.0767964142728725</v>
      </c>
      <c r="J21" s="130">
        <f>K6+H21</f>
        <v>1.7676480301715716</v>
      </c>
      <c r="K21" s="111"/>
      <c r="L21" s="111"/>
    </row>
    <row r="22" spans="1:12" x14ac:dyDescent="0.25">
      <c r="H22" s="198">
        <f>_xlfn.CONFIDENCE.T(0.05,K10,K18)</f>
        <v>0.34542580794934974</v>
      </c>
      <c r="K22" s="98"/>
      <c r="L22" s="98"/>
    </row>
    <row r="23" spans="1:12" x14ac:dyDescent="0.25">
      <c r="B23" s="9" t="s">
        <v>18</v>
      </c>
      <c r="K23" s="98"/>
      <c r="L23" s="98"/>
    </row>
    <row r="24" spans="1:12" x14ac:dyDescent="0.25">
      <c r="B24" s="101" t="s">
        <v>20</v>
      </c>
      <c r="C24" s="131">
        <f>I21</f>
        <v>1.0767964142728725</v>
      </c>
      <c r="D24" s="96" t="s">
        <v>21</v>
      </c>
      <c r="E24" s="109">
        <f>J21</f>
        <v>1.7676480301715716</v>
      </c>
      <c r="F24" t="s">
        <v>103</v>
      </c>
    </row>
    <row r="26" spans="1:12" s="97" customFormat="1" x14ac:dyDescent="0.25">
      <c r="A26" s="97" t="s">
        <v>133</v>
      </c>
    </row>
    <row r="27" spans="1:12" ht="18" x14ac:dyDescent="0.35">
      <c r="A27" s="12"/>
      <c r="B27" s="15" t="s">
        <v>23</v>
      </c>
      <c r="C27" s="12"/>
      <c r="D27" s="13"/>
      <c r="E27" s="14"/>
    </row>
    <row r="28" spans="1:12" ht="15" customHeight="1" x14ac:dyDescent="0.35">
      <c r="B28" s="16" t="s">
        <v>132</v>
      </c>
      <c r="C28" s="39">
        <v>0.05</v>
      </c>
      <c r="G28" s="100" t="s">
        <v>150</v>
      </c>
      <c r="H28" s="39">
        <v>1</v>
      </c>
    </row>
    <row r="29" spans="1:12" s="97" customFormat="1" x14ac:dyDescent="0.25">
      <c r="B29" t="s">
        <v>131</v>
      </c>
      <c r="C29"/>
      <c r="D29"/>
      <c r="E29"/>
      <c r="F29"/>
      <c r="J29"/>
    </row>
    <row r="30" spans="1:12" s="97" customFormat="1" x14ac:dyDescent="0.25">
      <c r="B30"/>
      <c r="C30"/>
      <c r="D30"/>
      <c r="E30"/>
      <c r="F30"/>
    </row>
    <row r="32" spans="1:12" x14ac:dyDescent="0.25">
      <c r="A32" s="17" t="s">
        <v>26</v>
      </c>
      <c r="B32" s="17" t="s">
        <v>27</v>
      </c>
      <c r="C32" s="17"/>
      <c r="D32" s="17"/>
    </row>
    <row r="33" spans="1:15" x14ac:dyDescent="0.25">
      <c r="A33" s="19"/>
      <c r="B33" s="103" t="s">
        <v>30</v>
      </c>
      <c r="C33" s="98"/>
      <c r="D33" s="102"/>
    </row>
    <row r="34" spans="1:15" ht="18" x14ac:dyDescent="0.35">
      <c r="A34" s="18"/>
      <c r="B34" t="s">
        <v>151</v>
      </c>
      <c r="G34" s="100" t="s">
        <v>40</v>
      </c>
      <c r="H34" s="79">
        <f>(K6-1)/(K10/SQRT(K18))</f>
        <v>2.818683977898675</v>
      </c>
    </row>
    <row r="35" spans="1:15" x14ac:dyDescent="0.25">
      <c r="C35" s="20" t="s">
        <v>322</v>
      </c>
      <c r="D35" s="127">
        <f>_xlfn.T.INV(0.025,8)</f>
        <v>-2.3060041352041671</v>
      </c>
    </row>
    <row r="36" spans="1:15" x14ac:dyDescent="0.25">
      <c r="C36" s="20" t="s">
        <v>323</v>
      </c>
      <c r="D36" s="199">
        <f>_xlfn.T.INV(0.975,8)</f>
        <v>2.3060041352041662</v>
      </c>
      <c r="F36" s="21" t="s">
        <v>33</v>
      </c>
      <c r="G36" s="229" t="s">
        <v>331</v>
      </c>
      <c r="H36" s="230"/>
      <c r="I36" s="230"/>
      <c r="J36" s="230"/>
      <c r="K36" s="231"/>
    </row>
    <row r="38" spans="1:15" x14ac:dyDescent="0.25">
      <c r="B38" s="17"/>
      <c r="C38" s="114">
        <f>D36</f>
        <v>2.3060041352041662</v>
      </c>
      <c r="D38" s="115" t="s">
        <v>134</v>
      </c>
      <c r="E38" s="116">
        <f>H34</f>
        <v>2.818683977898675</v>
      </c>
      <c r="F38" s="116"/>
      <c r="G38" s="116" t="s">
        <v>135</v>
      </c>
      <c r="H38" s="117" t="s">
        <v>308</v>
      </c>
      <c r="J38" s="122" t="s">
        <v>137</v>
      </c>
      <c r="K38" s="122"/>
      <c r="L38" s="122"/>
      <c r="M38" s="122"/>
      <c r="N38" s="122"/>
      <c r="O38" s="122"/>
    </row>
    <row r="39" spans="1:15" x14ac:dyDescent="0.25">
      <c r="C39" s="118"/>
      <c r="D39" s="119"/>
      <c r="E39" s="120"/>
      <c r="F39" s="120"/>
      <c r="G39" s="120" t="s">
        <v>136</v>
      </c>
      <c r="H39" s="121" t="s">
        <v>309</v>
      </c>
      <c r="J39" s="122" t="s">
        <v>311</v>
      </c>
      <c r="K39" s="122"/>
      <c r="L39" s="122"/>
      <c r="M39" s="122"/>
      <c r="N39" s="122"/>
      <c r="O39" s="122"/>
    </row>
    <row r="42" spans="1:15" x14ac:dyDescent="0.25">
      <c r="A42" s="24" t="s">
        <v>34</v>
      </c>
      <c r="B42" s="24" t="s">
        <v>35</v>
      </c>
      <c r="L42" s="212"/>
      <c r="M42" s="212"/>
    </row>
    <row r="43" spans="1:15" x14ac:dyDescent="0.25">
      <c r="A43" s="24"/>
      <c r="B43" s="103" t="s">
        <v>30</v>
      </c>
      <c r="C43" s="98"/>
      <c r="D43" s="98"/>
    </row>
    <row r="44" spans="1:15" ht="18.75" customHeight="1" x14ac:dyDescent="0.35">
      <c r="A44" s="24"/>
      <c r="B44" s="25" t="s">
        <v>36</v>
      </c>
      <c r="C44" s="22">
        <f>C24</f>
        <v>1.0767964142728725</v>
      </c>
      <c r="D44" s="23">
        <f>E24</f>
        <v>1.7676480301715716</v>
      </c>
    </row>
    <row r="45" spans="1:15" x14ac:dyDescent="0.25">
      <c r="C45" s="133"/>
      <c r="D45" s="133"/>
      <c r="E45" s="133"/>
      <c r="F45" s="133"/>
      <c r="G45" s="133"/>
      <c r="H45" s="133"/>
    </row>
    <row r="46" spans="1:15" x14ac:dyDescent="0.25">
      <c r="B46" s="132"/>
      <c r="C46" s="47">
        <v>1</v>
      </c>
      <c r="D46" s="139" t="s">
        <v>310</v>
      </c>
      <c r="E46" s="47" t="s">
        <v>152</v>
      </c>
      <c r="F46" s="98"/>
      <c r="G46" s="47" t="s">
        <v>135</v>
      </c>
      <c r="H46" s="134" t="s">
        <v>308</v>
      </c>
      <c r="J46" s="122" t="s">
        <v>137</v>
      </c>
    </row>
    <row r="47" spans="1:15" x14ac:dyDescent="0.25">
      <c r="B47" s="132"/>
      <c r="C47" s="135"/>
      <c r="D47" s="133"/>
      <c r="E47" s="133"/>
      <c r="F47" s="133"/>
      <c r="G47" s="136" t="s">
        <v>136</v>
      </c>
      <c r="H47" s="137" t="s">
        <v>309</v>
      </c>
      <c r="J47" s="122" t="s">
        <v>311</v>
      </c>
    </row>
    <row r="49" spans="1:10" x14ac:dyDescent="0.25">
      <c r="A49" s="28" t="s">
        <v>37</v>
      </c>
      <c r="B49" s="28" t="s">
        <v>38</v>
      </c>
      <c r="C49" s="28"/>
    </row>
    <row r="50" spans="1:10" x14ac:dyDescent="0.25">
      <c r="A50" s="28"/>
      <c r="B50" s="103" t="s">
        <v>28</v>
      </c>
      <c r="C50" s="98"/>
      <c r="D50" s="98"/>
    </row>
    <row r="51" spans="1:10" ht="18" x14ac:dyDescent="0.35">
      <c r="C51" s="100" t="s">
        <v>140</v>
      </c>
      <c r="D51" s="79">
        <f>_xlfn.T.DIST(H34,8,1)</f>
        <v>0.98873024183165292</v>
      </c>
      <c r="E51" s="29"/>
    </row>
    <row r="52" spans="1:10" ht="18" x14ac:dyDescent="0.35">
      <c r="C52" s="100" t="s">
        <v>141</v>
      </c>
      <c r="D52" s="79">
        <f>1-D51</f>
        <v>1.1269758168347077E-2</v>
      </c>
    </row>
    <row r="53" spans="1:10" ht="18" x14ac:dyDescent="0.35">
      <c r="C53" s="100" t="s">
        <v>101</v>
      </c>
      <c r="D53" s="79">
        <f>2*D52</f>
        <v>2.2539516336694154E-2</v>
      </c>
    </row>
    <row r="54" spans="1:10" x14ac:dyDescent="0.25">
      <c r="B54" s="133"/>
      <c r="C54" s="133"/>
      <c r="D54" s="133"/>
      <c r="E54" s="133"/>
      <c r="F54" s="133"/>
      <c r="G54" s="133"/>
      <c r="H54" s="133"/>
    </row>
    <row r="55" spans="1:10" x14ac:dyDescent="0.25">
      <c r="A55" s="132"/>
      <c r="B55" s="138" t="s">
        <v>39</v>
      </c>
      <c r="C55" s="141">
        <f>D53</f>
        <v>2.2539516336694154E-2</v>
      </c>
      <c r="D55" s="48" t="s">
        <v>134</v>
      </c>
      <c r="E55" s="140">
        <v>0.05</v>
      </c>
      <c r="F55" s="47" t="s">
        <v>142</v>
      </c>
      <c r="G55" s="47" t="s">
        <v>135</v>
      </c>
      <c r="H55" s="134" t="s">
        <v>308</v>
      </c>
      <c r="J55" s="122" t="s">
        <v>137</v>
      </c>
    </row>
    <row r="56" spans="1:10" x14ac:dyDescent="0.25">
      <c r="A56" s="132"/>
      <c r="B56" s="135"/>
      <c r="C56" s="133"/>
      <c r="D56" s="133"/>
      <c r="E56" s="133"/>
      <c r="F56" s="133"/>
      <c r="G56" s="136" t="s">
        <v>136</v>
      </c>
      <c r="H56" s="137" t="s">
        <v>309</v>
      </c>
      <c r="J56" s="122" t="s">
        <v>311</v>
      </c>
    </row>
  </sheetData>
  <mergeCells count="1">
    <mergeCell ref="G36:K3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7"/>
  <sheetViews>
    <sheetView zoomScaleNormal="100" workbookViewId="0">
      <selection activeCell="U77" sqref="U77"/>
    </sheetView>
  </sheetViews>
  <sheetFormatPr defaultRowHeight="15" x14ac:dyDescent="0.25"/>
  <cols>
    <col min="2" max="2" width="9.7109375" customWidth="1"/>
    <col min="8" max="8" width="8.28515625" customWidth="1"/>
    <col min="9" max="9" width="22.7109375" customWidth="1"/>
    <col min="10" max="10" width="23.5703125" customWidth="1"/>
    <col min="13" max="13" width="14.85546875" customWidth="1"/>
    <col min="15" max="15" width="13.7109375" customWidth="1"/>
  </cols>
  <sheetData>
    <row r="1" spans="1:14" x14ac:dyDescent="0.25">
      <c r="A1" s="30" t="s">
        <v>41</v>
      </c>
      <c r="B1" s="30" t="s">
        <v>42</v>
      </c>
      <c r="C1" s="30"/>
      <c r="D1" s="30"/>
      <c r="E1" s="30"/>
      <c r="F1" s="30"/>
      <c r="G1" s="30"/>
      <c r="H1" s="30"/>
      <c r="I1" s="30"/>
      <c r="J1" s="155" t="s">
        <v>181</v>
      </c>
      <c r="K1" s="155"/>
      <c r="M1" s="112"/>
      <c r="N1" s="112"/>
    </row>
    <row r="2" spans="1:14" x14ac:dyDescent="0.25">
      <c r="A2" s="30" t="s">
        <v>43</v>
      </c>
      <c r="B2" s="30"/>
      <c r="C2" s="30"/>
      <c r="D2" s="30"/>
      <c r="E2" s="30"/>
      <c r="F2" s="30"/>
      <c r="G2" s="30"/>
      <c r="H2" s="30"/>
      <c r="I2" s="30"/>
      <c r="J2" s="111"/>
      <c r="K2" s="111"/>
      <c r="M2" s="111"/>
      <c r="N2" s="111"/>
    </row>
    <row r="3" spans="1:14" x14ac:dyDescent="0.25">
      <c r="A3" s="30"/>
      <c r="B3" s="30" t="s">
        <v>44</v>
      </c>
      <c r="C3" s="30"/>
      <c r="D3" s="30"/>
      <c r="E3" s="30"/>
      <c r="F3" s="30"/>
      <c r="G3" s="30"/>
      <c r="H3" s="30"/>
      <c r="I3" s="30"/>
      <c r="J3" s="111" t="s">
        <v>184</v>
      </c>
      <c r="K3" s="208">
        <v>31.212499999999999</v>
      </c>
      <c r="M3" s="111"/>
      <c r="N3" s="111"/>
    </row>
    <row r="4" spans="1:14" x14ac:dyDescent="0.25">
      <c r="A4" s="30"/>
      <c r="B4" s="30" t="s">
        <v>287</v>
      </c>
      <c r="C4" s="30"/>
      <c r="D4" s="30"/>
      <c r="E4" s="30"/>
      <c r="F4" s="30"/>
      <c r="G4" s="30"/>
      <c r="H4" s="30"/>
      <c r="I4" s="30"/>
      <c r="J4" s="111" t="s">
        <v>185</v>
      </c>
      <c r="K4" s="111">
        <v>0.19405218370325047</v>
      </c>
      <c r="M4" s="111"/>
      <c r="N4" s="111"/>
    </row>
    <row r="5" spans="1:14" x14ac:dyDescent="0.25">
      <c r="A5" s="30"/>
      <c r="B5" s="30" t="s">
        <v>315</v>
      </c>
      <c r="C5" s="30"/>
      <c r="D5" s="30"/>
      <c r="E5" s="30"/>
      <c r="F5" s="30"/>
      <c r="G5" s="30"/>
      <c r="H5" s="30"/>
      <c r="I5" s="30"/>
      <c r="J5" s="111" t="s">
        <v>187</v>
      </c>
      <c r="K5" s="111">
        <v>31.1</v>
      </c>
      <c r="M5" s="111"/>
      <c r="N5" s="111"/>
    </row>
    <row r="6" spans="1:14" x14ac:dyDescent="0.25">
      <c r="J6" s="111" t="s">
        <v>189</v>
      </c>
      <c r="K6" s="111">
        <v>31.1</v>
      </c>
      <c r="M6" s="111"/>
      <c r="N6" s="111"/>
    </row>
    <row r="7" spans="1:14" x14ac:dyDescent="0.25">
      <c r="B7" s="32" t="s">
        <v>45</v>
      </c>
      <c r="J7" s="111" t="s">
        <v>190</v>
      </c>
      <c r="K7" s="194">
        <v>0.54886246000250427</v>
      </c>
      <c r="M7" s="111"/>
      <c r="N7" s="111"/>
    </row>
    <row r="8" spans="1:14" x14ac:dyDescent="0.25">
      <c r="B8" s="31"/>
      <c r="E8" s="35" t="s">
        <v>5</v>
      </c>
      <c r="F8" s="33"/>
      <c r="J8" s="111" t="s">
        <v>192</v>
      </c>
      <c r="K8" s="204">
        <v>0.30125000000000057</v>
      </c>
      <c r="M8" s="111"/>
      <c r="N8" s="111"/>
    </row>
    <row r="9" spans="1:14" ht="18" x14ac:dyDescent="0.35">
      <c r="B9" s="32">
        <v>31.1</v>
      </c>
      <c r="E9" s="34" t="s">
        <v>6</v>
      </c>
      <c r="F9" s="209">
        <f>AVERAGE(B9:B16)</f>
        <v>31.212499999999999</v>
      </c>
      <c r="J9" s="111" t="s">
        <v>194</v>
      </c>
      <c r="K9" s="111">
        <v>-0.80872672892781505</v>
      </c>
      <c r="M9" s="111"/>
      <c r="N9" s="111"/>
    </row>
    <row r="10" spans="1:14" ht="18.75" x14ac:dyDescent="0.35">
      <c r="B10" s="32">
        <v>31.8</v>
      </c>
      <c r="E10" s="100" t="s">
        <v>8</v>
      </c>
      <c r="F10" s="211">
        <f>_xlfn.VAR.S(B9:B16)</f>
        <v>0.30125000000000057</v>
      </c>
      <c r="J10" s="111" t="s">
        <v>196</v>
      </c>
      <c r="K10" s="111">
        <v>0.45608151543841757</v>
      </c>
      <c r="M10" s="111"/>
      <c r="N10" s="111"/>
    </row>
    <row r="11" spans="1:14" ht="18" x14ac:dyDescent="0.35">
      <c r="B11" s="32">
        <v>30.7</v>
      </c>
      <c r="E11" s="100" t="s">
        <v>312</v>
      </c>
      <c r="F11" s="210">
        <f>_xlfn.STDEV.S(B9:B16)</f>
        <v>0.54886246000250427</v>
      </c>
      <c r="J11" s="111" t="s">
        <v>197</v>
      </c>
      <c r="K11" s="111">
        <v>1.6000000000000014</v>
      </c>
      <c r="M11" s="111"/>
      <c r="N11" s="111"/>
    </row>
    <row r="12" spans="1:14" x14ac:dyDescent="0.25">
      <c r="B12" s="32">
        <v>30.5</v>
      </c>
      <c r="J12" s="111" t="s">
        <v>199</v>
      </c>
      <c r="K12" s="111">
        <v>30.5</v>
      </c>
      <c r="M12" s="111"/>
      <c r="N12" s="111"/>
    </row>
    <row r="13" spans="1:14" x14ac:dyDescent="0.25">
      <c r="B13" s="32">
        <v>30.9</v>
      </c>
      <c r="J13" s="111" t="s">
        <v>200</v>
      </c>
      <c r="K13" s="111">
        <v>32.1</v>
      </c>
      <c r="M13" s="111"/>
      <c r="N13" s="111"/>
    </row>
    <row r="14" spans="1:14" x14ac:dyDescent="0.25">
      <c r="B14" s="32">
        <v>31.5</v>
      </c>
      <c r="J14" s="111" t="s">
        <v>201</v>
      </c>
      <c r="K14" s="111">
        <v>249.7</v>
      </c>
      <c r="M14" s="111"/>
      <c r="N14" s="111"/>
    </row>
    <row r="15" spans="1:14" x14ac:dyDescent="0.25">
      <c r="B15" s="32">
        <v>31.1</v>
      </c>
      <c r="J15" s="111" t="s">
        <v>202</v>
      </c>
      <c r="K15" s="111">
        <v>8</v>
      </c>
      <c r="M15" s="111"/>
      <c r="N15" s="111"/>
    </row>
    <row r="16" spans="1:14" ht="15.75" thickBot="1" x14ac:dyDescent="0.3">
      <c r="B16" s="32">
        <v>32.1</v>
      </c>
      <c r="J16" s="157" t="s">
        <v>204</v>
      </c>
      <c r="K16" s="157">
        <v>0.45886049965924425</v>
      </c>
      <c r="M16" s="111"/>
      <c r="N16" s="111"/>
    </row>
    <row r="18" spans="1:12" x14ac:dyDescent="0.25">
      <c r="A18" s="33" t="s">
        <v>4</v>
      </c>
      <c r="B18" s="33" t="s">
        <v>46</v>
      </c>
      <c r="C18" s="33"/>
      <c r="D18" s="33"/>
      <c r="E18" s="33"/>
      <c r="F18" s="33"/>
      <c r="G18" s="33"/>
      <c r="J18" s="33"/>
      <c r="K18" s="33"/>
      <c r="L18" s="33"/>
    </row>
    <row r="19" spans="1:12" ht="36" x14ac:dyDescent="0.35">
      <c r="A19" s="36"/>
      <c r="B19" s="128" t="s">
        <v>11</v>
      </c>
      <c r="C19" s="151" t="s">
        <v>156</v>
      </c>
      <c r="D19" s="151" t="s">
        <v>157</v>
      </c>
      <c r="E19" s="151" t="s">
        <v>158</v>
      </c>
      <c r="F19" s="128" t="s">
        <v>129</v>
      </c>
      <c r="G19" s="152" t="s">
        <v>13</v>
      </c>
      <c r="H19" s="110" t="s">
        <v>130</v>
      </c>
      <c r="I19" s="110" t="s">
        <v>19</v>
      </c>
      <c r="J19" s="128" t="s">
        <v>15</v>
      </c>
      <c r="K19" s="128" t="s">
        <v>16</v>
      </c>
      <c r="L19" s="128" t="s">
        <v>17</v>
      </c>
    </row>
    <row r="20" spans="1:12" x14ac:dyDescent="0.25">
      <c r="B20" s="79">
        <f>K15</f>
        <v>8</v>
      </c>
      <c r="C20" s="79">
        <f>K3</f>
        <v>31.212499999999999</v>
      </c>
      <c r="D20" s="79">
        <f>K8</f>
        <v>0.30125000000000057</v>
      </c>
      <c r="E20" s="79">
        <f>K7</f>
        <v>0.54886246000250427</v>
      </c>
      <c r="F20" s="79">
        <v>0.95</v>
      </c>
      <c r="G20" s="79">
        <v>0.05</v>
      </c>
      <c r="H20" s="79">
        <f>1-G20/2</f>
        <v>0.97499999999999998</v>
      </c>
      <c r="I20" s="79">
        <f>_xlfn.T.INV(H20,B20-1)</f>
        <v>2.3646242515927849</v>
      </c>
      <c r="J20" s="79">
        <f>_xlfn.CONFIDENCE.T(0.05,K7,K15)</f>
        <v>0.45886049965924425</v>
      </c>
      <c r="K20" s="79">
        <f>K3-K16</f>
        <v>30.753639500340753</v>
      </c>
      <c r="L20" s="79">
        <f>K3+K16</f>
        <v>31.671360499659244</v>
      </c>
    </row>
    <row r="21" spans="1:12" x14ac:dyDescent="0.25">
      <c r="B21" s="97" t="s">
        <v>288</v>
      </c>
      <c r="C21" s="97"/>
      <c r="D21" s="97"/>
      <c r="E21" s="97"/>
      <c r="F21" s="97"/>
      <c r="G21" s="97"/>
      <c r="J21">
        <f>I20*K4</f>
        <v>0.45886049965924425</v>
      </c>
    </row>
    <row r="22" spans="1:12" x14ac:dyDescent="0.25">
      <c r="B22" s="101" t="s">
        <v>20</v>
      </c>
      <c r="C22" s="131">
        <f>K20</f>
        <v>30.753639500340753</v>
      </c>
      <c r="D22" s="96" t="s">
        <v>21</v>
      </c>
      <c r="E22" s="109">
        <f>L20</f>
        <v>31.671360499659244</v>
      </c>
      <c r="F22" s="97" t="s">
        <v>103</v>
      </c>
      <c r="G22" s="97"/>
    </row>
    <row r="24" spans="1:12" x14ac:dyDescent="0.25">
      <c r="A24" s="38" t="s">
        <v>10</v>
      </c>
      <c r="B24" s="38" t="s">
        <v>50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 ht="36" x14ac:dyDescent="0.25">
      <c r="A25" s="38"/>
      <c r="B25" s="150" t="s">
        <v>11</v>
      </c>
      <c r="C25" s="149" t="s">
        <v>156</v>
      </c>
      <c r="D25" s="149" t="s">
        <v>157</v>
      </c>
      <c r="E25" s="149" t="s">
        <v>158</v>
      </c>
      <c r="F25" s="150" t="s">
        <v>51</v>
      </c>
      <c r="G25" s="150" t="s">
        <v>13</v>
      </c>
      <c r="H25" s="150" t="s">
        <v>52</v>
      </c>
      <c r="I25" s="153" t="s">
        <v>159</v>
      </c>
      <c r="J25" s="153" t="s">
        <v>160</v>
      </c>
      <c r="K25" s="150" t="s">
        <v>16</v>
      </c>
      <c r="L25" s="150" t="s">
        <v>17</v>
      </c>
    </row>
    <row r="26" spans="1:12" x14ac:dyDescent="0.25">
      <c r="B26" s="79">
        <f>B20</f>
        <v>8</v>
      </c>
      <c r="C26" s="79">
        <f t="shared" ref="C26:E26" si="0">C20</f>
        <v>31.212499999999999</v>
      </c>
      <c r="D26" s="79">
        <f t="shared" si="0"/>
        <v>0.30125000000000057</v>
      </c>
      <c r="E26" s="79">
        <f t="shared" si="0"/>
        <v>0.54886246000250427</v>
      </c>
      <c r="F26" s="79">
        <v>0.99</v>
      </c>
      <c r="G26" s="79">
        <v>0.01</v>
      </c>
      <c r="H26" s="79">
        <f>1-G26/2</f>
        <v>0.995</v>
      </c>
      <c r="I26" s="79">
        <f>_xlfn.CHISQ.INV(0.995,7)</f>
        <v>20.277739874962634</v>
      </c>
      <c r="J26" s="79">
        <f>_xlfn.CHISQ.INV(0.005,7)</f>
        <v>0.98925568313295043</v>
      </c>
      <c r="K26" s="79">
        <f>7*K8/I26</f>
        <v>0.10399334506720463</v>
      </c>
      <c r="L26" s="79">
        <f>7*K8/J26</f>
        <v>2.131653156969127</v>
      </c>
    </row>
    <row r="27" spans="1:12" x14ac:dyDescent="0.25">
      <c r="B27" s="97" t="s">
        <v>326</v>
      </c>
      <c r="C27" s="97"/>
      <c r="D27" s="97"/>
      <c r="E27" s="97"/>
      <c r="F27" s="97"/>
      <c r="G27" s="97"/>
    </row>
    <row r="28" spans="1:12" x14ac:dyDescent="0.25">
      <c r="B28" s="101" t="s">
        <v>20</v>
      </c>
      <c r="C28" s="131">
        <f>K26</f>
        <v>0.10399334506720463</v>
      </c>
      <c r="D28" s="96" t="s">
        <v>143</v>
      </c>
      <c r="E28" s="109">
        <f>L26</f>
        <v>2.131653156969127</v>
      </c>
      <c r="F28" s="97" t="s">
        <v>144</v>
      </c>
      <c r="G28" s="97"/>
    </row>
    <row r="29" spans="1:12" s="97" customFormat="1" x14ac:dyDescent="0.25">
      <c r="B29" s="101"/>
      <c r="C29" s="200"/>
      <c r="D29" s="200"/>
      <c r="E29" s="78"/>
    </row>
    <row r="30" spans="1:12" s="97" customFormat="1" x14ac:dyDescent="0.25">
      <c r="B30" s="97" t="s">
        <v>327</v>
      </c>
    </row>
    <row r="31" spans="1:12" s="97" customFormat="1" x14ac:dyDescent="0.25">
      <c r="B31" s="101" t="s">
        <v>20</v>
      </c>
      <c r="C31" s="131">
        <f>SQRT(C28)</f>
        <v>0.32247999173158731</v>
      </c>
      <c r="D31" s="96" t="s">
        <v>143</v>
      </c>
      <c r="E31" s="109">
        <f>SQRT(E28)</f>
        <v>1.4600182043279895</v>
      </c>
      <c r="F31" s="97" t="s">
        <v>144</v>
      </c>
    </row>
    <row r="34" spans="1:15" ht="18" x14ac:dyDescent="0.35">
      <c r="A34" s="40" t="s">
        <v>22</v>
      </c>
      <c r="B34" s="42" t="s">
        <v>23</v>
      </c>
      <c r="C34" s="42"/>
      <c r="D34" s="43"/>
      <c r="E34" s="44"/>
      <c r="F34" s="42"/>
      <c r="G34" s="42"/>
    </row>
    <row r="35" spans="1:15" x14ac:dyDescent="0.25">
      <c r="A35" s="40"/>
      <c r="B35" s="41" t="s">
        <v>53</v>
      </c>
      <c r="C35" s="39">
        <v>0.1</v>
      </c>
      <c r="D35" s="40"/>
      <c r="E35" s="105" t="s">
        <v>54</v>
      </c>
      <c r="F35" s="10"/>
      <c r="G35" s="11"/>
    </row>
    <row r="37" spans="1:15" x14ac:dyDescent="0.25">
      <c r="B37" s="45" t="s">
        <v>26</v>
      </c>
      <c r="C37" s="45" t="s">
        <v>27</v>
      </c>
      <c r="D37" s="45"/>
      <c r="E37" s="45"/>
      <c r="F37" s="45"/>
      <c r="G37" s="54" t="s">
        <v>33</v>
      </c>
      <c r="H37" t="s">
        <v>146</v>
      </c>
    </row>
    <row r="38" spans="1:15" ht="18" x14ac:dyDescent="0.35">
      <c r="B38" s="53" t="s">
        <v>29</v>
      </c>
      <c r="C38" s="57"/>
      <c r="D38" s="58"/>
      <c r="E38" s="56"/>
      <c r="F38" s="56"/>
      <c r="G38" s="54" t="s">
        <v>58</v>
      </c>
      <c r="H38" s="123">
        <f>(K3-30)/(K7/SQRT(K15))</f>
        <v>6.2483192760880462</v>
      </c>
      <c r="J38" s="114">
        <f>H38</f>
        <v>6.2483192760880462</v>
      </c>
      <c r="K38" s="115" t="s">
        <v>147</v>
      </c>
      <c r="L38" s="116">
        <f>H39</f>
        <v>1.8945786050900069</v>
      </c>
      <c r="M38" s="116"/>
      <c r="N38" s="116" t="s">
        <v>148</v>
      </c>
      <c r="O38" s="117" t="s">
        <v>308</v>
      </c>
    </row>
    <row r="39" spans="1:15" ht="18.75" x14ac:dyDescent="0.35">
      <c r="G39" s="100" t="s">
        <v>330</v>
      </c>
      <c r="H39" s="123">
        <f>_xlfn.T.INV(1-0.1/2,7)</f>
        <v>1.8945786050900069</v>
      </c>
      <c r="J39" s="233" t="s">
        <v>408</v>
      </c>
      <c r="K39" s="119"/>
      <c r="L39" s="120"/>
      <c r="M39" s="120"/>
      <c r="N39" s="120" t="s">
        <v>149</v>
      </c>
      <c r="O39" s="121" t="s">
        <v>309</v>
      </c>
    </row>
    <row r="40" spans="1:15" x14ac:dyDescent="0.25">
      <c r="B40" t="s">
        <v>153</v>
      </c>
    </row>
    <row r="42" spans="1:15" s="97" customFormat="1" x14ac:dyDescent="0.25"/>
    <row r="43" spans="1:15" x14ac:dyDescent="0.25">
      <c r="B43" s="45" t="s">
        <v>34</v>
      </c>
      <c r="C43" s="45" t="s">
        <v>35</v>
      </c>
      <c r="D43" s="45"/>
    </row>
    <row r="44" spans="1:15" ht="18" x14ac:dyDescent="0.35">
      <c r="C44" s="99" t="s">
        <v>6</v>
      </c>
      <c r="D44" s="79">
        <f>K3</f>
        <v>31.212499999999999</v>
      </c>
      <c r="H44" s="142">
        <v>30</v>
      </c>
      <c r="I44" s="148" t="s">
        <v>310</v>
      </c>
      <c r="J44" s="143" t="s">
        <v>313</v>
      </c>
      <c r="K44" s="144"/>
      <c r="L44" s="143" t="s">
        <v>155</v>
      </c>
      <c r="M44" s="134" t="s">
        <v>308</v>
      </c>
    </row>
    <row r="45" spans="1:15" x14ac:dyDescent="0.25">
      <c r="B45" s="100"/>
      <c r="C45" s="100" t="s">
        <v>154</v>
      </c>
      <c r="D45" s="113">
        <f>_xlfn.CONFIDENCE.T(0.1,K7,K15)</f>
        <v>0.36764711551517415</v>
      </c>
      <c r="H45" s="135"/>
      <c r="I45" s="133"/>
      <c r="J45" s="133"/>
      <c r="K45" s="133"/>
      <c r="L45" s="136" t="s">
        <v>149</v>
      </c>
      <c r="M45" s="137" t="s">
        <v>309</v>
      </c>
    </row>
    <row r="46" spans="1:15" x14ac:dyDescent="0.25">
      <c r="B46" s="97"/>
      <c r="C46" s="100" t="s">
        <v>145</v>
      </c>
      <c r="D46" s="22">
        <f>K3-D45</f>
        <v>30.844852884484823</v>
      </c>
      <c r="E46" s="23">
        <f>K3+D45</f>
        <v>31.580147115515175</v>
      </c>
    </row>
    <row r="48" spans="1:15" x14ac:dyDescent="0.25">
      <c r="D48" s="45"/>
      <c r="I48" t="s">
        <v>314</v>
      </c>
    </row>
    <row r="49" spans="1:18" x14ac:dyDescent="0.25">
      <c r="B49" t="s">
        <v>292</v>
      </c>
    </row>
    <row r="50" spans="1:18" ht="18" x14ac:dyDescent="0.35">
      <c r="C50" s="97"/>
      <c r="D50" s="100" t="s">
        <v>140</v>
      </c>
      <c r="E50" s="79">
        <f>_xlfn.T.DIST(H38,7,1)</f>
        <v>0.9997875784927549</v>
      </c>
    </row>
    <row r="51" spans="1:18" ht="18" x14ac:dyDescent="0.35">
      <c r="C51" s="97"/>
      <c r="D51" s="100" t="s">
        <v>141</v>
      </c>
      <c r="E51" s="79">
        <f>1-E50</f>
        <v>2.1242150724509745E-4</v>
      </c>
      <c r="H51" s="145" t="s">
        <v>39</v>
      </c>
      <c r="I51" s="146">
        <f>E52</f>
        <v>4.248430144901949E-4</v>
      </c>
      <c r="J51" s="147" t="s">
        <v>134</v>
      </c>
      <c r="K51" s="148">
        <v>0.1</v>
      </c>
      <c r="L51" s="143" t="s">
        <v>142</v>
      </c>
      <c r="M51" s="143" t="s">
        <v>148</v>
      </c>
      <c r="N51" s="134" t="s">
        <v>308</v>
      </c>
    </row>
    <row r="52" spans="1:18" ht="18" x14ac:dyDescent="0.35">
      <c r="C52" s="97"/>
      <c r="D52" s="100" t="s">
        <v>101</v>
      </c>
      <c r="E52" s="79">
        <f>2*E51</f>
        <v>4.248430144901949E-4</v>
      </c>
      <c r="H52" s="135"/>
      <c r="I52" s="133"/>
      <c r="J52" s="133"/>
      <c r="K52" s="133"/>
      <c r="L52" s="133"/>
      <c r="M52" s="136" t="s">
        <v>149</v>
      </c>
      <c r="N52" s="137" t="s">
        <v>309</v>
      </c>
    </row>
    <row r="54" spans="1:18" ht="18.75" x14ac:dyDescent="0.35">
      <c r="A54" s="46" t="s">
        <v>55</v>
      </c>
      <c r="B54" s="49" t="s">
        <v>56</v>
      </c>
      <c r="C54" s="49"/>
      <c r="D54" s="50"/>
      <c r="E54" s="51"/>
      <c r="F54" s="49"/>
      <c r="G54" s="49"/>
      <c r="H54" s="46"/>
    </row>
    <row r="55" spans="1:18" ht="17.25" x14ac:dyDescent="0.25">
      <c r="A55" s="46"/>
      <c r="B55" s="100" t="s">
        <v>53</v>
      </c>
      <c r="C55" s="39">
        <v>0.01</v>
      </c>
      <c r="D55" s="47"/>
      <c r="E55" s="105" t="s">
        <v>316</v>
      </c>
      <c r="F55" s="10"/>
      <c r="G55" s="11"/>
      <c r="H55" s="47"/>
    </row>
    <row r="56" spans="1:18" x14ac:dyDescent="0.25">
      <c r="A56" s="46"/>
      <c r="E56" s="46"/>
      <c r="F56" s="46"/>
      <c r="G56" s="46"/>
      <c r="H56" s="46"/>
    </row>
    <row r="57" spans="1:18" x14ac:dyDescent="0.25">
      <c r="B57" s="53" t="s">
        <v>324</v>
      </c>
      <c r="C57" s="53"/>
      <c r="D57" s="53"/>
      <c r="E57" s="53"/>
      <c r="F57" s="53"/>
      <c r="G57" s="100" t="s">
        <v>33</v>
      </c>
      <c r="H57" s="97" t="s">
        <v>161</v>
      </c>
      <c r="I57" s="97"/>
      <c r="J57" s="97"/>
      <c r="K57" s="97"/>
      <c r="L57" s="97"/>
    </row>
    <row r="58" spans="1:18" s="97" customFormat="1" ht="18.75" x14ac:dyDescent="0.35">
      <c r="B58" s="53" t="s">
        <v>29</v>
      </c>
      <c r="C58" s="57"/>
      <c r="D58" s="58"/>
      <c r="E58" s="56"/>
      <c r="F58" s="56"/>
      <c r="G58" s="55" t="s">
        <v>57</v>
      </c>
      <c r="H58" s="79">
        <f>7*K8/1</f>
        <v>2.1087500000000041</v>
      </c>
      <c r="O58" s="133"/>
    </row>
    <row r="59" spans="1:18" s="97" customFormat="1" ht="18.75" x14ac:dyDescent="0.35">
      <c r="G59" s="55" t="s">
        <v>328</v>
      </c>
      <c r="H59" s="79">
        <f>_xlfn.CHISQ.INV(0.005,7)</f>
        <v>0.98925568313295043</v>
      </c>
      <c r="I59" s="132"/>
      <c r="J59" s="116">
        <f>H59</f>
        <v>0.98925568313295043</v>
      </c>
      <c r="K59" s="115" t="s">
        <v>134</v>
      </c>
      <c r="L59" s="116">
        <f>H58</f>
        <v>2.1087500000000041</v>
      </c>
      <c r="M59" s="125"/>
      <c r="N59" s="116" t="s">
        <v>317</v>
      </c>
      <c r="O59" s="201" t="s">
        <v>309</v>
      </c>
    </row>
    <row r="60" spans="1:18" ht="18.75" x14ac:dyDescent="0.35">
      <c r="G60" s="55" t="s">
        <v>329</v>
      </c>
      <c r="H60" s="79">
        <f>_xlfn.CHISQ.INV(0.995,7)</f>
        <v>20.277739874962634</v>
      </c>
      <c r="I60" s="132"/>
      <c r="J60" s="126"/>
      <c r="K60" s="126"/>
      <c r="L60" s="126"/>
      <c r="M60" s="126"/>
      <c r="N60" s="120" t="s">
        <v>318</v>
      </c>
      <c r="O60" s="137" t="s">
        <v>308</v>
      </c>
    </row>
    <row r="62" spans="1:18" x14ac:dyDescent="0.25">
      <c r="B62" t="s">
        <v>153</v>
      </c>
    </row>
    <row r="64" spans="1:18" x14ac:dyDescent="0.25">
      <c r="B64" s="97" t="s">
        <v>325</v>
      </c>
      <c r="C64" s="97" t="s">
        <v>35</v>
      </c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124"/>
      <c r="O64" s="97"/>
      <c r="P64" s="97"/>
      <c r="Q64" s="97"/>
      <c r="R64" s="97"/>
    </row>
    <row r="65" spans="2:21" x14ac:dyDescent="0.25">
      <c r="B65" s="97"/>
      <c r="C65" s="100" t="s">
        <v>162</v>
      </c>
      <c r="D65" s="103">
        <f>K15-1</f>
        <v>7</v>
      </c>
      <c r="E65" s="86"/>
      <c r="F65" s="97"/>
      <c r="G65" s="97"/>
      <c r="H65" s="97"/>
      <c r="I65" s="97"/>
      <c r="J65" s="97"/>
      <c r="K65" s="97"/>
      <c r="L65" s="97"/>
      <c r="M65" s="97"/>
      <c r="N65" s="124"/>
      <c r="O65" s="97"/>
      <c r="P65" s="97"/>
      <c r="Q65" s="97"/>
      <c r="R65" s="97"/>
    </row>
    <row r="66" spans="2:21" ht="18.75" x14ac:dyDescent="0.35">
      <c r="B66" s="97"/>
      <c r="C66" s="100" t="s">
        <v>8</v>
      </c>
      <c r="D66" s="101">
        <f>K7</f>
        <v>0.54886246000250427</v>
      </c>
      <c r="E66" s="97"/>
      <c r="F66" s="97"/>
      <c r="G66" s="97"/>
      <c r="H66" s="97"/>
      <c r="I66" s="97"/>
      <c r="J66" s="97"/>
      <c r="K66" s="97"/>
      <c r="L66" s="97"/>
      <c r="M66" s="97"/>
      <c r="N66" s="124"/>
      <c r="O66" s="97"/>
      <c r="P66" s="97"/>
      <c r="Q66" s="97"/>
      <c r="R66" s="97"/>
    </row>
    <row r="67" spans="2:21" s="97" customFormat="1" ht="18.75" x14ac:dyDescent="0.35">
      <c r="C67" s="55" t="s">
        <v>328</v>
      </c>
      <c r="D67" s="79">
        <f>H59</f>
        <v>0.98925568313295043</v>
      </c>
      <c r="N67" s="124"/>
      <c r="O67" s="133"/>
    </row>
    <row r="68" spans="2:21" ht="18.75" x14ac:dyDescent="0.35">
      <c r="B68" s="97"/>
      <c r="C68" s="55" t="s">
        <v>329</v>
      </c>
      <c r="D68" s="79">
        <f>H60</f>
        <v>20.277739874962634</v>
      </c>
      <c r="E68" s="97"/>
      <c r="F68" s="97"/>
      <c r="G68" s="97"/>
      <c r="H68" s="97"/>
      <c r="I68" s="142">
        <v>1</v>
      </c>
      <c r="J68" s="148" t="s">
        <v>320</v>
      </c>
      <c r="K68" s="143" t="s">
        <v>208</v>
      </c>
      <c r="L68" s="143"/>
      <c r="M68" s="144"/>
      <c r="N68" s="116" t="s">
        <v>317</v>
      </c>
      <c r="O68" s="201" t="s">
        <v>309</v>
      </c>
      <c r="P68" s="97"/>
      <c r="Q68" s="97"/>
      <c r="R68" s="97"/>
    </row>
    <row r="69" spans="2:21" x14ac:dyDescent="0.25">
      <c r="B69" s="97"/>
      <c r="C69" s="100" t="s">
        <v>319</v>
      </c>
      <c r="D69" s="22">
        <f>7*K8/H60</f>
        <v>0.10399334506720463</v>
      </c>
      <c r="E69" s="23">
        <f>7*K8/H59</f>
        <v>2.131653156969127</v>
      </c>
      <c r="G69" s="97"/>
      <c r="H69" s="97"/>
      <c r="I69" s="135"/>
      <c r="J69" s="133"/>
      <c r="K69" s="133"/>
      <c r="L69" s="133"/>
      <c r="M69" s="136"/>
      <c r="N69" s="120" t="s">
        <v>318</v>
      </c>
      <c r="O69" s="137" t="s">
        <v>308</v>
      </c>
      <c r="P69" s="98"/>
      <c r="Q69" s="98"/>
      <c r="R69" s="97"/>
    </row>
    <row r="70" spans="2:21" x14ac:dyDescent="0.25">
      <c r="B70" s="97"/>
      <c r="C70" s="97"/>
      <c r="D70" s="97"/>
      <c r="K70" s="98"/>
      <c r="L70" s="47"/>
      <c r="M70" s="47"/>
      <c r="N70" s="47"/>
      <c r="O70" s="47"/>
      <c r="P70" s="47"/>
      <c r="Q70" s="47"/>
      <c r="R70" s="122"/>
    </row>
    <row r="71" spans="2:21" x14ac:dyDescent="0.25">
      <c r="B71" s="97"/>
      <c r="C71" s="97"/>
      <c r="D71" s="97"/>
      <c r="K71" s="98"/>
      <c r="L71" s="47"/>
      <c r="M71" s="47"/>
      <c r="N71" s="47"/>
      <c r="O71" s="47"/>
      <c r="P71" s="47"/>
      <c r="Q71" s="47"/>
      <c r="R71" s="122"/>
    </row>
    <row r="72" spans="2:21" x14ac:dyDescent="0.25">
      <c r="B72" s="97" t="s">
        <v>163</v>
      </c>
      <c r="C72" s="97"/>
      <c r="D72" s="97"/>
      <c r="E72" s="97"/>
      <c r="F72" s="97"/>
      <c r="G72" s="97"/>
      <c r="H72" s="97"/>
      <c r="I72" s="97"/>
      <c r="J72" s="97"/>
      <c r="K72" s="98"/>
      <c r="L72" s="98"/>
      <c r="M72" s="98"/>
      <c r="N72" s="98"/>
      <c r="O72" s="98"/>
      <c r="P72" s="98"/>
      <c r="Q72" s="98"/>
      <c r="R72" s="97"/>
    </row>
    <row r="73" spans="2:21" ht="18" x14ac:dyDescent="0.35">
      <c r="B73" s="97"/>
      <c r="C73" s="97"/>
      <c r="D73" s="100" t="s">
        <v>209</v>
      </c>
      <c r="E73" s="79">
        <f>_xlfn.CHISQ.DIST(H58,7,1)</f>
        <v>4.6423299508539788E-2</v>
      </c>
      <c r="H73" s="145" t="s">
        <v>39</v>
      </c>
      <c r="I73" s="146">
        <f>E75</f>
        <v>9.2846599017079576E-2</v>
      </c>
      <c r="J73" s="147" t="s">
        <v>147</v>
      </c>
      <c r="K73" s="148">
        <v>0.01</v>
      </c>
      <c r="L73" s="143" t="s">
        <v>142</v>
      </c>
      <c r="M73" s="116" t="s">
        <v>317</v>
      </c>
      <c r="N73" s="201" t="s">
        <v>309</v>
      </c>
    </row>
    <row r="74" spans="2:21" ht="18" x14ac:dyDescent="0.35">
      <c r="B74" s="97"/>
      <c r="C74" s="97"/>
      <c r="D74" s="100" t="s">
        <v>210</v>
      </c>
      <c r="E74" s="79">
        <f>1-E73</f>
        <v>0.95357670049146026</v>
      </c>
      <c r="H74" s="135"/>
      <c r="I74" s="133"/>
      <c r="J74" s="133"/>
      <c r="K74" s="133"/>
      <c r="L74" s="133"/>
      <c r="M74" s="120" t="s">
        <v>318</v>
      </c>
      <c r="N74" s="137" t="s">
        <v>308</v>
      </c>
    </row>
    <row r="75" spans="2:21" ht="18" x14ac:dyDescent="0.35">
      <c r="B75" s="97"/>
      <c r="C75" s="97"/>
      <c r="D75" s="100" t="s">
        <v>211</v>
      </c>
      <c r="E75" s="79">
        <f>2*E73</f>
        <v>9.2846599017079576E-2</v>
      </c>
    </row>
    <row r="76" spans="2:21" x14ac:dyDescent="0.25">
      <c r="I76" t="s">
        <v>321</v>
      </c>
    </row>
    <row r="77" spans="2:21" x14ac:dyDescent="0.25">
      <c r="U77" s="156" t="s">
        <v>409</v>
      </c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J31" sqref="J31"/>
    </sheetView>
  </sheetViews>
  <sheetFormatPr defaultRowHeight="15" x14ac:dyDescent="0.25"/>
  <cols>
    <col min="9" max="9" width="14.7109375" customWidth="1"/>
    <col min="10" max="10" width="12.42578125" customWidth="1"/>
  </cols>
  <sheetData>
    <row r="1" spans="1:12" ht="17.25" x14ac:dyDescent="0.25">
      <c r="A1" t="s">
        <v>0</v>
      </c>
      <c r="B1" s="59" t="s">
        <v>63</v>
      </c>
      <c r="C1" s="59"/>
      <c r="D1" s="59"/>
      <c r="E1" s="59"/>
      <c r="F1" s="59"/>
      <c r="G1" s="59"/>
      <c r="H1" s="59"/>
      <c r="I1" s="59"/>
      <c r="J1" s="59"/>
      <c r="K1" s="59"/>
    </row>
    <row r="2" spans="1:12" x14ac:dyDescent="0.25">
      <c r="B2" s="59" t="s">
        <v>59</v>
      </c>
      <c r="C2" s="59"/>
      <c r="D2" s="59"/>
      <c r="E2" s="59"/>
      <c r="F2" s="59"/>
      <c r="G2" s="59"/>
      <c r="H2" s="59"/>
      <c r="I2" s="59"/>
      <c r="J2" s="59"/>
      <c r="K2" s="59"/>
    </row>
    <row r="3" spans="1:12" x14ac:dyDescent="0.25">
      <c r="B3" s="59" t="s">
        <v>60</v>
      </c>
      <c r="C3" s="59"/>
      <c r="D3" s="59"/>
      <c r="E3" s="59"/>
      <c r="F3" s="59"/>
      <c r="G3" s="59"/>
      <c r="H3" s="59"/>
      <c r="I3" s="59"/>
      <c r="J3" s="59"/>
      <c r="K3" s="59"/>
    </row>
    <row r="4" spans="1:12" x14ac:dyDescent="0.25">
      <c r="B4" s="59" t="s">
        <v>61</v>
      </c>
      <c r="C4" s="59"/>
      <c r="D4" s="59"/>
      <c r="E4" s="59"/>
      <c r="F4" s="59"/>
      <c r="G4" s="59"/>
      <c r="H4" s="59"/>
      <c r="I4" s="59"/>
      <c r="J4" s="59"/>
      <c r="K4" s="59"/>
    </row>
    <row r="5" spans="1:12" x14ac:dyDescent="0.25">
      <c r="B5" s="59" t="s">
        <v>62</v>
      </c>
      <c r="C5" s="59"/>
      <c r="D5" s="59"/>
      <c r="E5" s="59"/>
      <c r="F5" s="59"/>
      <c r="G5" s="59"/>
      <c r="H5" s="59"/>
      <c r="I5" s="59"/>
      <c r="J5" s="59"/>
      <c r="K5" s="59"/>
    </row>
    <row r="7" spans="1:12" x14ac:dyDescent="0.25">
      <c r="B7" s="59"/>
      <c r="C7" s="61" t="s">
        <v>5</v>
      </c>
      <c r="D7" s="59"/>
    </row>
    <row r="8" spans="1:12" ht="18" x14ac:dyDescent="0.35">
      <c r="B8" s="59"/>
      <c r="C8" s="60" t="s">
        <v>6</v>
      </c>
      <c r="D8" s="79">
        <v>150</v>
      </c>
    </row>
    <row r="9" spans="1:12" ht="18.75" x14ac:dyDescent="0.35">
      <c r="B9" s="59"/>
      <c r="C9" s="100" t="s">
        <v>8</v>
      </c>
      <c r="D9" s="79">
        <v>15.84</v>
      </c>
    </row>
    <row r="10" spans="1:12" ht="18" x14ac:dyDescent="0.35">
      <c r="C10" s="100" t="s">
        <v>312</v>
      </c>
      <c r="D10" s="79">
        <f>SQRT(D9)</f>
        <v>3.9799497484264799</v>
      </c>
    </row>
    <row r="12" spans="1:12" x14ac:dyDescent="0.25">
      <c r="A12" s="59" t="s">
        <v>4</v>
      </c>
      <c r="B12" s="59" t="s">
        <v>64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36" x14ac:dyDescent="0.25">
      <c r="A13" s="64"/>
      <c r="B13" s="62" t="s">
        <v>11</v>
      </c>
      <c r="C13" s="67" t="s">
        <v>47</v>
      </c>
      <c r="D13" s="67" t="s">
        <v>48</v>
      </c>
      <c r="E13" s="67" t="s">
        <v>49</v>
      </c>
      <c r="F13" s="62" t="s">
        <v>12</v>
      </c>
      <c r="G13" s="63" t="s">
        <v>13</v>
      </c>
      <c r="H13" s="68" t="s">
        <v>14</v>
      </c>
      <c r="I13" s="62" t="s">
        <v>332</v>
      </c>
      <c r="J13" s="62" t="s">
        <v>15</v>
      </c>
      <c r="K13" s="62" t="s">
        <v>16</v>
      </c>
      <c r="L13" s="62" t="s">
        <v>17</v>
      </c>
    </row>
    <row r="14" spans="1:12" x14ac:dyDescent="0.25">
      <c r="B14" s="66">
        <v>25</v>
      </c>
      <c r="C14" s="66">
        <v>150</v>
      </c>
      <c r="D14" s="66">
        <v>15.84</v>
      </c>
      <c r="E14" s="66">
        <f>SQRT(D14)</f>
        <v>3.9799497484264799</v>
      </c>
      <c r="F14" s="66">
        <v>0.99</v>
      </c>
      <c r="G14" s="66">
        <v>0.01</v>
      </c>
      <c r="H14" s="66">
        <f>1-G14/2</f>
        <v>0.995</v>
      </c>
      <c r="I14" s="66">
        <f>_xlfn.T.INV(H14,B14-1)</f>
        <v>2.7969395047744556</v>
      </c>
      <c r="J14" s="66">
        <f>E14*I14/SQRT(B14)</f>
        <v>2.2263357356782354</v>
      </c>
      <c r="K14" s="66">
        <f>C14-J14</f>
        <v>147.77366426432175</v>
      </c>
      <c r="L14" s="66">
        <f>C14+J14</f>
        <v>152.22633573567825</v>
      </c>
    </row>
    <row r="15" spans="1:12" x14ac:dyDescent="0.25">
      <c r="J15">
        <f>_xlfn.CONFIDENCE.T(G14,E14,B14)</f>
        <v>2.2263357356782358</v>
      </c>
    </row>
    <row r="19" spans="1:12" x14ac:dyDescent="0.25">
      <c r="A19" s="59" t="s">
        <v>10</v>
      </c>
      <c r="B19" s="59" t="s">
        <v>65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1:12" ht="36" x14ac:dyDescent="0.35">
      <c r="A20" s="59"/>
      <c r="B20" s="65" t="s">
        <v>11</v>
      </c>
      <c r="C20" s="27" t="s">
        <v>47</v>
      </c>
      <c r="D20" s="27" t="s">
        <v>48</v>
      </c>
      <c r="E20" s="27" t="s">
        <v>49</v>
      </c>
      <c r="F20" s="65" t="s">
        <v>51</v>
      </c>
      <c r="G20" s="65" t="s">
        <v>13</v>
      </c>
      <c r="H20" s="65" t="s">
        <v>52</v>
      </c>
      <c r="I20" s="37" t="s">
        <v>333</v>
      </c>
      <c r="J20" s="37" t="s">
        <v>334</v>
      </c>
      <c r="K20" s="69" t="s">
        <v>16</v>
      </c>
      <c r="L20" s="69" t="s">
        <v>17</v>
      </c>
    </row>
    <row r="21" spans="1:12" x14ac:dyDescent="0.25">
      <c r="B21" s="66">
        <v>25</v>
      </c>
      <c r="C21" s="66">
        <v>150</v>
      </c>
      <c r="D21" s="66">
        <v>15.84</v>
      </c>
      <c r="E21" s="66">
        <f>SQRT(D21)</f>
        <v>3.9799497484264799</v>
      </c>
      <c r="F21" s="66">
        <v>0.9</v>
      </c>
      <c r="G21" s="66">
        <v>0.1</v>
      </c>
      <c r="H21" s="66">
        <f>1-G21/2</f>
        <v>0.95</v>
      </c>
      <c r="I21" s="66">
        <f>_xlfn.CHISQ.INV(H21,B21-1)</f>
        <v>36.415028501807313</v>
      </c>
      <c r="J21" s="66">
        <f>_xlfn.CHISQ.INV(G21/2,B21-1)</f>
        <v>13.848425027170213</v>
      </c>
      <c r="K21" s="66">
        <f>(B21-1)*D21/I21</f>
        <v>10.439645817691238</v>
      </c>
      <c r="L21" s="66">
        <f>(B21-1)*D21/J21</f>
        <v>27.451497138059882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8"/>
  <sheetViews>
    <sheetView zoomScale="70" zoomScaleNormal="70" workbookViewId="0">
      <selection activeCell="K33" sqref="K33"/>
    </sheetView>
  </sheetViews>
  <sheetFormatPr defaultRowHeight="15" x14ac:dyDescent="0.25"/>
  <cols>
    <col min="11" max="11" width="23.42578125" customWidth="1"/>
  </cols>
  <sheetData>
    <row r="1" spans="1:12" ht="27" thickBot="1" x14ac:dyDescent="0.45">
      <c r="A1" s="70" t="s">
        <v>68</v>
      </c>
      <c r="B1" s="70" t="s">
        <v>66</v>
      </c>
      <c r="C1" s="70"/>
      <c r="D1" s="70"/>
      <c r="E1" s="70"/>
      <c r="F1" s="70"/>
      <c r="G1" s="70"/>
      <c r="H1" s="71"/>
    </row>
    <row r="2" spans="1:12" x14ac:dyDescent="0.25">
      <c r="A2" s="70"/>
      <c r="B2" s="70" t="s">
        <v>69</v>
      </c>
      <c r="C2" s="70"/>
      <c r="D2" s="70"/>
      <c r="E2" s="70"/>
      <c r="F2" s="70"/>
      <c r="G2" s="70"/>
      <c r="H2" s="70"/>
      <c r="K2" s="155" t="s">
        <v>181</v>
      </c>
      <c r="L2" s="155"/>
    </row>
    <row r="3" spans="1:12" x14ac:dyDescent="0.25">
      <c r="A3" s="70"/>
      <c r="B3" s="70" t="s">
        <v>67</v>
      </c>
      <c r="C3" s="70"/>
      <c r="D3" s="70"/>
      <c r="E3" s="70"/>
      <c r="F3" s="70"/>
      <c r="G3" s="70"/>
      <c r="H3" s="70"/>
      <c r="K3" s="111"/>
      <c r="L3" s="111"/>
    </row>
    <row r="4" spans="1:12" x14ac:dyDescent="0.25">
      <c r="A4" s="70"/>
      <c r="B4" s="70" t="s">
        <v>400</v>
      </c>
      <c r="C4" s="70"/>
      <c r="D4" s="70"/>
      <c r="E4" s="70"/>
      <c r="F4" s="70"/>
      <c r="G4" s="70"/>
      <c r="H4" s="70"/>
      <c r="K4" s="111" t="s">
        <v>184</v>
      </c>
      <c r="L4" s="194">
        <v>2.06</v>
      </c>
    </row>
    <row r="5" spans="1:12" x14ac:dyDescent="0.25">
      <c r="A5" s="70"/>
      <c r="B5" s="97" t="s">
        <v>401</v>
      </c>
      <c r="K5" s="111" t="s">
        <v>185</v>
      </c>
      <c r="L5" s="111">
        <v>6.3595946761129687E-2</v>
      </c>
    </row>
    <row r="6" spans="1:12" x14ac:dyDescent="0.25">
      <c r="B6" s="72">
        <v>2</v>
      </c>
      <c r="E6" s="72"/>
      <c r="F6" s="76" t="s">
        <v>5</v>
      </c>
      <c r="G6" s="72"/>
      <c r="K6" s="111" t="s">
        <v>187</v>
      </c>
      <c r="L6" s="111">
        <v>2.0499999999999998</v>
      </c>
    </row>
    <row r="7" spans="1:12" ht="18" x14ac:dyDescent="0.35">
      <c r="B7" s="72">
        <v>1.8</v>
      </c>
      <c r="E7" s="72"/>
      <c r="F7" s="99" t="s">
        <v>6</v>
      </c>
      <c r="G7" s="79">
        <f>AVERAGE(B6:B15)</f>
        <v>2.06</v>
      </c>
      <c r="K7" s="111" t="s">
        <v>189</v>
      </c>
      <c r="L7" s="111">
        <v>2</v>
      </c>
    </row>
    <row r="8" spans="1:12" ht="18.75" x14ac:dyDescent="0.35">
      <c r="B8" s="72">
        <v>2.1</v>
      </c>
      <c r="E8" s="72"/>
      <c r="F8" s="100" t="s">
        <v>8</v>
      </c>
      <c r="G8" s="79">
        <f>_xlfn.VAR.S(B6:B15)</f>
        <v>4.0444444444444429E-2</v>
      </c>
      <c r="K8" s="111" t="s">
        <v>190</v>
      </c>
      <c r="L8" s="111">
        <v>0.20110804171997804</v>
      </c>
    </row>
    <row r="9" spans="1:12" x14ac:dyDescent="0.25">
      <c r="B9" s="72">
        <v>2.4</v>
      </c>
      <c r="K9" s="111" t="s">
        <v>192</v>
      </c>
      <c r="L9" s="111">
        <v>4.0444444444444429E-2</v>
      </c>
    </row>
    <row r="10" spans="1:12" x14ac:dyDescent="0.25">
      <c r="B10" s="72">
        <v>1.9</v>
      </c>
      <c r="K10" s="111" t="s">
        <v>194</v>
      </c>
      <c r="L10" s="111">
        <v>-0.7512679628064256</v>
      </c>
    </row>
    <row r="11" spans="1:12" x14ac:dyDescent="0.25">
      <c r="B11" s="72">
        <v>2.1</v>
      </c>
      <c r="K11" s="111" t="s">
        <v>196</v>
      </c>
      <c r="L11" s="111">
        <v>0.2786758578356161</v>
      </c>
    </row>
    <row r="12" spans="1:12" x14ac:dyDescent="0.25">
      <c r="B12" s="72">
        <v>2</v>
      </c>
      <c r="K12" s="111" t="s">
        <v>197</v>
      </c>
      <c r="L12" s="111">
        <v>0.59999999999999987</v>
      </c>
    </row>
    <row r="13" spans="1:12" x14ac:dyDescent="0.25">
      <c r="B13" s="72">
        <v>1.8</v>
      </c>
      <c r="K13" s="111" t="s">
        <v>199</v>
      </c>
      <c r="L13" s="111">
        <v>1.8</v>
      </c>
    </row>
    <row r="14" spans="1:12" x14ac:dyDescent="0.25">
      <c r="B14" s="72">
        <v>2.2999999999999998</v>
      </c>
      <c r="K14" s="111" t="s">
        <v>200</v>
      </c>
      <c r="L14" s="111">
        <v>2.4</v>
      </c>
    </row>
    <row r="15" spans="1:12" x14ac:dyDescent="0.25">
      <c r="B15" s="72">
        <v>2.2000000000000002</v>
      </c>
      <c r="K15" s="111" t="s">
        <v>201</v>
      </c>
      <c r="L15" s="111">
        <v>20.6</v>
      </c>
    </row>
    <row r="16" spans="1:12" x14ac:dyDescent="0.25">
      <c r="K16" s="111" t="s">
        <v>202</v>
      </c>
      <c r="L16" s="111">
        <v>10</v>
      </c>
    </row>
    <row r="17" spans="1:24" ht="15.75" thickBot="1" x14ac:dyDescent="0.3">
      <c r="K17" s="157" t="s">
        <v>204</v>
      </c>
      <c r="L17" s="213">
        <v>0.14386402649062283</v>
      </c>
    </row>
    <row r="18" spans="1:24" ht="18" x14ac:dyDescent="0.35">
      <c r="A18" s="72"/>
      <c r="B18" s="80" t="s">
        <v>23</v>
      </c>
      <c r="C18" s="72"/>
      <c r="D18" s="77"/>
      <c r="E18" s="78"/>
      <c r="F18" s="72"/>
    </row>
    <row r="19" spans="1:24" x14ac:dyDescent="0.25">
      <c r="A19" s="72"/>
      <c r="B19" s="74" t="s">
        <v>25</v>
      </c>
      <c r="C19" s="79">
        <v>0.05</v>
      </c>
      <c r="D19" s="72"/>
      <c r="E19" s="72"/>
      <c r="F19" s="72"/>
      <c r="N19" s="97"/>
      <c r="O19" s="100" t="s">
        <v>25</v>
      </c>
      <c r="P19" s="79">
        <v>0.05</v>
      </c>
      <c r="Q19" s="97"/>
      <c r="R19" s="97"/>
      <c r="S19" s="97"/>
      <c r="T19" s="97"/>
      <c r="U19" s="97"/>
      <c r="V19" s="97"/>
      <c r="W19" s="97"/>
      <c r="X19" s="111"/>
    </row>
    <row r="20" spans="1:24" x14ac:dyDescent="0.25">
      <c r="A20" s="122" t="s">
        <v>412</v>
      </c>
      <c r="N20" s="122" t="s">
        <v>413</v>
      </c>
      <c r="O20" s="97"/>
      <c r="P20" s="97"/>
      <c r="Q20" s="97"/>
      <c r="R20" s="97"/>
      <c r="S20" s="97"/>
      <c r="T20" s="97"/>
      <c r="U20" s="97"/>
      <c r="V20" s="97"/>
      <c r="W20" s="97"/>
      <c r="X20" s="111"/>
    </row>
    <row r="21" spans="1:24" x14ac:dyDescent="0.25">
      <c r="A21" s="72" t="s">
        <v>26</v>
      </c>
      <c r="B21" s="72" t="s">
        <v>27</v>
      </c>
      <c r="C21" s="72"/>
      <c r="D21" s="72"/>
      <c r="E21" s="72"/>
      <c r="N21" s="97" t="s">
        <v>26</v>
      </c>
      <c r="O21" s="97" t="s">
        <v>27</v>
      </c>
      <c r="P21" s="97"/>
      <c r="Q21" s="97"/>
      <c r="R21" s="97"/>
      <c r="S21" s="97"/>
      <c r="T21" s="97"/>
      <c r="U21" s="97"/>
      <c r="V21" s="97"/>
      <c r="W21" s="97"/>
      <c r="X21" s="111"/>
    </row>
    <row r="22" spans="1:24" x14ac:dyDescent="0.25">
      <c r="A22" s="76"/>
      <c r="B22" s="104" t="s">
        <v>70</v>
      </c>
      <c r="C22" s="10"/>
      <c r="D22" s="52"/>
      <c r="E22" s="72"/>
      <c r="F22" s="72"/>
      <c r="N22" s="102"/>
      <c r="O22" s="104" t="s">
        <v>402</v>
      </c>
      <c r="P22" s="10"/>
      <c r="Q22" s="52"/>
      <c r="R22" s="97"/>
      <c r="S22" s="97"/>
      <c r="T22" s="97"/>
      <c r="U22" s="97"/>
      <c r="V22" s="97"/>
      <c r="W22" s="97"/>
      <c r="X22" s="97"/>
    </row>
    <row r="23" spans="1:24" x14ac:dyDescent="0.25">
      <c r="A23" s="75"/>
      <c r="N23" s="101"/>
      <c r="O23" s="97"/>
      <c r="P23" s="97"/>
      <c r="Q23" s="97"/>
      <c r="R23" s="97"/>
      <c r="S23" s="97"/>
      <c r="T23" s="97"/>
      <c r="U23" s="97"/>
      <c r="V23" s="97"/>
      <c r="W23" s="97"/>
      <c r="X23" s="97"/>
    </row>
    <row r="24" spans="1:24" s="78" customFormat="1" x14ac:dyDescent="0.25">
      <c r="A24" s="101"/>
      <c r="B24" s="78" t="s">
        <v>338</v>
      </c>
      <c r="G24" s="74" t="s">
        <v>33</v>
      </c>
      <c r="H24" s="109" t="s">
        <v>337</v>
      </c>
      <c r="I24" s="109"/>
      <c r="J24" s="109"/>
      <c r="K24" s="109"/>
      <c r="N24" s="101"/>
      <c r="O24" s="78" t="s">
        <v>338</v>
      </c>
      <c r="T24" s="100" t="s">
        <v>33</v>
      </c>
      <c r="U24" s="109" t="s">
        <v>404</v>
      </c>
      <c r="V24" s="109"/>
      <c r="W24" s="109"/>
      <c r="X24" s="109"/>
    </row>
    <row r="25" spans="1:24" s="97" customFormat="1" x14ac:dyDescent="0.25">
      <c r="A25" s="101"/>
      <c r="G25" s="100"/>
      <c r="H25" s="78"/>
      <c r="N25" s="101"/>
      <c r="T25" s="100"/>
      <c r="U25" s="78"/>
    </row>
    <row r="26" spans="1:24" s="97" customFormat="1" ht="18" x14ac:dyDescent="0.35">
      <c r="A26" s="101"/>
      <c r="B26" s="72" t="s">
        <v>29</v>
      </c>
      <c r="C26" s="72"/>
      <c r="D26" s="72"/>
      <c r="E26" s="72"/>
      <c r="F26"/>
      <c r="G26" s="74" t="s">
        <v>40</v>
      </c>
      <c r="H26" s="109">
        <f>(G7-1.95)/(SQRT(G8)/SQRT(10))</f>
        <v>1.7296699805911673</v>
      </c>
      <c r="N26" s="101"/>
      <c r="O26" s="97" t="s">
        <v>29</v>
      </c>
      <c r="T26" s="100" t="s">
        <v>40</v>
      </c>
      <c r="U26" s="109">
        <f>(G7-1.95)/(SQRT(G8)/SQRT(10))</f>
        <v>1.7296699805911673</v>
      </c>
    </row>
    <row r="27" spans="1:24" ht="18" x14ac:dyDescent="0.35">
      <c r="A27" s="72"/>
      <c r="B27" s="72"/>
      <c r="C27" s="74" t="s">
        <v>335</v>
      </c>
      <c r="D27" s="109">
        <f>_xlfn.T.INV(0.025,9)</f>
        <v>-2.2621571627982053</v>
      </c>
      <c r="E27" s="72"/>
      <c r="F27" s="72"/>
      <c r="G27" s="100" t="s">
        <v>339</v>
      </c>
      <c r="H27" t="s">
        <v>340</v>
      </c>
      <c r="N27" s="97"/>
      <c r="O27" s="97"/>
      <c r="P27" s="100"/>
      <c r="Q27" s="109"/>
      <c r="R27" s="97"/>
      <c r="S27" s="97"/>
      <c r="T27" s="100" t="s">
        <v>339</v>
      </c>
      <c r="U27" s="97" t="s">
        <v>340</v>
      </c>
      <c r="V27" s="97"/>
      <c r="W27" s="97"/>
      <c r="X27" s="97"/>
    </row>
    <row r="28" spans="1:24" ht="18" x14ac:dyDescent="0.35">
      <c r="A28" s="72"/>
      <c r="B28" s="72"/>
      <c r="C28" s="74" t="s">
        <v>336</v>
      </c>
      <c r="D28" s="109">
        <f>_xlfn.T.INV(0.975,9)</f>
        <v>2.2621571627982049</v>
      </c>
      <c r="E28" s="72"/>
      <c r="F28" s="72"/>
      <c r="N28" s="97"/>
      <c r="O28" s="97"/>
      <c r="P28" s="100" t="s">
        <v>403</v>
      </c>
      <c r="Q28" s="109">
        <f>_xlfn.T.INV(0.95,9)</f>
        <v>1.8331129326562368</v>
      </c>
      <c r="R28" s="97"/>
      <c r="S28" s="97"/>
      <c r="T28" s="97"/>
      <c r="U28" s="97"/>
      <c r="V28" s="97"/>
      <c r="W28" s="97"/>
      <c r="X28" s="97"/>
    </row>
    <row r="29" spans="1:24" x14ac:dyDescent="0.25">
      <c r="G29" t="s">
        <v>341</v>
      </c>
      <c r="N29" s="97"/>
      <c r="O29" s="97"/>
      <c r="P29" s="97"/>
      <c r="Q29" s="97"/>
      <c r="R29" s="97"/>
      <c r="S29" s="97"/>
      <c r="T29" s="97" t="s">
        <v>341</v>
      </c>
      <c r="U29" s="97"/>
      <c r="V29" s="97"/>
      <c r="W29" s="97"/>
      <c r="X29" s="97"/>
    </row>
    <row r="30" spans="1:24" x14ac:dyDescent="0.25">
      <c r="G30" t="s">
        <v>342</v>
      </c>
      <c r="N30" s="97"/>
      <c r="O30" s="97"/>
      <c r="P30" s="97"/>
      <c r="Q30" s="97"/>
      <c r="R30" s="97"/>
      <c r="S30" s="97"/>
      <c r="T30" s="97" t="s">
        <v>405</v>
      </c>
      <c r="U30" s="97"/>
      <c r="V30" s="97"/>
      <c r="W30" s="97"/>
      <c r="X30" s="97"/>
    </row>
    <row r="31" spans="1:24" x14ac:dyDescent="0.25"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</row>
    <row r="32" spans="1:24" x14ac:dyDescent="0.25">
      <c r="A32" s="72" t="s">
        <v>34</v>
      </c>
      <c r="B32" s="72" t="s">
        <v>35</v>
      </c>
      <c r="C32" s="72"/>
      <c r="D32" s="72"/>
      <c r="N32" s="97" t="s">
        <v>34</v>
      </c>
      <c r="O32" s="97" t="s">
        <v>35</v>
      </c>
      <c r="P32" s="97"/>
      <c r="Q32" s="97"/>
      <c r="R32" s="97"/>
      <c r="S32" s="97"/>
      <c r="T32" s="97"/>
      <c r="U32" s="97"/>
      <c r="V32" s="97"/>
      <c r="W32" s="97"/>
      <c r="X32" s="97"/>
    </row>
    <row r="33" spans="1:24" x14ac:dyDescent="0.25">
      <c r="A33" s="72"/>
      <c r="B33" s="104" t="s">
        <v>70</v>
      </c>
      <c r="C33" s="10"/>
      <c r="D33" s="11"/>
      <c r="N33" s="97"/>
      <c r="O33" s="104" t="s">
        <v>402</v>
      </c>
      <c r="P33" s="10"/>
      <c r="Q33" s="52"/>
      <c r="R33" s="97"/>
      <c r="S33" s="97"/>
      <c r="T33" s="97"/>
      <c r="U33" s="97"/>
      <c r="V33" s="97"/>
      <c r="W33" s="97"/>
      <c r="X33" s="97"/>
    </row>
    <row r="34" spans="1:24" ht="21" x14ac:dyDescent="0.35">
      <c r="A34" s="72"/>
      <c r="B34" s="73" t="s">
        <v>36</v>
      </c>
      <c r="C34" s="26">
        <f>L4-L17</f>
        <v>1.9161359735093773</v>
      </c>
      <c r="D34" s="26">
        <f>L4+L17</f>
        <v>2.2038640264906229</v>
      </c>
      <c r="N34" s="97"/>
      <c r="O34" s="99" t="s">
        <v>36</v>
      </c>
      <c r="P34" s="26">
        <f>L4-L8*Q28/SQRT(L16)</f>
        <v>1.9434214475276557</v>
      </c>
      <c r="Q34" s="26" t="s">
        <v>406</v>
      </c>
      <c r="R34" s="97"/>
      <c r="S34" s="97"/>
      <c r="T34" s="97"/>
      <c r="U34" s="97"/>
      <c r="V34" s="97"/>
      <c r="W34" s="97"/>
      <c r="X34" s="97"/>
    </row>
    <row r="35" spans="1:24" x14ac:dyDescent="0.25">
      <c r="G35" s="97" t="s">
        <v>341</v>
      </c>
      <c r="H35" s="97"/>
      <c r="I35" s="97"/>
      <c r="J35" s="97"/>
      <c r="N35" s="97"/>
      <c r="P35" s="97"/>
      <c r="Q35" s="97"/>
      <c r="R35" s="97"/>
      <c r="T35" s="102" t="s">
        <v>410</v>
      </c>
      <c r="U35" s="97"/>
      <c r="V35" s="97"/>
      <c r="W35" s="97"/>
      <c r="X35" s="97"/>
    </row>
    <row r="36" spans="1:24" x14ac:dyDescent="0.25">
      <c r="B36" t="s">
        <v>343</v>
      </c>
      <c r="G36" s="97" t="s">
        <v>342</v>
      </c>
      <c r="H36" s="97"/>
      <c r="I36" s="97"/>
      <c r="J36" s="97"/>
      <c r="N36" s="97"/>
      <c r="O36" s="97" t="s">
        <v>343</v>
      </c>
      <c r="P36" s="97"/>
      <c r="Q36" s="97"/>
      <c r="R36" s="97"/>
      <c r="S36" s="97"/>
      <c r="U36" s="97"/>
      <c r="V36" s="97"/>
      <c r="W36" s="97"/>
      <c r="X36" s="97"/>
    </row>
    <row r="37" spans="1:24" x14ac:dyDescent="0.25">
      <c r="N37" s="97"/>
      <c r="O37" s="97"/>
      <c r="P37" s="97"/>
      <c r="Q37" s="97"/>
      <c r="R37" s="97"/>
      <c r="S37" s="97"/>
      <c r="T37" s="97" t="s">
        <v>341</v>
      </c>
      <c r="U37" s="97"/>
      <c r="V37" s="97"/>
      <c r="W37" s="97"/>
      <c r="X37" s="97"/>
    </row>
    <row r="38" spans="1:24" x14ac:dyDescent="0.25">
      <c r="N38" s="97"/>
      <c r="O38" s="97"/>
      <c r="P38" s="97"/>
      <c r="Q38" s="97"/>
      <c r="R38" s="97"/>
      <c r="S38" s="97"/>
      <c r="T38" s="97" t="s">
        <v>405</v>
      </c>
      <c r="U38" s="97"/>
      <c r="V38" s="97"/>
      <c r="W38" s="97"/>
      <c r="X38" s="97"/>
    </row>
    <row r="39" spans="1:24" x14ac:dyDescent="0.25">
      <c r="A39" s="72" t="s">
        <v>37</v>
      </c>
      <c r="B39" s="72" t="s">
        <v>38</v>
      </c>
      <c r="C39" s="72"/>
      <c r="D39" s="72"/>
      <c r="N39" s="97" t="s">
        <v>37</v>
      </c>
      <c r="O39" s="97" t="s">
        <v>38</v>
      </c>
      <c r="P39" s="97"/>
      <c r="Q39" s="97"/>
      <c r="R39" s="97"/>
      <c r="S39" s="97"/>
      <c r="T39" s="97"/>
      <c r="U39" s="97"/>
      <c r="V39" s="97"/>
      <c r="W39" s="97"/>
      <c r="X39" s="97"/>
    </row>
    <row r="40" spans="1:24" x14ac:dyDescent="0.25">
      <c r="A40" s="72"/>
      <c r="B40" s="104" t="s">
        <v>71</v>
      </c>
      <c r="C40" s="10"/>
      <c r="D40" s="11"/>
      <c r="N40" s="97"/>
      <c r="O40" s="104" t="s">
        <v>402</v>
      </c>
      <c r="P40" s="10"/>
      <c r="Q40" s="52"/>
      <c r="R40" s="97"/>
      <c r="S40" s="97"/>
      <c r="T40" s="97"/>
      <c r="U40" s="97"/>
      <c r="V40" s="97"/>
      <c r="W40" s="97"/>
      <c r="X40" s="97"/>
    </row>
    <row r="41" spans="1:24" x14ac:dyDescent="0.25">
      <c r="A41" s="72"/>
      <c r="B41" s="74" t="s">
        <v>39</v>
      </c>
      <c r="C41">
        <f>2*C44</f>
        <v>0.11774602209509344</v>
      </c>
      <c r="D41" s="72" t="s">
        <v>346</v>
      </c>
      <c r="G41" s="97" t="s">
        <v>341</v>
      </c>
      <c r="N41" s="97"/>
      <c r="O41" s="100" t="s">
        <v>39</v>
      </c>
      <c r="P41" s="97">
        <f>1-_xlfn.T.DIST(U26,9,1)</f>
        <v>5.8873011047546719E-2</v>
      </c>
      <c r="Q41" s="97" t="s">
        <v>346</v>
      </c>
      <c r="R41" s="97"/>
      <c r="S41" s="97"/>
      <c r="T41" s="97" t="s">
        <v>341</v>
      </c>
      <c r="U41" s="97"/>
      <c r="V41" s="97"/>
      <c r="W41" s="97"/>
      <c r="X41" s="97"/>
    </row>
    <row r="42" spans="1:24" x14ac:dyDescent="0.25">
      <c r="G42" s="97" t="s">
        <v>342</v>
      </c>
      <c r="N42" s="97"/>
      <c r="O42" s="97"/>
      <c r="P42" s="97"/>
      <c r="Q42" s="97"/>
      <c r="R42" s="97"/>
      <c r="S42" s="97"/>
      <c r="T42" s="97" t="s">
        <v>405</v>
      </c>
      <c r="U42" s="97"/>
      <c r="V42" s="97"/>
      <c r="W42" s="97"/>
      <c r="X42" s="97"/>
    </row>
    <row r="43" spans="1:24" x14ac:dyDescent="0.25">
      <c r="B43" s="100" t="s">
        <v>344</v>
      </c>
      <c r="C43" s="72">
        <f>_xlfn.T.DIST(H26,L16-1,1)</f>
        <v>0.94112698895245328</v>
      </c>
      <c r="N43" s="97"/>
      <c r="O43" s="100" t="s">
        <v>344</v>
      </c>
      <c r="P43" s="97">
        <f>_xlfn.T.DIST(U26,L16-1,1)</f>
        <v>0.94112698895245328</v>
      </c>
      <c r="Q43" s="97"/>
      <c r="R43" s="97"/>
      <c r="S43" s="97"/>
      <c r="T43" s="97"/>
      <c r="U43" s="97"/>
      <c r="V43" s="97"/>
      <c r="W43" s="97"/>
      <c r="X43" s="97"/>
    </row>
    <row r="44" spans="1:24" x14ac:dyDescent="0.25">
      <c r="B44" s="100" t="s">
        <v>345</v>
      </c>
      <c r="C44">
        <f>1-C43</f>
        <v>5.8873011047546719E-2</v>
      </c>
      <c r="N44" s="97"/>
      <c r="O44" s="100" t="s">
        <v>345</v>
      </c>
      <c r="P44" s="97">
        <f>1-P43</f>
        <v>5.8873011047546719E-2</v>
      </c>
      <c r="Q44" s="97"/>
      <c r="R44" s="97"/>
      <c r="S44" s="97"/>
      <c r="T44" s="97"/>
      <c r="U44" s="97"/>
      <c r="V44" s="97"/>
      <c r="W44" s="97"/>
      <c r="X44" s="97"/>
    </row>
    <row r="45" spans="1:24" x14ac:dyDescent="0.25">
      <c r="G45" t="s">
        <v>407</v>
      </c>
      <c r="N45" s="97"/>
      <c r="O45" s="97"/>
      <c r="P45" s="97"/>
      <c r="Q45" s="97"/>
      <c r="R45" s="97"/>
      <c r="S45" s="97"/>
      <c r="T45" s="97" t="s">
        <v>407</v>
      </c>
      <c r="U45" s="97"/>
      <c r="V45" s="97"/>
      <c r="W45" s="97"/>
      <c r="X45" s="97"/>
    </row>
    <row r="46" spans="1:24" x14ac:dyDescent="0.25"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</row>
    <row r="47" spans="1:24" x14ac:dyDescent="0.25"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spans="1:24" x14ac:dyDescent="0.25"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"/>
  <sheetViews>
    <sheetView zoomScale="85" zoomScaleNormal="85" workbookViewId="0">
      <selection activeCell="X32" sqref="X32"/>
    </sheetView>
  </sheetViews>
  <sheetFormatPr defaultRowHeight="15" x14ac:dyDescent="0.25"/>
  <cols>
    <col min="1" max="1" width="12.7109375" style="97" customWidth="1"/>
    <col min="2" max="5" width="9.140625" style="97"/>
    <col min="6" max="6" width="11.7109375" style="97" customWidth="1"/>
    <col min="7" max="7" width="14.85546875" style="97" customWidth="1"/>
    <col min="8" max="16" width="9.140625" style="97"/>
    <col min="17" max="17" width="28" style="97" customWidth="1"/>
    <col min="18" max="16384" width="9.140625" style="97"/>
  </cols>
  <sheetData>
    <row r="1" spans="1:18" x14ac:dyDescent="0.25">
      <c r="A1" s="97" t="s">
        <v>212</v>
      </c>
      <c r="Q1" s="155" t="s">
        <v>347</v>
      </c>
      <c r="R1" s="155"/>
    </row>
    <row r="2" spans="1:18" x14ac:dyDescent="0.25">
      <c r="Q2" s="111"/>
      <c r="R2" s="111"/>
    </row>
    <row r="3" spans="1:18" x14ac:dyDescent="0.25">
      <c r="B3" s="97">
        <v>15.23</v>
      </c>
      <c r="C3" s="97">
        <v>15.21</v>
      </c>
      <c r="D3" s="97">
        <v>15.19</v>
      </c>
      <c r="E3" s="97">
        <v>15.16</v>
      </c>
      <c r="F3" s="97">
        <v>15.26</v>
      </c>
      <c r="G3" s="97">
        <v>15.22</v>
      </c>
      <c r="H3" s="97">
        <v>15.23</v>
      </c>
      <c r="I3" s="97">
        <v>15.26</v>
      </c>
      <c r="J3" s="97">
        <v>15.23</v>
      </c>
      <c r="K3" s="97">
        <v>15.29</v>
      </c>
      <c r="Q3" s="111" t="s">
        <v>184</v>
      </c>
      <c r="R3" s="111">
        <v>15.228</v>
      </c>
    </row>
    <row r="4" spans="1:18" x14ac:dyDescent="0.25">
      <c r="A4" s="97" t="s">
        <v>213</v>
      </c>
      <c r="E4" s="79">
        <v>0.03</v>
      </c>
      <c r="F4" s="97" t="s">
        <v>214</v>
      </c>
      <c r="Q4" s="111" t="s">
        <v>185</v>
      </c>
      <c r="R4" s="111">
        <v>1.1718930554164557E-2</v>
      </c>
    </row>
    <row r="5" spans="1:18" x14ac:dyDescent="0.25">
      <c r="Q5" s="111" t="s">
        <v>187</v>
      </c>
      <c r="R5" s="111">
        <v>15.23</v>
      </c>
    </row>
    <row r="6" spans="1:18" ht="18" x14ac:dyDescent="0.35">
      <c r="A6" s="80" t="s">
        <v>23</v>
      </c>
      <c r="C6" s="77"/>
      <c r="D6" s="78"/>
      <c r="Q6" s="111" t="s">
        <v>189</v>
      </c>
      <c r="R6" s="111">
        <v>15.23</v>
      </c>
    </row>
    <row r="7" spans="1:18" ht="18" x14ac:dyDescent="0.35">
      <c r="A7" s="100" t="s">
        <v>132</v>
      </c>
      <c r="B7" s="39">
        <v>0.03</v>
      </c>
      <c r="F7" s="100" t="s">
        <v>150</v>
      </c>
      <c r="G7" s="79">
        <v>15.2</v>
      </c>
      <c r="Q7" s="111" t="s">
        <v>190</v>
      </c>
      <c r="R7" s="111">
        <v>3.7058512292499228E-2</v>
      </c>
    </row>
    <row r="8" spans="1:18" x14ac:dyDescent="0.25">
      <c r="A8" s="97" t="s">
        <v>131</v>
      </c>
      <c r="Q8" s="111" t="s">
        <v>192</v>
      </c>
      <c r="R8" s="111">
        <v>1.3733333333333165E-3</v>
      </c>
    </row>
    <row r="9" spans="1:18" x14ac:dyDescent="0.25">
      <c r="Q9" s="111" t="s">
        <v>194</v>
      </c>
      <c r="R9" s="111">
        <v>0.3415058642931168</v>
      </c>
    </row>
    <row r="10" spans="1:18" x14ac:dyDescent="0.25">
      <c r="Q10" s="111" t="s">
        <v>196</v>
      </c>
      <c r="R10" s="111">
        <v>-0.19583305169180204</v>
      </c>
    </row>
    <row r="11" spans="1:18" x14ac:dyDescent="0.25">
      <c r="A11" s="97" t="s">
        <v>27</v>
      </c>
      <c r="Q11" s="111" t="s">
        <v>197</v>
      </c>
      <c r="R11" s="111">
        <v>0.12999999999999901</v>
      </c>
    </row>
    <row r="12" spans="1:18" x14ac:dyDescent="0.25">
      <c r="A12" s="103" t="s">
        <v>215</v>
      </c>
      <c r="B12" s="98"/>
      <c r="C12" s="102"/>
      <c r="Q12" s="111" t="s">
        <v>199</v>
      </c>
      <c r="R12" s="111">
        <v>15.16</v>
      </c>
    </row>
    <row r="13" spans="1:18" ht="18" x14ac:dyDescent="0.35">
      <c r="A13" s="97" t="s">
        <v>151</v>
      </c>
      <c r="F13" s="100" t="s">
        <v>40</v>
      </c>
      <c r="G13" s="79">
        <f>(R3-15.2)/R4</f>
        <v>2.3892965207520671</v>
      </c>
      <c r="Q13" s="111" t="s">
        <v>200</v>
      </c>
      <c r="R13" s="111">
        <v>15.29</v>
      </c>
    </row>
    <row r="14" spans="1:18" ht="18.75" x14ac:dyDescent="0.35">
      <c r="B14" s="100" t="s">
        <v>349</v>
      </c>
      <c r="C14" s="127">
        <f>_xlfn.T.INV(0.03/2,9)</f>
        <v>-2.5738039775468029</v>
      </c>
      <c r="Q14" s="111" t="s">
        <v>201</v>
      </c>
      <c r="R14" s="111">
        <v>152.28</v>
      </c>
    </row>
    <row r="15" spans="1:18" ht="18.75" x14ac:dyDescent="0.35">
      <c r="B15" s="100" t="s">
        <v>350</v>
      </c>
      <c r="C15" s="79">
        <f>_xlfn.T.INV(1-0.03/2,9)</f>
        <v>2.5738039775468029</v>
      </c>
      <c r="E15" s="100" t="s">
        <v>33</v>
      </c>
      <c r="F15" s="229" t="s">
        <v>351</v>
      </c>
      <c r="G15" s="230"/>
      <c r="H15" s="230"/>
      <c r="I15" s="230"/>
      <c r="J15" s="231"/>
      <c r="Q15" s="111" t="s">
        <v>202</v>
      </c>
      <c r="R15" s="111">
        <v>10</v>
      </c>
    </row>
    <row r="16" spans="1:18" ht="15.75" thickBot="1" x14ac:dyDescent="0.3">
      <c r="Q16" s="157" t="s">
        <v>348</v>
      </c>
      <c r="R16" s="157">
        <v>3.0162230072903497E-2</v>
      </c>
    </row>
    <row r="17" spans="1:17" x14ac:dyDescent="0.25">
      <c r="B17" s="114" t="s">
        <v>352</v>
      </c>
      <c r="C17" s="115" t="s">
        <v>134</v>
      </c>
      <c r="D17" s="116">
        <f>C15</f>
        <v>2.5738039775468029</v>
      </c>
      <c r="E17" s="116"/>
      <c r="F17" s="116" t="s">
        <v>216</v>
      </c>
      <c r="G17" s="117" t="s">
        <v>353</v>
      </c>
      <c r="I17" s="122" t="s">
        <v>355</v>
      </c>
      <c r="J17" s="122"/>
      <c r="K17" s="122"/>
      <c r="L17" s="122"/>
      <c r="M17" s="122"/>
      <c r="N17" s="122"/>
      <c r="O17" s="122"/>
      <c r="P17" s="122"/>
    </row>
    <row r="18" spans="1:17" x14ac:dyDescent="0.25">
      <c r="B18" s="118"/>
      <c r="C18" s="119"/>
      <c r="D18" s="120"/>
      <c r="E18" s="120"/>
      <c r="F18" s="120" t="s">
        <v>217</v>
      </c>
      <c r="G18" s="121" t="s">
        <v>308</v>
      </c>
      <c r="I18" s="122" t="s">
        <v>354</v>
      </c>
      <c r="J18" s="122"/>
      <c r="K18" s="122"/>
      <c r="L18" s="122"/>
      <c r="M18" s="122"/>
      <c r="N18" s="122"/>
      <c r="O18" s="122"/>
      <c r="P18" s="122"/>
    </row>
    <row r="21" spans="1:17" x14ac:dyDescent="0.25">
      <c r="A21" s="97" t="s">
        <v>35</v>
      </c>
    </row>
    <row r="22" spans="1:17" x14ac:dyDescent="0.25">
      <c r="A22" s="103" t="s">
        <v>215</v>
      </c>
      <c r="B22" s="98"/>
      <c r="C22" s="98"/>
    </row>
    <row r="23" spans="1:17" ht="21" x14ac:dyDescent="0.35">
      <c r="A23" s="99" t="s">
        <v>356</v>
      </c>
      <c r="B23" s="22">
        <f>R3-R16</f>
        <v>15.197837769927096</v>
      </c>
      <c r="C23" s="23">
        <f>R3+R16</f>
        <v>15.258162230072903</v>
      </c>
    </row>
    <row r="24" spans="1:17" x14ac:dyDescent="0.25">
      <c r="B24" s="133"/>
      <c r="C24" s="133"/>
      <c r="D24" s="133"/>
      <c r="E24" s="133"/>
      <c r="F24" s="133"/>
      <c r="G24" s="133"/>
    </row>
    <row r="25" spans="1:17" x14ac:dyDescent="0.25">
      <c r="A25" s="132"/>
      <c r="B25" s="47">
        <v>15.2</v>
      </c>
      <c r="C25" s="139" t="s">
        <v>320</v>
      </c>
      <c r="D25" s="47" t="s">
        <v>357</v>
      </c>
      <c r="E25" s="98"/>
      <c r="F25" s="116" t="s">
        <v>216</v>
      </c>
      <c r="G25" s="117" t="s">
        <v>353</v>
      </c>
      <c r="I25" s="122" t="s">
        <v>355</v>
      </c>
    </row>
    <row r="26" spans="1:17" x14ac:dyDescent="0.25">
      <c r="A26" s="132"/>
      <c r="B26" s="135"/>
      <c r="C26" s="133"/>
      <c r="D26" s="133"/>
      <c r="E26" s="133"/>
      <c r="F26" s="120" t="s">
        <v>217</v>
      </c>
      <c r="G26" s="121" t="s">
        <v>308</v>
      </c>
      <c r="I26" s="122" t="s">
        <v>354</v>
      </c>
    </row>
    <row r="28" spans="1:17" x14ac:dyDescent="0.25">
      <c r="A28" s="97" t="s">
        <v>38</v>
      </c>
    </row>
    <row r="29" spans="1:17" x14ac:dyDescent="0.25">
      <c r="A29" s="103" t="s">
        <v>358</v>
      </c>
      <c r="B29" s="98"/>
      <c r="C29" s="98"/>
    </row>
    <row r="30" spans="1:17" ht="18" x14ac:dyDescent="0.35">
      <c r="B30" s="100" t="s">
        <v>140</v>
      </c>
      <c r="C30" s="79">
        <f>_xlfn.T.DIST(G13,9,1)</f>
        <v>0.97969790602190954</v>
      </c>
    </row>
    <row r="31" spans="1:17" ht="18" x14ac:dyDescent="0.35">
      <c r="B31" s="100" t="s">
        <v>141</v>
      </c>
      <c r="C31" s="79">
        <f>1-C30</f>
        <v>2.0302093978090463E-2</v>
      </c>
      <c r="Q31" s="156" t="s">
        <v>409</v>
      </c>
    </row>
    <row r="32" spans="1:17" ht="18" x14ac:dyDescent="0.35">
      <c r="B32" s="100" t="s">
        <v>101</v>
      </c>
      <c r="C32" s="79">
        <f>2*C31</f>
        <v>4.0604187956180926E-2</v>
      </c>
    </row>
    <row r="33" spans="1:9" x14ac:dyDescent="0.25">
      <c r="A33" s="133"/>
      <c r="B33" s="133"/>
      <c r="C33" s="133"/>
      <c r="D33" s="133"/>
      <c r="E33" s="133"/>
      <c r="F33" s="133"/>
      <c r="G33" s="133"/>
    </row>
    <row r="34" spans="1:9" x14ac:dyDescent="0.25">
      <c r="A34" s="138" t="s">
        <v>39</v>
      </c>
      <c r="B34" s="141">
        <f>C32</f>
        <v>4.0604187956180926E-2</v>
      </c>
      <c r="C34" s="48" t="s">
        <v>147</v>
      </c>
      <c r="D34" s="140">
        <v>0.03</v>
      </c>
      <c r="E34" s="47" t="s">
        <v>142</v>
      </c>
      <c r="F34" s="116" t="s">
        <v>216</v>
      </c>
      <c r="G34" s="117" t="s">
        <v>353</v>
      </c>
      <c r="I34" s="122" t="s">
        <v>355</v>
      </c>
    </row>
    <row r="35" spans="1:9" x14ac:dyDescent="0.25">
      <c r="A35" s="135"/>
      <c r="B35" s="133"/>
      <c r="C35" s="133"/>
      <c r="D35" s="133"/>
      <c r="E35" s="133"/>
      <c r="F35" s="120" t="s">
        <v>217</v>
      </c>
      <c r="G35" s="121" t="s">
        <v>308</v>
      </c>
      <c r="I35" s="122" t="s">
        <v>354</v>
      </c>
    </row>
  </sheetData>
  <mergeCells count="1">
    <mergeCell ref="F15:J15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6"/>
  <sheetViews>
    <sheetView topLeftCell="A7" workbookViewId="0">
      <selection activeCell="O32" sqref="O32"/>
    </sheetView>
  </sheetViews>
  <sheetFormatPr defaultRowHeight="15" x14ac:dyDescent="0.25"/>
  <cols>
    <col min="1" max="1" width="14" style="97" customWidth="1"/>
    <col min="2" max="6" width="9.140625" style="97"/>
    <col min="7" max="7" width="16.28515625" style="97" bestFit="1" customWidth="1"/>
    <col min="8" max="13" width="9.140625" style="97"/>
    <col min="14" max="14" width="13.28515625" style="97" customWidth="1"/>
    <col min="15" max="16384" width="9.140625" style="97"/>
  </cols>
  <sheetData>
    <row r="1" spans="1:24" x14ac:dyDescent="0.25">
      <c r="A1" s="97" t="s">
        <v>218</v>
      </c>
    </row>
    <row r="2" spans="1:24" x14ac:dyDescent="0.25">
      <c r="A2" s="97" t="s">
        <v>363</v>
      </c>
      <c r="B2" s="97">
        <v>30</v>
      </c>
      <c r="C2" s="97">
        <v>35</v>
      </c>
      <c r="D2" s="97">
        <v>40</v>
      </c>
      <c r="E2" s="97">
        <v>45</v>
      </c>
      <c r="F2" s="97">
        <v>50</v>
      </c>
      <c r="G2" s="97">
        <v>55</v>
      </c>
      <c r="H2" s="97">
        <v>60</v>
      </c>
      <c r="I2" s="97">
        <v>65</v>
      </c>
      <c r="J2" s="97">
        <v>70</v>
      </c>
      <c r="K2" s="97">
        <v>75</v>
      </c>
      <c r="N2" s="97" t="s">
        <v>360</v>
      </c>
      <c r="O2" s="97">
        <f>(B2-$O$3)^2</f>
        <v>445.21000000000004</v>
      </c>
      <c r="P2" s="97">
        <f t="shared" ref="P2:V2" si="0">(C2-$O$3)^2</f>
        <v>259.21000000000004</v>
      </c>
      <c r="Q2" s="97">
        <f t="shared" si="0"/>
        <v>123.21000000000004</v>
      </c>
      <c r="R2" s="97">
        <f t="shared" si="0"/>
        <v>37.210000000000015</v>
      </c>
      <c r="S2" s="97">
        <f t="shared" si="0"/>
        <v>1.2100000000000031</v>
      </c>
      <c r="T2" s="97">
        <f t="shared" si="0"/>
        <v>15.209999999999988</v>
      </c>
      <c r="U2" s="97">
        <f t="shared" si="0"/>
        <v>79.20999999999998</v>
      </c>
      <c r="V2" s="97">
        <f t="shared" si="0"/>
        <v>193.20999999999995</v>
      </c>
      <c r="W2" s="97">
        <f>(J2-$O$3)^2</f>
        <v>357.20999999999992</v>
      </c>
      <c r="X2" s="97">
        <f>(K2-$O$3)^2</f>
        <v>571.20999999999992</v>
      </c>
    </row>
    <row r="3" spans="1:24" x14ac:dyDescent="0.25">
      <c r="A3" s="97" t="s">
        <v>219</v>
      </c>
      <c r="B3" s="97">
        <v>4</v>
      </c>
      <c r="C3" s="97">
        <v>6</v>
      </c>
      <c r="D3" s="97">
        <v>8</v>
      </c>
      <c r="E3" s="97">
        <v>15</v>
      </c>
      <c r="F3" s="97">
        <v>25</v>
      </c>
      <c r="G3" s="97">
        <v>20</v>
      </c>
      <c r="H3" s="97">
        <v>8</v>
      </c>
      <c r="I3" s="97">
        <v>7</v>
      </c>
      <c r="J3" s="97">
        <v>5</v>
      </c>
      <c r="K3" s="97">
        <v>2</v>
      </c>
      <c r="L3" s="98"/>
      <c r="N3" s="97" t="s">
        <v>289</v>
      </c>
      <c r="O3" s="79">
        <f>SUMPRODUCT(B2:K2,B3:K3)/SUM(B3:K3)</f>
        <v>51.1</v>
      </c>
    </row>
    <row r="4" spans="1:24" x14ac:dyDescent="0.25">
      <c r="A4" s="97" t="s">
        <v>220</v>
      </c>
      <c r="D4" s="79">
        <v>0.01</v>
      </c>
      <c r="E4" s="97" t="s">
        <v>221</v>
      </c>
      <c r="N4" s="97" t="s">
        <v>359</v>
      </c>
      <c r="O4" s="79">
        <f>SUMPRODUCT(O2:X2,B3:K3)/(SUM(B3:K3)-1)</f>
        <v>102.31313131313131</v>
      </c>
    </row>
    <row r="5" spans="1:24" x14ac:dyDescent="0.25">
      <c r="D5" s="102"/>
      <c r="N5" s="102" t="s">
        <v>77</v>
      </c>
      <c r="O5" s="79">
        <f>SUM(B3:K3)</f>
        <v>100</v>
      </c>
    </row>
    <row r="6" spans="1:24" x14ac:dyDescent="0.25">
      <c r="N6" s="102" t="s">
        <v>154</v>
      </c>
      <c r="O6" s="79">
        <f>C16*O4/SQRT(O5)</f>
        <v>26.871576643229805</v>
      </c>
    </row>
    <row r="7" spans="1:24" ht="18" x14ac:dyDescent="0.35">
      <c r="A7" s="80" t="s">
        <v>23</v>
      </c>
      <c r="C7" s="77"/>
      <c r="D7" s="78"/>
      <c r="N7" s="111"/>
      <c r="O7" s="111"/>
    </row>
    <row r="8" spans="1:24" ht="18" x14ac:dyDescent="0.35">
      <c r="A8" s="100" t="s">
        <v>132</v>
      </c>
      <c r="B8" s="39">
        <v>0.01</v>
      </c>
      <c r="F8" s="100" t="s">
        <v>150</v>
      </c>
      <c r="G8" s="79">
        <v>50</v>
      </c>
      <c r="N8" s="111"/>
      <c r="O8" s="111"/>
    </row>
    <row r="9" spans="1:24" x14ac:dyDescent="0.25">
      <c r="A9" s="97" t="s">
        <v>131</v>
      </c>
      <c r="N9" s="111"/>
      <c r="O9" s="111"/>
    </row>
    <row r="10" spans="1:24" x14ac:dyDescent="0.25">
      <c r="N10" s="111"/>
      <c r="O10" s="111"/>
    </row>
    <row r="11" spans="1:24" x14ac:dyDescent="0.25">
      <c r="N11" s="111"/>
      <c r="O11" s="111"/>
    </row>
    <row r="12" spans="1:24" x14ac:dyDescent="0.25">
      <c r="A12" s="97" t="s">
        <v>27</v>
      </c>
      <c r="N12" s="111"/>
      <c r="O12" s="111"/>
    </row>
    <row r="13" spans="1:24" x14ac:dyDescent="0.25">
      <c r="A13" s="103" t="s">
        <v>222</v>
      </c>
      <c r="B13" s="98"/>
      <c r="C13" s="102"/>
      <c r="N13" s="111"/>
      <c r="O13" s="111"/>
    </row>
    <row r="14" spans="1:24" ht="18" x14ac:dyDescent="0.35">
      <c r="A14" s="97" t="s">
        <v>151</v>
      </c>
      <c r="F14" s="100" t="s">
        <v>40</v>
      </c>
      <c r="G14" s="79">
        <f>(O3-50)/(O4/SQRT(SUM(B3:K3)))</f>
        <v>0.10751308125185126</v>
      </c>
      <c r="N14" s="111"/>
      <c r="O14" s="111"/>
    </row>
    <row r="15" spans="1:24" x14ac:dyDescent="0.25">
      <c r="B15" s="100" t="s">
        <v>31</v>
      </c>
      <c r="C15" s="127">
        <f>_xlfn.T.INV(0.005,99)</f>
        <v>-2.626405457280828</v>
      </c>
      <c r="N15" s="111"/>
      <c r="O15" s="111"/>
    </row>
    <row r="16" spans="1:24" x14ac:dyDescent="0.25">
      <c r="B16" s="100" t="s">
        <v>32</v>
      </c>
      <c r="C16" s="79">
        <f>_xlfn.T.INV(0.995,99)</f>
        <v>2.626405457280828</v>
      </c>
      <c r="E16" s="100" t="s">
        <v>33</v>
      </c>
      <c r="F16" s="229" t="s">
        <v>361</v>
      </c>
      <c r="G16" s="230"/>
      <c r="H16" s="230"/>
      <c r="I16" s="230"/>
      <c r="J16" s="231"/>
      <c r="N16" s="111"/>
      <c r="O16" s="111"/>
    </row>
    <row r="18" spans="1:13" x14ac:dyDescent="0.25">
      <c r="B18" s="114">
        <f>G14</f>
        <v>0.10751308125185126</v>
      </c>
      <c r="C18" s="115" t="s">
        <v>134</v>
      </c>
      <c r="D18" s="116">
        <f>C16</f>
        <v>2.626405457280828</v>
      </c>
      <c r="E18" s="116"/>
      <c r="F18" s="116" t="s">
        <v>223</v>
      </c>
      <c r="G18" s="117" t="s">
        <v>353</v>
      </c>
      <c r="I18" s="122" t="s">
        <v>362</v>
      </c>
      <c r="J18" s="122"/>
      <c r="K18" s="122"/>
      <c r="L18" s="122"/>
      <c r="M18" s="122"/>
    </row>
    <row r="19" spans="1:13" x14ac:dyDescent="0.25">
      <c r="B19" s="118"/>
      <c r="C19" s="119"/>
      <c r="D19" s="120"/>
      <c r="E19" s="120"/>
      <c r="F19" s="120" t="s">
        <v>224</v>
      </c>
      <c r="G19" s="121" t="s">
        <v>308</v>
      </c>
      <c r="I19" s="122" t="s">
        <v>366</v>
      </c>
      <c r="J19" s="122"/>
      <c r="K19" s="122"/>
      <c r="L19" s="122"/>
      <c r="M19" s="122"/>
    </row>
    <row r="22" spans="1:13" x14ac:dyDescent="0.25">
      <c r="A22" s="97" t="s">
        <v>35</v>
      </c>
    </row>
    <row r="23" spans="1:13" x14ac:dyDescent="0.25">
      <c r="A23" s="103" t="s">
        <v>222</v>
      </c>
      <c r="B23" s="98"/>
      <c r="C23" s="98"/>
    </row>
    <row r="24" spans="1:13" ht="21" x14ac:dyDescent="0.35">
      <c r="A24" s="99" t="s">
        <v>364</v>
      </c>
      <c r="B24" s="22">
        <f>O3-O6</f>
        <v>24.228423356770197</v>
      </c>
      <c r="C24" s="23">
        <f>O3+O6</f>
        <v>77.97157664322981</v>
      </c>
    </row>
    <row r="25" spans="1:13" x14ac:dyDescent="0.25">
      <c r="B25" s="133"/>
      <c r="C25" s="133"/>
      <c r="D25" s="133"/>
      <c r="E25" s="133"/>
      <c r="F25" s="133"/>
      <c r="G25" s="133"/>
    </row>
    <row r="26" spans="1:13" x14ac:dyDescent="0.25">
      <c r="A26" s="132"/>
      <c r="B26" s="47">
        <v>50</v>
      </c>
      <c r="C26" s="139" t="s">
        <v>320</v>
      </c>
      <c r="D26" s="47" t="s">
        <v>365</v>
      </c>
      <c r="E26" s="98"/>
      <c r="F26" s="116" t="s">
        <v>223</v>
      </c>
      <c r="G26" s="117" t="s">
        <v>353</v>
      </c>
      <c r="I26" s="122" t="s">
        <v>137</v>
      </c>
    </row>
    <row r="27" spans="1:13" x14ac:dyDescent="0.25">
      <c r="A27" s="132"/>
      <c r="B27" s="135"/>
      <c r="C27" s="133"/>
      <c r="D27" s="133"/>
      <c r="E27" s="133"/>
      <c r="F27" s="120" t="s">
        <v>224</v>
      </c>
      <c r="G27" s="121" t="s">
        <v>308</v>
      </c>
      <c r="I27" s="122" t="s">
        <v>366</v>
      </c>
    </row>
    <row r="29" spans="1:13" x14ac:dyDescent="0.25">
      <c r="A29" s="97" t="s">
        <v>38</v>
      </c>
    </row>
    <row r="30" spans="1:13" x14ac:dyDescent="0.25">
      <c r="A30" s="103" t="s">
        <v>225</v>
      </c>
      <c r="B30" s="98"/>
      <c r="C30" s="98"/>
    </row>
    <row r="31" spans="1:13" ht="18" x14ac:dyDescent="0.35">
      <c r="B31" s="100" t="s">
        <v>140</v>
      </c>
      <c r="C31" s="79">
        <f>_xlfn.T.DIST(G14,99,1)</f>
        <v>0.54270023379272458</v>
      </c>
    </row>
    <row r="32" spans="1:13" ht="18" x14ac:dyDescent="0.35">
      <c r="B32" s="100" t="s">
        <v>141</v>
      </c>
      <c r="C32" s="79">
        <f>1-C31</f>
        <v>0.45729976620727542</v>
      </c>
    </row>
    <row r="33" spans="1:9" ht="18" x14ac:dyDescent="0.35">
      <c r="B33" s="100" t="s">
        <v>101</v>
      </c>
      <c r="C33" s="79">
        <f>2*MIN(C31:C32)</f>
        <v>0.91459953241455083</v>
      </c>
    </row>
    <row r="34" spans="1:9" x14ac:dyDescent="0.25">
      <c r="A34" s="133"/>
      <c r="B34" s="133"/>
      <c r="C34" s="133"/>
      <c r="D34" s="133"/>
      <c r="E34" s="133"/>
      <c r="F34" s="133"/>
      <c r="G34" s="133"/>
    </row>
    <row r="35" spans="1:9" x14ac:dyDescent="0.25">
      <c r="A35" s="138" t="s">
        <v>39</v>
      </c>
      <c r="B35" s="141">
        <f>C33</f>
        <v>0.91459953241455083</v>
      </c>
      <c r="C35" s="48" t="s">
        <v>147</v>
      </c>
      <c r="D35" s="140">
        <v>0.01</v>
      </c>
      <c r="E35" s="47" t="s">
        <v>142</v>
      </c>
      <c r="F35" s="116" t="s">
        <v>223</v>
      </c>
      <c r="G35" s="117" t="s">
        <v>353</v>
      </c>
      <c r="I35" s="122" t="s">
        <v>137</v>
      </c>
    </row>
    <row r="36" spans="1:9" x14ac:dyDescent="0.25">
      <c r="A36" s="135"/>
      <c r="B36" s="133"/>
      <c r="C36" s="133"/>
      <c r="D36" s="133"/>
      <c r="E36" s="133"/>
      <c r="F36" s="120" t="s">
        <v>224</v>
      </c>
      <c r="G36" s="121" t="s">
        <v>308</v>
      </c>
      <c r="I36" s="122" t="s">
        <v>366</v>
      </c>
    </row>
  </sheetData>
  <mergeCells count="1">
    <mergeCell ref="F16:J1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19</vt:i4>
      </vt:variant>
    </vt:vector>
  </HeadingPairs>
  <TitlesOfParts>
    <vt:vector size="19" baseType="lpstr">
      <vt:lpstr>IS teoria</vt:lpstr>
      <vt:lpstr>test hypotez teoria</vt:lpstr>
      <vt:lpstr>vzorce</vt:lpstr>
      <vt:lpstr>Hárok1</vt:lpstr>
      <vt:lpstr>el energia</vt:lpstr>
      <vt:lpstr>IS_spotreba materialu</vt:lpstr>
      <vt:lpstr>Hárok4</vt:lpstr>
      <vt:lpstr>meraci pristroj</vt:lpstr>
      <vt:lpstr>prietok vody</vt:lpstr>
      <vt:lpstr>osvetlovacie teleso</vt:lpstr>
      <vt:lpstr>zivotnost reflektorov</vt:lpstr>
      <vt:lpstr>Hárok7</vt:lpstr>
      <vt:lpstr>Hárok8</vt:lpstr>
      <vt:lpstr>Hárok9</vt:lpstr>
      <vt:lpstr>Hárok10</vt:lpstr>
      <vt:lpstr>parovy test</vt:lpstr>
      <vt:lpstr>benzin_bod odhad_IS</vt:lpstr>
      <vt:lpstr>one-way ANOVA1</vt:lpstr>
      <vt:lpstr>one-way ANOVA2</vt:lpstr>
    </vt:vector>
  </TitlesOfParts>
  <Company>uiam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Tothova</dc:creator>
  <cp:lastModifiedBy>Janette Kotianová</cp:lastModifiedBy>
  <dcterms:created xsi:type="dcterms:W3CDTF">2015-11-24T11:18:24Z</dcterms:created>
  <dcterms:modified xsi:type="dcterms:W3CDTF">2025-11-22T11:17:40Z</dcterms:modified>
</cp:coreProperties>
</file>