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0" yWindow="0" windowWidth="28800" windowHeight="12330"/>
  </bookViews>
  <sheets>
    <sheet name="Hárok1" sheetId="1" r:id="rId1"/>
    <sheet name="valceky" sheetId="2" r:id="rId2"/>
    <sheet name="ziarovky" sheetId="3" r:id="rId3"/>
    <sheet name="plniaca linka_mineralka" sheetId="4" r:id="rId4"/>
    <sheet name="pneumatiky" sheetId="5" r:id="rId5"/>
    <sheet name="plniaca linka_motorovy olej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6" l="1"/>
  <c r="A29" i="6"/>
  <c r="B19" i="6"/>
  <c r="B18" i="6"/>
  <c r="B16" i="6"/>
  <c r="H29" i="5" l="1"/>
  <c r="G20" i="4"/>
  <c r="F29" i="4"/>
  <c r="G29" i="4"/>
  <c r="G15" i="4"/>
  <c r="G18" i="3"/>
  <c r="H16" i="3"/>
  <c r="G15" i="2"/>
  <c r="H12" i="2"/>
  <c r="H12" i="1"/>
  <c r="G13" i="3" l="1"/>
  <c r="G12" i="3"/>
  <c r="G11" i="3"/>
  <c r="G14" i="3" l="1"/>
  <c r="G21" i="2"/>
  <c r="F21" i="2"/>
  <c r="G12" i="2"/>
  <c r="H24" i="6" l="1"/>
  <c r="H21" i="6"/>
  <c r="H20" i="6"/>
  <c r="E24" i="6"/>
  <c r="E29" i="6"/>
  <c r="E21" i="6"/>
  <c r="B24" i="6"/>
  <c r="B29" i="6"/>
  <c r="B23" i="6"/>
  <c r="B22" i="6"/>
  <c r="B21" i="6"/>
  <c r="B20" i="6"/>
  <c r="C16" i="6"/>
  <c r="D16" i="6"/>
  <c r="E16" i="6"/>
  <c r="F16" i="6"/>
  <c r="G16" i="6"/>
  <c r="H16" i="6"/>
  <c r="I15" i="6"/>
  <c r="I29" i="5"/>
  <c r="I20" i="5"/>
  <c r="I24" i="5"/>
  <c r="I25" i="5" s="1"/>
  <c r="I23" i="5"/>
  <c r="I22" i="5"/>
  <c r="I21" i="5"/>
  <c r="C22" i="5"/>
  <c r="C23" i="5"/>
  <c r="C24" i="5"/>
  <c r="C25" i="5"/>
  <c r="C26" i="5"/>
  <c r="C27" i="5"/>
  <c r="C28" i="5"/>
  <c r="C29" i="5"/>
  <c r="C30" i="5"/>
  <c r="C21" i="5"/>
  <c r="G26" i="4"/>
  <c r="G25" i="4"/>
  <c r="F25" i="4"/>
  <c r="G21" i="4"/>
  <c r="G12" i="4"/>
  <c r="G16" i="4" s="1"/>
  <c r="G14" i="4"/>
  <c r="G13" i="4"/>
  <c r="G16" i="2"/>
  <c r="G18" i="2"/>
  <c r="H15" i="2"/>
  <c r="G14" i="2"/>
  <c r="G13" i="2"/>
  <c r="H11" i="1"/>
  <c r="H10" i="1"/>
  <c r="H9" i="1"/>
  <c r="H13" i="1" s="1"/>
  <c r="H14" i="1" l="1"/>
  <c r="H15" i="1" s="1"/>
  <c r="B26" i="6"/>
  <c r="B25" i="6"/>
  <c r="I26" i="5"/>
  <c r="G17" i="4"/>
  <c r="G18" i="4" s="1"/>
  <c r="G17" i="2"/>
</calcChain>
</file>

<file path=xl/sharedStrings.xml><?xml version="1.0" encoding="utf-8"?>
<sst xmlns="http://schemas.openxmlformats.org/spreadsheetml/2006/main" count="129" uniqueCount="55">
  <si>
    <t>Column1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</si>
  <si>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</si>
  <si>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</si>
  <si>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</si>
  <si>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</si>
  <si>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</si>
  <si>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</si>
  <si>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</si>
  <si>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</si>
  <si>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</si>
  <si>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</si>
  <si>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</si>
  <si>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</si>
  <si>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</si>
  <si>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Confidence Level(95,0%)</t>
  </si>
  <si>
    <t>z0=</t>
  </si>
  <si>
    <t>delta=</t>
  </si>
  <si>
    <t>z0,025=</t>
  </si>
  <si>
    <t>z0,975=</t>
  </si>
  <si>
    <t>F(z0)=</t>
  </si>
  <si>
    <t>1-F(z0)=</t>
  </si>
  <si>
    <t>t0=</t>
  </si>
  <si>
    <t>t kv 9(0,025)=</t>
  </si>
  <si>
    <t>t kv 9(0,975)=</t>
  </si>
  <si>
    <t>F(t0)=</t>
  </si>
  <si>
    <t>p=</t>
  </si>
  <si>
    <t>chi^2, kv 9(0,05)=</t>
  </si>
  <si>
    <t>chi^2 ,0 =</t>
  </si>
  <si>
    <t>95%IS pre sigma^2</t>
  </si>
  <si>
    <t>95%IS pre sigma</t>
  </si>
  <si>
    <t>F(chi ^2,0)=</t>
  </si>
  <si>
    <t>x</t>
  </si>
  <si>
    <t>y</t>
  </si>
  <si>
    <t>z=x-y</t>
  </si>
  <si>
    <t>95%IS pre mi</t>
  </si>
  <si>
    <t>x priem=</t>
  </si>
  <si>
    <t>xi</t>
  </si>
  <si>
    <t>s^2, 99 =</t>
  </si>
  <si>
    <t>(xi-xpriem)^2</t>
  </si>
  <si>
    <t>t kv 99(0,025)=</t>
  </si>
  <si>
    <t>t kv 99(0,975)=</t>
  </si>
  <si>
    <t>t kv 99(0,05)=</t>
  </si>
  <si>
    <t xml:space="preserve"> - nekonecno</t>
  </si>
  <si>
    <t>p=F(t0)=</t>
  </si>
  <si>
    <t>chi^2,0=</t>
  </si>
  <si>
    <t>chi^2,kv 99(0,95)=</t>
  </si>
  <si>
    <t>p=1-F(chi^2,0)=</t>
  </si>
  <si>
    <t>nekonecno</t>
  </si>
  <si>
    <t>t kv49(0,05)=</t>
  </si>
  <si>
    <t>t kv49(0,95)=</t>
  </si>
  <si>
    <t xml:space="preserve"> -nekonecno</t>
  </si>
  <si>
    <t>95%IS pre  Mean</t>
  </si>
  <si>
    <t>95% IS pre mi:</t>
  </si>
  <si>
    <t>fi</t>
  </si>
  <si>
    <t>mineralka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</si>
</sst>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Continuous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0" xfId="0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17868</xdr:colOff>
      <xdr:row>7</xdr:row>
      <xdr:rowOff>104595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57143" cy="14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570348</xdr:colOff>
      <xdr:row>10</xdr:row>
      <xdr:rowOff>133095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19048" cy="2038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70618</xdr:colOff>
      <xdr:row>8</xdr:row>
      <xdr:rowOff>47429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85714" cy="15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54710</xdr:colOff>
      <xdr:row>10</xdr:row>
      <xdr:rowOff>76200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98735" cy="198120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95250</xdr:colOff>
      <xdr:row>25</xdr:row>
      <xdr:rowOff>9525</xdr:rowOff>
    </xdr:from>
    <xdr:to>
      <xdr:col>21</xdr:col>
      <xdr:colOff>104393</xdr:colOff>
      <xdr:row>30</xdr:row>
      <xdr:rowOff>85595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8475" y="4781550"/>
          <a:ext cx="3057143" cy="1038095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30</xdr:row>
      <xdr:rowOff>152400</xdr:rowOff>
    </xdr:from>
    <xdr:to>
      <xdr:col>19</xdr:col>
      <xdr:colOff>275979</xdr:colOff>
      <xdr:row>36</xdr:row>
      <xdr:rowOff>180829</xdr:rowOff>
    </xdr:to>
    <xdr:pic>
      <xdr:nvPicPr>
        <xdr:cNvPr id="4" name="Obrázok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96575" y="5886450"/>
          <a:ext cx="1971429" cy="1171429"/>
        </a:xfrm>
        <a:prstGeom prst="rect">
          <a:avLst/>
        </a:prstGeom>
      </xdr:spPr>
    </xdr:pic>
    <xdr:clientData/>
  </xdr:twoCellAnchor>
  <xdr:twoCellAnchor editAs="oneCell">
    <xdr:from>
      <xdr:col>14</xdr:col>
      <xdr:colOff>590550</xdr:colOff>
      <xdr:row>25</xdr:row>
      <xdr:rowOff>0</xdr:rowOff>
    </xdr:from>
    <xdr:to>
      <xdr:col>16</xdr:col>
      <xdr:colOff>133255</xdr:colOff>
      <xdr:row>38</xdr:row>
      <xdr:rowOff>113975</xdr:rowOff>
    </xdr:to>
    <xdr:pic>
      <xdr:nvPicPr>
        <xdr:cNvPr id="5" name="Obrázok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34575" y="4772025"/>
          <a:ext cx="761905" cy="260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49677</xdr:colOff>
      <xdr:row>24</xdr:row>
      <xdr:rowOff>152400</xdr:rowOff>
    </xdr:from>
    <xdr:to>
      <xdr:col>28</xdr:col>
      <xdr:colOff>161227</xdr:colOff>
      <xdr:row>40</xdr:row>
      <xdr:rowOff>9061</xdr:rowOff>
    </xdr:to>
    <xdr:pic>
      <xdr:nvPicPr>
        <xdr:cNvPr id="6" name="Obrázok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660902" y="4733925"/>
          <a:ext cx="4378750" cy="2914186"/>
        </a:xfrm>
        <a:prstGeom prst="rect">
          <a:avLst/>
        </a:prstGeom>
      </xdr:spPr>
    </xdr:pic>
    <xdr:clientData/>
  </xdr:twoCellAnchor>
  <xdr:twoCellAnchor editAs="oneCell">
    <xdr:from>
      <xdr:col>28</xdr:col>
      <xdr:colOff>95250</xdr:colOff>
      <xdr:row>24</xdr:row>
      <xdr:rowOff>66675</xdr:rowOff>
    </xdr:from>
    <xdr:to>
      <xdr:col>35</xdr:col>
      <xdr:colOff>108255</xdr:colOff>
      <xdr:row>39</xdr:row>
      <xdr:rowOff>114300</xdr:rowOff>
    </xdr:to>
    <xdr:pic>
      <xdr:nvPicPr>
        <xdr:cNvPr id="7" name="Obrázok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973675" y="4648200"/>
          <a:ext cx="4280205" cy="2914650"/>
        </a:xfrm>
        <a:prstGeom prst="rect">
          <a:avLst/>
        </a:prstGeom>
      </xdr:spPr>
    </xdr:pic>
    <xdr:clientData/>
  </xdr:twoCellAnchor>
  <xdr:twoCellAnchor editAs="oneCell">
    <xdr:from>
      <xdr:col>35</xdr:col>
      <xdr:colOff>142875</xdr:colOff>
      <xdr:row>24</xdr:row>
      <xdr:rowOff>23076</xdr:rowOff>
    </xdr:from>
    <xdr:to>
      <xdr:col>42</xdr:col>
      <xdr:colOff>104082</xdr:colOff>
      <xdr:row>39</xdr:row>
      <xdr:rowOff>18581</xdr:rowOff>
    </xdr:to>
    <xdr:pic>
      <xdr:nvPicPr>
        <xdr:cNvPr id="8" name="Obrázok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288500" y="4604601"/>
          <a:ext cx="4228407" cy="2862530"/>
        </a:xfrm>
        <a:prstGeom prst="rect">
          <a:avLst/>
        </a:prstGeom>
      </xdr:spPr>
    </xdr:pic>
    <xdr:clientData/>
  </xdr:twoCellAnchor>
  <xdr:twoCellAnchor editAs="oneCell">
    <xdr:from>
      <xdr:col>14</xdr:col>
      <xdr:colOff>581025</xdr:colOff>
      <xdr:row>0</xdr:row>
      <xdr:rowOff>0</xdr:rowOff>
    </xdr:from>
    <xdr:to>
      <xdr:col>29</xdr:col>
      <xdr:colOff>132263</xdr:colOff>
      <xdr:row>24</xdr:row>
      <xdr:rowOff>151808</xdr:rowOff>
    </xdr:to>
    <xdr:pic>
      <xdr:nvPicPr>
        <xdr:cNvPr id="9" name="Obrázok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925050" y="0"/>
          <a:ext cx="8695238" cy="4733333"/>
        </a:xfrm>
        <a:prstGeom prst="rect">
          <a:avLst/>
        </a:prstGeom>
      </xdr:spPr>
    </xdr:pic>
    <xdr:clientData/>
  </xdr:twoCellAnchor>
  <xdr:twoCellAnchor editAs="oneCell">
    <xdr:from>
      <xdr:col>15</xdr:col>
      <xdr:colOff>552450</xdr:colOff>
      <xdr:row>40</xdr:row>
      <xdr:rowOff>0</xdr:rowOff>
    </xdr:from>
    <xdr:to>
      <xdr:col>21</xdr:col>
      <xdr:colOff>361517</xdr:colOff>
      <xdr:row>62</xdr:row>
      <xdr:rowOff>151857</xdr:rowOff>
    </xdr:to>
    <xdr:pic>
      <xdr:nvPicPr>
        <xdr:cNvPr id="10" name="Obrázok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506075" y="7639050"/>
          <a:ext cx="3466667" cy="4342857"/>
        </a:xfrm>
        <a:prstGeom prst="rect">
          <a:avLst/>
        </a:prstGeom>
      </xdr:spPr>
    </xdr:pic>
    <xdr:clientData/>
  </xdr:twoCellAnchor>
  <xdr:twoCellAnchor editAs="oneCell">
    <xdr:from>
      <xdr:col>29</xdr:col>
      <xdr:colOff>428625</xdr:colOff>
      <xdr:row>0</xdr:row>
      <xdr:rowOff>0</xdr:rowOff>
    </xdr:from>
    <xdr:to>
      <xdr:col>39</xdr:col>
      <xdr:colOff>599006</xdr:colOff>
      <xdr:row>23</xdr:row>
      <xdr:rowOff>151752</xdr:rowOff>
    </xdr:to>
    <xdr:pic>
      <xdr:nvPicPr>
        <xdr:cNvPr id="11" name="Obrázok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916650" y="0"/>
          <a:ext cx="6266381" cy="45427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400050</xdr:colOff>
      <xdr:row>19</xdr:row>
      <xdr:rowOff>11037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820150" cy="36400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10</xdr:col>
      <xdr:colOff>352426</xdr:colOff>
      <xdr:row>11</xdr:row>
      <xdr:rowOff>111071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7658100" cy="2206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161925</xdr:rowOff>
    </xdr:from>
    <xdr:to>
      <xdr:col>4</xdr:col>
      <xdr:colOff>190061</xdr:colOff>
      <xdr:row>45</xdr:row>
      <xdr:rowOff>9187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876925"/>
          <a:ext cx="3514286" cy="27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66676</xdr:rowOff>
    </xdr:from>
    <xdr:to>
      <xdr:col>6</xdr:col>
      <xdr:colOff>40018</xdr:colOff>
      <xdr:row>62</xdr:row>
      <xdr:rowOff>38100</xdr:rowOff>
    </xdr:to>
    <xdr:pic>
      <xdr:nvPicPr>
        <xdr:cNvPr id="4" name="Obrázok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639176"/>
          <a:ext cx="4773943" cy="320992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11</xdr:col>
      <xdr:colOff>466269</xdr:colOff>
      <xdr:row>45</xdr:row>
      <xdr:rowOff>104429</xdr:rowOff>
    </xdr:to>
    <xdr:pic>
      <xdr:nvPicPr>
        <xdr:cNvPr id="5" name="Obrázok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33925" y="5905500"/>
          <a:ext cx="3647619" cy="2771429"/>
        </a:xfrm>
        <a:prstGeom prst="rect">
          <a:avLst/>
        </a:prstGeom>
      </xdr:spPr>
    </xdr:pic>
    <xdr:clientData/>
  </xdr:twoCellAnchor>
  <xdr:twoCellAnchor editAs="oneCell">
    <xdr:from>
      <xdr:col>5</xdr:col>
      <xdr:colOff>590551</xdr:colOff>
      <xdr:row>45</xdr:row>
      <xdr:rowOff>47626</xdr:rowOff>
    </xdr:from>
    <xdr:to>
      <xdr:col>13</xdr:col>
      <xdr:colOff>457201</xdr:colOff>
      <xdr:row>62</xdr:row>
      <xdr:rowOff>99296</xdr:rowOff>
    </xdr:to>
    <xdr:pic>
      <xdr:nvPicPr>
        <xdr:cNvPr id="6" name="Obrázok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14876" y="8620126"/>
          <a:ext cx="4876800" cy="3290170"/>
        </a:xfrm>
        <a:prstGeom prst="rect">
          <a:avLst/>
        </a:prstGeom>
      </xdr:spPr>
    </xdr:pic>
    <xdr:clientData/>
  </xdr:twoCellAnchor>
  <xdr:twoCellAnchor editAs="oneCell">
    <xdr:from>
      <xdr:col>14</xdr:col>
      <xdr:colOff>114300</xdr:colOff>
      <xdr:row>23</xdr:row>
      <xdr:rowOff>28575</xdr:rowOff>
    </xdr:from>
    <xdr:to>
      <xdr:col>20</xdr:col>
      <xdr:colOff>151938</xdr:colOff>
      <xdr:row>47</xdr:row>
      <xdr:rowOff>132765</xdr:rowOff>
    </xdr:to>
    <xdr:pic>
      <xdr:nvPicPr>
        <xdr:cNvPr id="7" name="Obrázok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858375" y="4410075"/>
          <a:ext cx="3695238" cy="4676190"/>
        </a:xfrm>
        <a:prstGeom prst="rect">
          <a:avLst/>
        </a:prstGeom>
      </xdr:spPr>
    </xdr:pic>
    <xdr:clientData/>
  </xdr:twoCellAnchor>
  <xdr:twoCellAnchor>
    <xdr:from>
      <xdr:col>1</xdr:col>
      <xdr:colOff>447675</xdr:colOff>
      <xdr:row>40</xdr:row>
      <xdr:rowOff>47625</xdr:rowOff>
    </xdr:from>
    <xdr:to>
      <xdr:col>2</xdr:col>
      <xdr:colOff>285750</xdr:colOff>
      <xdr:row>42</xdr:row>
      <xdr:rowOff>114300</xdr:rowOff>
    </xdr:to>
    <xdr:sp macro="" textlink="">
      <xdr:nvSpPr>
        <xdr:cNvPr id="8" name="Obdĺžnik 7"/>
        <xdr:cNvSpPr/>
      </xdr:nvSpPr>
      <xdr:spPr>
        <a:xfrm>
          <a:off x="1400175" y="7667625"/>
          <a:ext cx="638175" cy="4476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8</xdr:col>
      <xdr:colOff>95250</xdr:colOff>
      <xdr:row>40</xdr:row>
      <xdr:rowOff>95250</xdr:rowOff>
    </xdr:from>
    <xdr:to>
      <xdr:col>9</xdr:col>
      <xdr:colOff>123825</xdr:colOff>
      <xdr:row>42</xdr:row>
      <xdr:rowOff>161925</xdr:rowOff>
    </xdr:to>
    <xdr:sp macro="" textlink="">
      <xdr:nvSpPr>
        <xdr:cNvPr id="9" name="Obdĺžnik 8"/>
        <xdr:cNvSpPr/>
      </xdr:nvSpPr>
      <xdr:spPr>
        <a:xfrm>
          <a:off x="6181725" y="7715250"/>
          <a:ext cx="638175" cy="4476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16</xdr:col>
      <xdr:colOff>238125</xdr:colOff>
      <xdr:row>39</xdr:row>
      <xdr:rowOff>28575</xdr:rowOff>
    </xdr:from>
    <xdr:to>
      <xdr:col>18</xdr:col>
      <xdr:colOff>47625</xdr:colOff>
      <xdr:row>41</xdr:row>
      <xdr:rowOff>95250</xdr:rowOff>
    </xdr:to>
    <xdr:sp macro="" textlink="">
      <xdr:nvSpPr>
        <xdr:cNvPr id="10" name="Obdĺžnik 9"/>
        <xdr:cNvSpPr/>
      </xdr:nvSpPr>
      <xdr:spPr>
        <a:xfrm>
          <a:off x="11201400" y="7458075"/>
          <a:ext cx="1028700" cy="4476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24"/>
  <sheetViews>
    <sheetView tabSelected="1" zoomScale="130" zoomScaleNormal="130" workbookViewId="0">
      <selection activeCell="F21" sqref="F21"/>
    </sheetView>
  </sheetViews>
  <sheetFormatPr defaultRowHeight="15" x14ac:dyDescent="0.25"/>
  <cols>
    <col min="3" max="3" width="22.7109375" customWidth="1"/>
  </cols>
  <sheetData>
    <row r="8" spans="1:8" ht="15.75" thickBot="1" x14ac:dyDescent="0.3"/>
    <row r="9" spans="1:8" x14ac:dyDescent="0.25">
      <c r="A9">
        <v>2</v>
      </c>
      <c r="C9" s="3" t="s">
        <v>0</v>
      </c>
      <c r="D9" s="3"/>
      <c r="G9" s="4" t="s">
        <v>15</v>
      </c>
      <c r="H9">
        <f>(D11-1.95)/(0.2/SQRT(D23))</f>
        <v>1.7392527130926103</v>
      </c>
    </row>
    <row r="10" spans="1:8" x14ac:dyDescent="0.25">
      <c r="A10">
        <v>1.8</v>
      </c>
      <c r="C10" s="1"/>
      <c r="D10" s="1"/>
      <c r="G10" s="4" t="s">
        <v>17</v>
      </c>
      <c r="H10">
        <f>_xlfn.NORM.S.INV(0.025)</f>
        <v>-1.9599639845400538</v>
      </c>
    </row>
    <row r="11" spans="1:8" x14ac:dyDescent="0.25">
      <c r="A11">
        <v>2.1</v>
      </c>
      <c r="C11" s="1" t="s">
        <v>1</v>
      </c>
      <c r="D11" s="1">
        <v>2.06</v>
      </c>
      <c r="G11" s="4" t="s">
        <v>18</v>
      </c>
      <c r="H11">
        <f>_xlfn.NORM.S.INV(0.975)</f>
        <v>1.9599639845400536</v>
      </c>
    </row>
    <row r="12" spans="1:8" x14ac:dyDescent="0.25">
      <c r="A12">
        <v>2.4</v>
      </c>
      <c r="C12" s="1" t="s">
        <v>2</v>
      </c>
      <c r="D12" s="1">
        <v>6.3595946761129687E-2</v>
      </c>
      <c r="G12" s="4" t="s">
        <v>16</v>
      </c>
      <c r="H12">
        <f>_xlfn.CONFIDENCE.NORM(0.05,0.2,D23)</f>
        <v>0.12395900646091228</v>
      </c>
    </row>
    <row r="13" spans="1:8" x14ac:dyDescent="0.25">
      <c r="A13">
        <v>1.9</v>
      </c>
      <c r="C13" s="1" t="s">
        <v>3</v>
      </c>
      <c r="D13" s="1">
        <v>2.0499999999999998</v>
      </c>
      <c r="G13" s="4" t="s">
        <v>19</v>
      </c>
      <c r="H13">
        <f>_xlfn.NORM.S.DIST(H9,1)</f>
        <v>0.95900483949980864</v>
      </c>
    </row>
    <row r="14" spans="1:8" x14ac:dyDescent="0.25">
      <c r="A14">
        <v>2.1</v>
      </c>
      <c r="C14" s="1" t="s">
        <v>4</v>
      </c>
      <c r="D14" s="1">
        <v>2</v>
      </c>
      <c r="G14" s="4" t="s">
        <v>20</v>
      </c>
      <c r="H14">
        <f>1-H13</f>
        <v>4.0995160500191363E-2</v>
      </c>
    </row>
    <row r="15" spans="1:8" x14ac:dyDescent="0.25">
      <c r="A15">
        <v>2</v>
      </c>
      <c r="C15" s="1" t="s">
        <v>5</v>
      </c>
      <c r="D15" s="1">
        <v>0.20110804171997804</v>
      </c>
      <c r="G15" s="4" t="s">
        <v>25</v>
      </c>
      <c r="H15">
        <f>2*MIN(H13:H14)</f>
        <v>8.1990321000382727E-2</v>
      </c>
    </row>
    <row r="16" spans="1:8" x14ac:dyDescent="0.25">
      <c r="A16">
        <v>1.8</v>
      </c>
      <c r="C16" s="1" t="s">
        <v>6</v>
      </c>
      <c r="D16" s="1">
        <v>4.0444444444444429E-2</v>
      </c>
    </row>
    <row r="17" spans="1:4" x14ac:dyDescent="0.25">
      <c r="A17">
        <v>2.2999999999999998</v>
      </c>
      <c r="C17" s="1" t="s">
        <v>7</v>
      </c>
      <c r="D17" s="1">
        <v>-0.7512679628064256</v>
      </c>
    </row>
    <row r="18" spans="1:4" x14ac:dyDescent="0.25">
      <c r="A18">
        <v>2.2000000000000002</v>
      </c>
      <c r="C18" s="1" t="s">
        <v>8</v>
      </c>
      <c r="D18" s="1">
        <v>0.2786758578356161</v>
      </c>
    </row>
    <row r="19" spans="1:4" x14ac:dyDescent="0.25">
      <c r="C19" s="1" t="s">
        <v>9</v>
      </c>
      <c r="D19" s="1">
        <v>0.59999999999999987</v>
      </c>
    </row>
    <row r="20" spans="1:4" x14ac:dyDescent="0.25">
      <c r="C20" s="1" t="s">
        <v>10</v>
      </c>
      <c r="D20" s="1">
        <v>1.8</v>
      </c>
    </row>
    <row r="21" spans="1:4" x14ac:dyDescent="0.25">
      <c r="C21" s="1" t="s">
        <v>11</v>
      </c>
      <c r="D21" s="1">
        <v>2.4</v>
      </c>
    </row>
    <row r="22" spans="1:4" x14ac:dyDescent="0.25">
      <c r="C22" s="1" t="s">
        <v>12</v>
      </c>
      <c r="D22" s="1">
        <v>20.6</v>
      </c>
    </row>
    <row r="23" spans="1:4" x14ac:dyDescent="0.25">
      <c r="C23" s="1" t="s">
        <v>13</v>
      </c>
      <c r="D23" s="1">
        <v>10</v>
      </c>
    </row>
    <row r="24" spans="1:4" ht="15.75" thickBot="1" x14ac:dyDescent="0.3">
      <c r="C24" s="2" t="s">
        <v>14</v>
      </c>
      <c r="D24" s="2">
        <v>0.14386402649062283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H27"/>
  <sheetViews>
    <sheetView topLeftCell="A2" zoomScale="115" zoomScaleNormal="115" workbookViewId="0">
      <selection activeCell="I26" sqref="I26"/>
    </sheetView>
  </sheetViews>
  <sheetFormatPr defaultRowHeight="15" x14ac:dyDescent="0.25"/>
  <cols>
    <col min="3" max="3" width="29.140625" customWidth="1"/>
  </cols>
  <sheetData>
    <row r="11" spans="1:8" ht="15.75" thickBot="1" x14ac:dyDescent="0.3"/>
    <row r="12" spans="1:8" x14ac:dyDescent="0.25">
      <c r="A12">
        <v>5.37</v>
      </c>
      <c r="C12" s="3" t="s">
        <v>0</v>
      </c>
      <c r="D12" s="3"/>
      <c r="F12" s="4" t="s">
        <v>21</v>
      </c>
      <c r="G12">
        <f>(D14-5.4)/(D18/SQRT(D26))</f>
        <v>-2.1397693854159949</v>
      </c>
      <c r="H12">
        <f>(D14-5.4)/D15</f>
        <v>-2.1397693854159949</v>
      </c>
    </row>
    <row r="13" spans="1:8" x14ac:dyDescent="0.25">
      <c r="A13">
        <v>5.36</v>
      </c>
      <c r="C13" s="1"/>
      <c r="D13" s="1"/>
      <c r="F13" s="4" t="s">
        <v>22</v>
      </c>
      <c r="G13">
        <f>_xlfn.T.INV(0.025,9)</f>
        <v>-2.2621571627982053</v>
      </c>
    </row>
    <row r="14" spans="1:8" x14ac:dyDescent="0.25">
      <c r="A14">
        <v>5.35</v>
      </c>
      <c r="C14" s="1" t="s">
        <v>1</v>
      </c>
      <c r="D14" s="1">
        <v>5.3689999999999998</v>
      </c>
      <c r="F14" s="4" t="s">
        <v>23</v>
      </c>
      <c r="G14">
        <f>_xlfn.T.INV(0.975,9)</f>
        <v>2.2621571627982049</v>
      </c>
    </row>
    <row r="15" spans="1:8" x14ac:dyDescent="0.25">
      <c r="A15">
        <v>5.4</v>
      </c>
      <c r="C15" s="1" t="s">
        <v>2</v>
      </c>
      <c r="D15" s="1">
        <v>1.4487542541400477E-2</v>
      </c>
      <c r="F15" s="4" t="s">
        <v>16</v>
      </c>
      <c r="G15">
        <f>_xlfn.CONFIDENCE.T(0.05,D18,D26)</f>
        <v>3.2773098131372802E-2</v>
      </c>
      <c r="H15">
        <f>D15*G14</f>
        <v>3.2773098131372802E-2</v>
      </c>
    </row>
    <row r="16" spans="1:8" x14ac:dyDescent="0.25">
      <c r="A16">
        <v>5.41</v>
      </c>
      <c r="C16" s="1" t="s">
        <v>3</v>
      </c>
      <c r="D16" s="1">
        <v>5.3650000000000002</v>
      </c>
      <c r="F16" s="4" t="s">
        <v>24</v>
      </c>
      <c r="G16">
        <f>_xlfn.T.DIST(G12,9,1)</f>
        <v>3.0522068417512212E-2</v>
      </c>
    </row>
    <row r="17" spans="1:7" x14ac:dyDescent="0.25">
      <c r="A17">
        <v>5.34</v>
      </c>
      <c r="C17" s="1" t="s">
        <v>4</v>
      </c>
      <c r="D17" s="1" t="e">
        <v>#N/A</v>
      </c>
      <c r="F17" s="4" t="s">
        <v>20</v>
      </c>
      <c r="G17">
        <f>1-G16</f>
        <v>0.96947793158248774</v>
      </c>
    </row>
    <row r="18" spans="1:7" x14ac:dyDescent="0.25">
      <c r="A18">
        <v>5.29</v>
      </c>
      <c r="C18" s="1" t="s">
        <v>5</v>
      </c>
      <c r="D18" s="1">
        <v>4.5813632129409761E-2</v>
      </c>
      <c r="F18" s="4" t="s">
        <v>25</v>
      </c>
      <c r="G18">
        <f>2*MIN(G16:G17)</f>
        <v>6.1044136835024423E-2</v>
      </c>
    </row>
    <row r="19" spans="1:7" x14ac:dyDescent="0.25">
      <c r="A19">
        <v>5.43</v>
      </c>
      <c r="C19" s="1" t="s">
        <v>6</v>
      </c>
      <c r="D19" s="1">
        <v>2.0988888888888863E-3</v>
      </c>
    </row>
    <row r="20" spans="1:7" x14ac:dyDescent="0.25">
      <c r="A20">
        <v>5.42</v>
      </c>
      <c r="C20" s="1" t="s">
        <v>7</v>
      </c>
      <c r="D20" s="1">
        <v>-0.87526278365333177</v>
      </c>
      <c r="F20" s="4" t="s">
        <v>34</v>
      </c>
    </row>
    <row r="21" spans="1:7" x14ac:dyDescent="0.25">
      <c r="A21">
        <v>5.32</v>
      </c>
      <c r="C21" s="1" t="s">
        <v>8</v>
      </c>
      <c r="D21" s="1">
        <v>-0.26622926464165531</v>
      </c>
      <c r="F21">
        <f>D14-G15</f>
        <v>5.3362269018686268</v>
      </c>
      <c r="G21">
        <f>D14+G15</f>
        <v>5.4017730981313727</v>
      </c>
    </row>
    <row r="22" spans="1:7" x14ac:dyDescent="0.25">
      <c r="C22" s="1" t="s">
        <v>9</v>
      </c>
      <c r="D22" s="1">
        <v>0.13999999999999968</v>
      </c>
    </row>
    <row r="23" spans="1:7" x14ac:dyDescent="0.25">
      <c r="C23" s="1" t="s">
        <v>10</v>
      </c>
      <c r="D23" s="1">
        <v>5.29</v>
      </c>
    </row>
    <row r="24" spans="1:7" x14ac:dyDescent="0.25">
      <c r="C24" s="1" t="s">
        <v>11</v>
      </c>
      <c r="D24" s="1">
        <v>5.43</v>
      </c>
    </row>
    <row r="25" spans="1:7" x14ac:dyDescent="0.25">
      <c r="C25" s="1" t="s">
        <v>12</v>
      </c>
      <c r="D25" s="1">
        <v>53.69</v>
      </c>
    </row>
    <row r="26" spans="1:7" x14ac:dyDescent="0.25">
      <c r="C26" s="1" t="s">
        <v>13</v>
      </c>
      <c r="D26" s="1">
        <v>10</v>
      </c>
    </row>
    <row r="27" spans="1:7" ht="15.75" thickBot="1" x14ac:dyDescent="0.3">
      <c r="C27" s="2" t="s">
        <v>14</v>
      </c>
      <c r="D27" s="2">
        <v>3.2773098131372802E-2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1:H18"/>
  <sheetViews>
    <sheetView zoomScale="130" zoomScaleNormal="130" workbookViewId="0">
      <selection activeCell="F17" sqref="F17"/>
    </sheetView>
  </sheetViews>
  <sheetFormatPr defaultRowHeight="15" x14ac:dyDescent="0.25"/>
  <cols>
    <col min="7" max="7" width="13.140625" customWidth="1"/>
  </cols>
  <sheetData>
    <row r="11" spans="6:8" x14ac:dyDescent="0.25">
      <c r="F11" s="4" t="s">
        <v>21</v>
      </c>
      <c r="G11">
        <f>(997.08-1000)/(104.709/SQRT(50))</f>
        <v>-0.19718952535738951</v>
      </c>
    </row>
    <row r="12" spans="6:8" x14ac:dyDescent="0.25">
      <c r="F12" s="4" t="s">
        <v>48</v>
      </c>
      <c r="G12">
        <f>_xlfn.T.INV(0.05,49)</f>
        <v>-1.6765508926168529</v>
      </c>
    </row>
    <row r="13" spans="6:8" x14ac:dyDescent="0.25">
      <c r="F13" s="4" t="s">
        <v>49</v>
      </c>
      <c r="G13">
        <f>_xlfn.T.INV(0.95,49)</f>
        <v>1.6765508926168529</v>
      </c>
    </row>
    <row r="14" spans="6:8" x14ac:dyDescent="0.25">
      <c r="F14" s="4" t="s">
        <v>24</v>
      </c>
      <c r="G14">
        <f>_xlfn.T.DIST(-0.197,49,1)</f>
        <v>0.42232120609245727</v>
      </c>
    </row>
    <row r="16" spans="6:8" x14ac:dyDescent="0.25">
      <c r="F16" s="4" t="s">
        <v>52</v>
      </c>
      <c r="G16" s="5" t="s">
        <v>50</v>
      </c>
      <c r="H16" s="6">
        <f>997.08+(104.709/SQRT(50))*G13</f>
        <v>1021.9065144792473</v>
      </c>
    </row>
    <row r="18" spans="6:7" x14ac:dyDescent="0.25">
      <c r="F18" s="7" t="s">
        <v>25</v>
      </c>
      <c r="G18">
        <f>_xlfn.T.DIST(G11,49,1)</f>
        <v>0.42224745683739728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29"/>
  <sheetViews>
    <sheetView workbookViewId="0">
      <selection activeCell="G23" sqref="G23"/>
    </sheetView>
  </sheetViews>
  <sheetFormatPr defaultRowHeight="15" x14ac:dyDescent="0.25"/>
  <cols>
    <col min="3" max="3" width="21.28515625" customWidth="1"/>
  </cols>
  <sheetData>
    <row r="11" spans="1:7" ht="15.75" thickBot="1" x14ac:dyDescent="0.3"/>
    <row r="12" spans="1:7" x14ac:dyDescent="0.25">
      <c r="A12">
        <v>7.1</v>
      </c>
      <c r="C12" s="3" t="s">
        <v>0</v>
      </c>
      <c r="D12" s="3"/>
      <c r="F12" s="4" t="s">
        <v>21</v>
      </c>
      <c r="G12">
        <f>(D14-7)/(D18/SQRT(D26))</f>
        <v>0.51449575542753889</v>
      </c>
    </row>
    <row r="13" spans="1:7" x14ac:dyDescent="0.25">
      <c r="A13">
        <v>7</v>
      </c>
      <c r="C13" s="1"/>
      <c r="D13" s="1"/>
      <c r="F13" s="4" t="s">
        <v>22</v>
      </c>
      <c r="G13">
        <f>_xlfn.T.INV(0.025,9)</f>
        <v>-2.2621571627982053</v>
      </c>
    </row>
    <row r="14" spans="1:7" x14ac:dyDescent="0.25">
      <c r="A14">
        <v>6.9</v>
      </c>
      <c r="C14" s="1" t="s">
        <v>1</v>
      </c>
      <c r="D14" s="1">
        <v>7.0200000000000005</v>
      </c>
      <c r="F14" s="4" t="s">
        <v>23</v>
      </c>
      <c r="G14">
        <f>_xlfn.T.INV(0.975,9)</f>
        <v>2.2621571627982049</v>
      </c>
    </row>
    <row r="15" spans="1:7" x14ac:dyDescent="0.25">
      <c r="A15">
        <v>6.8</v>
      </c>
      <c r="C15" s="1" t="s">
        <v>2</v>
      </c>
      <c r="D15" s="1">
        <v>3.8873012632301966E-2</v>
      </c>
      <c r="F15" s="4" t="s">
        <v>16</v>
      </c>
      <c r="G15">
        <f>_xlfn.CONFIDENCE.T(0.05,D18,D26)</f>
        <v>8.7936863965707004E-2</v>
      </c>
    </row>
    <row r="16" spans="1:7" x14ac:dyDescent="0.25">
      <c r="A16">
        <v>7.2</v>
      </c>
      <c r="C16" s="1" t="s">
        <v>3</v>
      </c>
      <c r="D16" s="1">
        <v>7.05</v>
      </c>
      <c r="F16" s="4" t="s">
        <v>24</v>
      </c>
      <c r="G16">
        <f>_xlfn.T.DIST(G12,9,1)</f>
        <v>0.69034974498092372</v>
      </c>
    </row>
    <row r="17" spans="1:7" x14ac:dyDescent="0.25">
      <c r="A17">
        <v>7.1</v>
      </c>
      <c r="C17" s="1" t="s">
        <v>4</v>
      </c>
      <c r="D17" s="1">
        <v>7.1</v>
      </c>
      <c r="F17" s="4" t="s">
        <v>20</v>
      </c>
      <c r="G17">
        <f>1-G16</f>
        <v>0.30965025501907628</v>
      </c>
    </row>
    <row r="18" spans="1:7" x14ac:dyDescent="0.25">
      <c r="A18">
        <v>7.1</v>
      </c>
      <c r="C18" s="1" t="s">
        <v>5</v>
      </c>
      <c r="D18" s="1">
        <v>0.12292725943057171</v>
      </c>
      <c r="F18" s="4" t="s">
        <v>25</v>
      </c>
      <c r="G18">
        <f>2*MIN(G16:G17)</f>
        <v>0.61930051003815256</v>
      </c>
    </row>
    <row r="19" spans="1:7" x14ac:dyDescent="0.25">
      <c r="A19">
        <v>6.9</v>
      </c>
      <c r="C19" s="1" t="s">
        <v>6</v>
      </c>
      <c r="D19" s="1">
        <v>1.5111111111111082E-2</v>
      </c>
    </row>
    <row r="20" spans="1:7" x14ac:dyDescent="0.25">
      <c r="A20">
        <v>7</v>
      </c>
      <c r="C20" s="1" t="s">
        <v>7</v>
      </c>
      <c r="D20" s="1">
        <v>-0.54359243697476067</v>
      </c>
      <c r="F20" s="4" t="s">
        <v>27</v>
      </c>
      <c r="G20">
        <f>9*D19/0.09</f>
        <v>1.5111111111111082</v>
      </c>
    </row>
    <row r="21" spans="1:7" x14ac:dyDescent="0.25">
      <c r="A21">
        <v>7.1</v>
      </c>
      <c r="C21" s="1" t="s">
        <v>8</v>
      </c>
      <c r="D21" s="1">
        <v>-0.46655999199969905</v>
      </c>
      <c r="F21" s="4" t="s">
        <v>26</v>
      </c>
      <c r="G21">
        <f>_xlfn.CHISQ.INV(0.05,9)</f>
        <v>3.3251128430668158</v>
      </c>
    </row>
    <row r="22" spans="1:7" x14ac:dyDescent="0.25">
      <c r="C22" s="1" t="s">
        <v>9</v>
      </c>
      <c r="D22" s="1">
        <v>0.40000000000000036</v>
      </c>
      <c r="F22" s="4" t="s">
        <v>28</v>
      </c>
    </row>
    <row r="23" spans="1:7" x14ac:dyDescent="0.25">
      <c r="C23" s="1" t="s">
        <v>10</v>
      </c>
      <c r="D23" s="1">
        <v>6.8</v>
      </c>
      <c r="F23" s="5">
        <v>0</v>
      </c>
      <c r="G23" s="6" t="s">
        <v>54</v>
      </c>
    </row>
    <row r="24" spans="1:7" x14ac:dyDescent="0.25">
      <c r="C24" s="1" t="s">
        <v>11</v>
      </c>
      <c r="D24" s="1">
        <v>7.2</v>
      </c>
      <c r="F24" s="4" t="s">
        <v>29</v>
      </c>
      <c r="G24" s="4"/>
    </row>
    <row r="25" spans="1:7" x14ac:dyDescent="0.25">
      <c r="C25" s="1" t="s">
        <v>12</v>
      </c>
      <c r="D25" s="1">
        <v>70.2</v>
      </c>
      <c r="F25" s="5">
        <f>SQRT(F23)</f>
        <v>0</v>
      </c>
      <c r="G25" s="6" t="e">
        <f>SQRT(G23)</f>
        <v>#VALUE!</v>
      </c>
    </row>
    <row r="26" spans="1:7" x14ac:dyDescent="0.25">
      <c r="C26" s="1" t="s">
        <v>13</v>
      </c>
      <c r="D26" s="1">
        <v>10</v>
      </c>
      <c r="F26" s="7" t="s">
        <v>30</v>
      </c>
      <c r="G26">
        <f>_xlfn.CHISQ.DIST(G20,9,1)</f>
        <v>2.9365014904601827E-3</v>
      </c>
    </row>
    <row r="27" spans="1:7" ht="15.75" thickBot="1" x14ac:dyDescent="0.3">
      <c r="C27" s="2" t="s">
        <v>14</v>
      </c>
      <c r="D27" s="2">
        <v>8.7936863965706991E-2</v>
      </c>
    </row>
    <row r="28" spans="1:7" x14ac:dyDescent="0.25">
      <c r="F28" s="4" t="s">
        <v>51</v>
      </c>
    </row>
    <row r="29" spans="1:7" x14ac:dyDescent="0.25">
      <c r="F29" s="5">
        <f>D14-D27</f>
        <v>6.9320631360342935</v>
      </c>
      <c r="G29" s="6">
        <f>D14+D27</f>
        <v>7.1079368639657075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I35"/>
  <sheetViews>
    <sheetView workbookViewId="0">
      <selection activeCell="J44" sqref="J44"/>
    </sheetView>
  </sheetViews>
  <sheetFormatPr defaultRowHeight="15" x14ac:dyDescent="0.25"/>
  <cols>
    <col min="5" max="5" width="25.7109375" customWidth="1"/>
  </cols>
  <sheetData>
    <row r="19" spans="1:9" ht="15.75" thickBot="1" x14ac:dyDescent="0.3"/>
    <row r="20" spans="1:9" x14ac:dyDescent="0.25">
      <c r="A20" t="s">
        <v>31</v>
      </c>
      <c r="B20" t="s">
        <v>32</v>
      </c>
      <c r="C20" t="s">
        <v>33</v>
      </c>
      <c r="E20" s="3" t="s">
        <v>0</v>
      </c>
      <c r="F20" s="3"/>
      <c r="H20" s="4" t="s">
        <v>21</v>
      </c>
      <c r="I20">
        <f>(F22-0)/(F26/SQRT(F34))</f>
        <v>-1.4478720844636406</v>
      </c>
    </row>
    <row r="21" spans="1:9" x14ac:dyDescent="0.25">
      <c r="A21">
        <v>2.4</v>
      </c>
      <c r="B21">
        <v>3.1</v>
      </c>
      <c r="C21">
        <f>A21-B21</f>
        <v>-0.70000000000000018</v>
      </c>
      <c r="E21" s="1"/>
      <c r="F21" s="1"/>
      <c r="H21" s="4" t="s">
        <v>22</v>
      </c>
      <c r="I21">
        <f>_xlfn.T.INV(0.025,9)</f>
        <v>-2.2621571627982053</v>
      </c>
    </row>
    <row r="22" spans="1:9" x14ac:dyDescent="0.25">
      <c r="A22">
        <v>3.8</v>
      </c>
      <c r="B22">
        <v>2.9</v>
      </c>
      <c r="C22">
        <f t="shared" ref="C22:C30" si="0">A22-B22</f>
        <v>0.89999999999999991</v>
      </c>
      <c r="E22" s="1" t="s">
        <v>1</v>
      </c>
      <c r="F22" s="1">
        <v>-0.36</v>
      </c>
      <c r="H22" s="4" t="s">
        <v>23</v>
      </c>
      <c r="I22">
        <f>_xlfn.T.INV(0.975,9)</f>
        <v>2.2621571627982049</v>
      </c>
    </row>
    <row r="23" spans="1:9" x14ac:dyDescent="0.25">
      <c r="A23">
        <v>1.5</v>
      </c>
      <c r="B23">
        <v>2.9</v>
      </c>
      <c r="C23">
        <f t="shared" si="0"/>
        <v>-1.4</v>
      </c>
      <c r="E23" s="1" t="s">
        <v>2</v>
      </c>
      <c r="F23" s="1">
        <v>0.24864074931962019</v>
      </c>
      <c r="H23" s="4" t="s">
        <v>16</v>
      </c>
      <c r="I23">
        <f>_xlfn.CONFIDENCE.T(0.05,F26,F34)</f>
        <v>0.56246445203689177</v>
      </c>
    </row>
    <row r="24" spans="1:9" x14ac:dyDescent="0.25">
      <c r="A24">
        <v>2.8</v>
      </c>
      <c r="B24">
        <v>3.4</v>
      </c>
      <c r="C24">
        <f t="shared" si="0"/>
        <v>-0.60000000000000009</v>
      </c>
      <c r="E24" s="1" t="s">
        <v>3</v>
      </c>
      <c r="F24" s="1">
        <v>-0.5</v>
      </c>
      <c r="H24" s="4" t="s">
        <v>24</v>
      </c>
      <c r="I24">
        <f>_xlfn.T.DIST(I20,9,1)</f>
        <v>9.0787522127099743E-2</v>
      </c>
    </row>
    <row r="25" spans="1:9" x14ac:dyDescent="0.25">
      <c r="A25">
        <v>2.4</v>
      </c>
      <c r="B25">
        <v>2.8</v>
      </c>
      <c r="C25">
        <f t="shared" si="0"/>
        <v>-0.39999999999999991</v>
      </c>
      <c r="E25" s="1" t="s">
        <v>4</v>
      </c>
      <c r="F25" s="1">
        <v>-1</v>
      </c>
      <c r="H25" s="4" t="s">
        <v>20</v>
      </c>
      <c r="I25">
        <f>1-I24</f>
        <v>0.90921247787290027</v>
      </c>
    </row>
    <row r="26" spans="1:9" x14ac:dyDescent="0.25">
      <c r="A26">
        <v>3.5</v>
      </c>
      <c r="B26">
        <v>2.5</v>
      </c>
      <c r="C26">
        <f t="shared" si="0"/>
        <v>1</v>
      </c>
      <c r="E26" s="1" t="s">
        <v>5</v>
      </c>
      <c r="F26" s="1">
        <v>0.78627108698096115</v>
      </c>
      <c r="H26" s="4" t="s">
        <v>25</v>
      </c>
      <c r="I26">
        <f>2*MIN(I24:I25)</f>
        <v>0.18157504425419949</v>
      </c>
    </row>
    <row r="27" spans="1:9" x14ac:dyDescent="0.25">
      <c r="A27">
        <v>2.4</v>
      </c>
      <c r="B27">
        <v>3.4</v>
      </c>
      <c r="C27">
        <f t="shared" si="0"/>
        <v>-1</v>
      </c>
      <c r="E27" s="1" t="s">
        <v>6</v>
      </c>
      <c r="F27" s="1">
        <v>0.61822222222222223</v>
      </c>
    </row>
    <row r="28" spans="1:9" x14ac:dyDescent="0.25">
      <c r="A28">
        <v>2.8</v>
      </c>
      <c r="B28">
        <v>3</v>
      </c>
      <c r="C28">
        <f t="shared" si="0"/>
        <v>-0.20000000000000018</v>
      </c>
      <c r="E28" s="1" t="s">
        <v>7</v>
      </c>
      <c r="F28" s="1">
        <v>-7.6471480305878359E-2</v>
      </c>
      <c r="H28" s="4" t="s">
        <v>34</v>
      </c>
    </row>
    <row r="29" spans="1:9" x14ac:dyDescent="0.25">
      <c r="A29">
        <v>2.7</v>
      </c>
      <c r="B29">
        <v>2.9</v>
      </c>
      <c r="C29">
        <f t="shared" si="0"/>
        <v>-0.19999999999999973</v>
      </c>
      <c r="E29" s="1" t="s">
        <v>8</v>
      </c>
      <c r="F29" s="1">
        <v>0.80622887008344812</v>
      </c>
      <c r="H29" s="5">
        <f>F22-I23</f>
        <v>-0.92246445203689176</v>
      </c>
      <c r="I29" s="6">
        <f>F22+I23</f>
        <v>0.20246445203689178</v>
      </c>
    </row>
    <row r="30" spans="1:9" x14ac:dyDescent="0.25">
      <c r="A30">
        <v>2.2000000000000002</v>
      </c>
      <c r="B30">
        <v>3.2</v>
      </c>
      <c r="C30">
        <f t="shared" si="0"/>
        <v>-1</v>
      </c>
      <c r="E30" s="1" t="s">
        <v>9</v>
      </c>
      <c r="F30" s="1">
        <v>2.4</v>
      </c>
    </row>
    <row r="31" spans="1:9" x14ac:dyDescent="0.25">
      <c r="E31" s="1" t="s">
        <v>10</v>
      </c>
      <c r="F31" s="1">
        <v>-1.4</v>
      </c>
    </row>
    <row r="32" spans="1:9" x14ac:dyDescent="0.25">
      <c r="E32" s="1" t="s">
        <v>11</v>
      </c>
      <c r="F32" s="1">
        <v>1</v>
      </c>
    </row>
    <row r="33" spans="5:6" x14ac:dyDescent="0.25">
      <c r="E33" s="1" t="s">
        <v>12</v>
      </c>
      <c r="F33" s="1">
        <v>-3.6</v>
      </c>
    </row>
    <row r="34" spans="5:6" x14ac:dyDescent="0.25">
      <c r="E34" s="1" t="s">
        <v>13</v>
      </c>
      <c r="F34" s="1">
        <v>10</v>
      </c>
    </row>
    <row r="35" spans="5:6" ht="15.75" thickBot="1" x14ac:dyDescent="0.3">
      <c r="E35" s="2" t="s">
        <v>14</v>
      </c>
      <c r="F35" s="2">
        <v>0.56246445203689166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I29"/>
  <sheetViews>
    <sheetView topLeftCell="A4" workbookViewId="0">
      <selection activeCell="W37" sqref="W37"/>
    </sheetView>
  </sheetViews>
  <sheetFormatPr defaultRowHeight="15" x14ac:dyDescent="0.25"/>
  <cols>
    <col min="1" max="1" width="14.28515625" customWidth="1"/>
    <col min="2" max="2" width="12" bestFit="1" customWidth="1"/>
    <col min="4" max="4" width="14.42578125" customWidth="1"/>
    <col min="5" max="5" width="12" bestFit="1" customWidth="1"/>
    <col min="8" max="8" width="11.140625" customWidth="1"/>
  </cols>
  <sheetData>
    <row r="14" spans="1:9" x14ac:dyDescent="0.25">
      <c r="A14" t="s">
        <v>36</v>
      </c>
      <c r="B14">
        <v>0.96</v>
      </c>
      <c r="C14">
        <v>0.97</v>
      </c>
      <c r="D14">
        <v>0.98</v>
      </c>
      <c r="E14">
        <v>0.99</v>
      </c>
      <c r="F14">
        <v>1</v>
      </c>
      <c r="G14">
        <v>1.02</v>
      </c>
      <c r="H14">
        <v>1.05</v>
      </c>
    </row>
    <row r="15" spans="1:9" x14ac:dyDescent="0.25">
      <c r="A15" t="s">
        <v>53</v>
      </c>
      <c r="B15">
        <v>1</v>
      </c>
      <c r="C15">
        <v>12</v>
      </c>
      <c r="D15">
        <v>65</v>
      </c>
      <c r="E15">
        <v>8</v>
      </c>
      <c r="F15">
        <v>11</v>
      </c>
      <c r="G15">
        <v>2</v>
      </c>
      <c r="H15">
        <v>1</v>
      </c>
      <c r="I15">
        <f>SUM(B15:H15)</f>
        <v>100</v>
      </c>
    </row>
    <row r="16" spans="1:9" x14ac:dyDescent="0.25">
      <c r="A16" t="s">
        <v>38</v>
      </c>
      <c r="B16">
        <f>(B14-$B$18)^2</f>
        <v>5.3361000000000044E-4</v>
      </c>
      <c r="C16">
        <f t="shared" ref="C16:H16" si="0">(C14-$B$18)^2</f>
        <v>1.7161000000000002E-4</v>
      </c>
      <c r="D16">
        <f t="shared" si="0"/>
        <v>9.6099999999999486E-6</v>
      </c>
      <c r="E16">
        <f t="shared" si="0"/>
        <v>4.7610000000000237E-5</v>
      </c>
      <c r="F16">
        <f t="shared" si="0"/>
        <v>2.8561000000000087E-4</v>
      </c>
      <c r="G16">
        <f t="shared" si="0"/>
        <v>1.3616100000000033E-3</v>
      </c>
      <c r="H16">
        <f t="shared" si="0"/>
        <v>4.4756100000000092E-3</v>
      </c>
    </row>
    <row r="18" spans="1:8" x14ac:dyDescent="0.25">
      <c r="A18" t="s">
        <v>35</v>
      </c>
      <c r="B18">
        <f>SUMPRODUCT(B14:H14,B15:H15)/I15</f>
        <v>0.98309999999999997</v>
      </c>
    </row>
    <row r="19" spans="1:8" x14ac:dyDescent="0.25">
      <c r="A19" t="s">
        <v>37</v>
      </c>
      <c r="B19">
        <f>SUMPRODUCT(B16:H16,B15:H15)/99</f>
        <v>1.4079797979798004E-4</v>
      </c>
    </row>
    <row r="20" spans="1:8" x14ac:dyDescent="0.25">
      <c r="A20" s="4" t="s">
        <v>21</v>
      </c>
      <c r="B20">
        <f>(B18-1)/(SQRT(B19)/SQRT(100))</f>
        <v>-14.242574271313432</v>
      </c>
      <c r="G20" t="s">
        <v>44</v>
      </c>
      <c r="H20">
        <f>99*B19/0.01^2</f>
        <v>139.39000000000024</v>
      </c>
    </row>
    <row r="21" spans="1:8" x14ac:dyDescent="0.25">
      <c r="A21" s="4" t="s">
        <v>39</v>
      </c>
      <c r="B21">
        <f>_xlfn.T.INV(0.025,99)</f>
        <v>-1.9842169515864165</v>
      </c>
      <c r="D21" s="4" t="s">
        <v>41</v>
      </c>
      <c r="E21">
        <f>_xlfn.T.INV(0.05,99)</f>
        <v>-1.6603911560169928</v>
      </c>
      <c r="G21" s="4" t="s">
        <v>45</v>
      </c>
      <c r="H21">
        <f>_xlfn.CHISQ.INV(0.95,99)</f>
        <v>123.2252214533618</v>
      </c>
    </row>
    <row r="22" spans="1:8" x14ac:dyDescent="0.25">
      <c r="A22" s="4" t="s">
        <v>40</v>
      </c>
      <c r="B22">
        <f>_xlfn.T.INV(0.975,99)</f>
        <v>1.9842169515864165</v>
      </c>
    </row>
    <row r="23" spans="1:8" x14ac:dyDescent="0.25">
      <c r="A23" s="4" t="s">
        <v>16</v>
      </c>
      <c r="B23">
        <f>_xlfn.CONFIDENCE.T(0.05,SQRT(B19),100)</f>
        <v>2.3544385897534869E-3</v>
      </c>
    </row>
    <row r="24" spans="1:8" x14ac:dyDescent="0.25">
      <c r="A24" s="4" t="s">
        <v>24</v>
      </c>
      <c r="B24">
        <f>_xlfn.T.DIST(B20,99,1)</f>
        <v>5.2534216095705765E-26</v>
      </c>
      <c r="D24" s="4" t="s">
        <v>43</v>
      </c>
      <c r="E24">
        <f>_xlfn.T.DIST(B20,99,1)</f>
        <v>5.2534216095705765E-26</v>
      </c>
      <c r="G24" s="4" t="s">
        <v>46</v>
      </c>
      <c r="H24">
        <f>1-_xlfn.CHISQ.DIST(H20,99,1)</f>
        <v>4.6785703834675285E-3</v>
      </c>
    </row>
    <row r="25" spans="1:8" x14ac:dyDescent="0.25">
      <c r="A25" s="4" t="s">
        <v>20</v>
      </c>
      <c r="B25">
        <f>1-B24</f>
        <v>1</v>
      </c>
    </row>
    <row r="26" spans="1:8" x14ac:dyDescent="0.25">
      <c r="A26" s="4" t="s">
        <v>25</v>
      </c>
      <c r="B26">
        <f>2*MIN(B24:B25)</f>
        <v>1.0506843219141153E-25</v>
      </c>
    </row>
    <row r="28" spans="1:8" x14ac:dyDescent="0.25">
      <c r="A28" s="4" t="s">
        <v>34</v>
      </c>
      <c r="D28" s="4" t="s">
        <v>34</v>
      </c>
      <c r="H28" s="4" t="s">
        <v>28</v>
      </c>
    </row>
    <row r="29" spans="1:8" x14ac:dyDescent="0.25">
      <c r="A29" s="5">
        <f>B18-B23</f>
        <v>0.98074556141024649</v>
      </c>
      <c r="B29" s="6">
        <f>B18+B23</f>
        <v>0.98545443858975346</v>
      </c>
      <c r="D29" s="5" t="s">
        <v>42</v>
      </c>
      <c r="E29" s="6">
        <f>B18+SQRT(B19)*_xlfn.T.INV(0.95,99)/SQRT(100)</f>
        <v>0.98507019232634119</v>
      </c>
      <c r="G29" s="5">
        <f>99*B19/H21</f>
        <v>1.1311807628015218E-4</v>
      </c>
      <c r="H29" s="6" t="s">
        <v>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Hárok1</vt:lpstr>
      <vt:lpstr>valceky</vt:lpstr>
      <vt:lpstr>ziarovky</vt:lpstr>
      <vt:lpstr>plniaca linka_mineralka</vt:lpstr>
      <vt:lpstr>pneumatiky</vt:lpstr>
      <vt:lpstr>plniaca linka_motorovy olej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Janette Kotianová</dc:creator>
  <cp:lastModifiedBy>Janette Kotianová</cp:lastModifiedBy>
  <dcterms:created xsi:type="dcterms:W3CDTF">2021-11-08T11:28:26Z</dcterms:created>
  <dcterms:modified xsi:type="dcterms:W3CDTF">2025-10-28T09:43:12Z</dcterms:modified>
</cp:coreProperties>
</file>