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MMPVE 2024\prednášky\"/>
    </mc:Choice>
  </mc:AlternateContent>
  <bookViews>
    <workbookView xWindow="0" yWindow="60" windowWidth="15360" windowHeight="8985"/>
  </bookViews>
  <sheets>
    <sheet name="zadanie" sheetId="5" r:id="rId1"/>
    <sheet name="MNŠ" sheetId="1" r:id="rId2"/>
    <sheet name="indiv.t-test+celkovy F-test+R^2" sheetId="2" r:id="rId3"/>
    <sheet name="LOF+test krivosti" sheetId="3" r:id="rId4"/>
    <sheet name="predikcia" sheetId="4" r:id="rId5"/>
    <sheet name="efekty" sheetId="7" r:id="rId6"/>
    <sheet name="Hárok5" sheetId="6" r:id="rId7"/>
    <sheet name="optimalizacia" sheetId="8" r:id="rId8"/>
  </sheets>
  <definedNames>
    <definedName name="solver_adj" localSheetId="7" hidden="1">optimalizacia!$K$66</definedName>
    <definedName name="solver_adj" localSheetId="4" hidden="1">predikcia!$L$34:$L$35</definedName>
    <definedName name="solver_cvg" localSheetId="7" hidden="1">0.0001</definedName>
    <definedName name="solver_cvg" localSheetId="4" hidden="1">0.0001</definedName>
    <definedName name="solver_drv" localSheetId="7" hidden="1">2</definedName>
    <definedName name="solver_drv" localSheetId="4" hidden="1">1</definedName>
    <definedName name="solver_eng" localSheetId="7" hidden="1">3</definedName>
    <definedName name="solver_eng" localSheetId="4" hidden="1">1</definedName>
    <definedName name="solver_est" localSheetId="7" hidden="1">1</definedName>
    <definedName name="solver_est" localSheetId="4" hidden="1">1</definedName>
    <definedName name="solver_itr" localSheetId="7" hidden="1">2147483647</definedName>
    <definedName name="solver_itr" localSheetId="4" hidden="1">2147483647</definedName>
    <definedName name="solver_lhs1" localSheetId="7" hidden="1">optimalizacia!$H$44</definedName>
    <definedName name="solver_lhs1" localSheetId="4" hidden="1">predikcia!$L$34</definedName>
    <definedName name="solver_lhs2" localSheetId="7" hidden="1">optimalizacia!$H$44</definedName>
    <definedName name="solver_lhs2" localSheetId="4" hidden="1">predikcia!$L$34</definedName>
    <definedName name="solver_lhs3" localSheetId="7" hidden="1">optimalizacia!$H$44</definedName>
    <definedName name="solver_lhs3" localSheetId="4" hidden="1">predikcia!$L$35</definedName>
    <definedName name="solver_lhs4" localSheetId="7" hidden="1">optimalizacia!$H$44</definedName>
    <definedName name="solver_lhs4" localSheetId="4" hidden="1">predikcia!$L$35</definedName>
    <definedName name="solver_mip" localSheetId="7" hidden="1">2147483647</definedName>
    <definedName name="solver_mip" localSheetId="4" hidden="1">2147483647</definedName>
    <definedName name="solver_mni" localSheetId="7" hidden="1">30</definedName>
    <definedName name="solver_mni" localSheetId="4" hidden="1">30</definedName>
    <definedName name="solver_mrt" localSheetId="7" hidden="1">0.075</definedName>
    <definedName name="solver_mrt" localSheetId="4" hidden="1">0.075</definedName>
    <definedName name="solver_msl" localSheetId="7" hidden="1">2</definedName>
    <definedName name="solver_msl" localSheetId="4" hidden="1">2</definedName>
    <definedName name="solver_neg" localSheetId="7" hidden="1">2</definedName>
    <definedName name="solver_neg" localSheetId="4" hidden="1">1</definedName>
    <definedName name="solver_nod" localSheetId="7" hidden="1">2147483647</definedName>
    <definedName name="solver_nod" localSheetId="4" hidden="1">2147483647</definedName>
    <definedName name="solver_num" localSheetId="7" hidden="1">0</definedName>
    <definedName name="solver_num" localSheetId="4" hidden="1">4</definedName>
    <definedName name="solver_nwt" localSheetId="7" hidden="1">1</definedName>
    <definedName name="solver_nwt" localSheetId="4" hidden="1">1</definedName>
    <definedName name="solver_opt" localSheetId="7" hidden="1">optimalizacia!$J$75</definedName>
    <definedName name="solver_opt" localSheetId="4" hidden="1">predikcia!$L$37</definedName>
    <definedName name="solver_pre" localSheetId="7" hidden="1">0.000001</definedName>
    <definedName name="solver_pre" localSheetId="4" hidden="1">0.000001</definedName>
    <definedName name="solver_rbv" localSheetId="7" hidden="1">2</definedName>
    <definedName name="solver_rbv" localSheetId="4" hidden="1">1</definedName>
    <definedName name="solver_rel1" localSheetId="7" hidden="1">3</definedName>
    <definedName name="solver_rel1" localSheetId="4" hidden="1">1</definedName>
    <definedName name="solver_rel2" localSheetId="7" hidden="1">3</definedName>
    <definedName name="solver_rel2" localSheetId="4" hidden="1">3</definedName>
    <definedName name="solver_rel3" localSheetId="7" hidden="1">3</definedName>
    <definedName name="solver_rel3" localSheetId="4" hidden="1">1</definedName>
    <definedName name="solver_rel4" localSheetId="7" hidden="1">3</definedName>
    <definedName name="solver_rel4" localSheetId="4" hidden="1">3</definedName>
    <definedName name="solver_rhs1" localSheetId="7" hidden="1">-1</definedName>
    <definedName name="solver_rhs1" localSheetId="4" hidden="1">1</definedName>
    <definedName name="solver_rhs2" localSheetId="7" hidden="1">-1</definedName>
    <definedName name="solver_rhs2" localSheetId="4" hidden="1">-1</definedName>
    <definedName name="solver_rhs3" localSheetId="7" hidden="1">-1</definedName>
    <definedName name="solver_rhs3" localSheetId="4" hidden="1">1</definedName>
    <definedName name="solver_rhs4" localSheetId="7" hidden="1">-1</definedName>
    <definedName name="solver_rhs4" localSheetId="4" hidden="1">-1</definedName>
    <definedName name="solver_rlx" localSheetId="7" hidden="1">2</definedName>
    <definedName name="solver_rlx" localSheetId="4" hidden="1">2</definedName>
    <definedName name="solver_rsd" localSheetId="7" hidden="1">0</definedName>
    <definedName name="solver_rsd" localSheetId="4" hidden="1">0</definedName>
    <definedName name="solver_scl" localSheetId="7" hidden="1">2</definedName>
    <definedName name="solver_scl" localSheetId="4" hidden="1">1</definedName>
    <definedName name="solver_sho" localSheetId="7" hidden="1">2</definedName>
    <definedName name="solver_sho" localSheetId="4" hidden="1">2</definedName>
    <definedName name="solver_ssz" localSheetId="7" hidden="1">100</definedName>
    <definedName name="solver_ssz" localSheetId="4" hidden="1">100</definedName>
    <definedName name="solver_tim" localSheetId="7" hidden="1">2147483647</definedName>
    <definedName name="solver_tim" localSheetId="4" hidden="1">2147483647</definedName>
    <definedName name="solver_tol" localSheetId="7" hidden="1">0.01</definedName>
    <definedName name="solver_tol" localSheetId="4" hidden="1">0.01</definedName>
    <definedName name="solver_typ" localSheetId="7" hidden="1">3</definedName>
    <definedName name="solver_typ" localSheetId="4" hidden="1">1</definedName>
    <definedName name="solver_val" localSheetId="7" hidden="1">0</definedName>
    <definedName name="solver_val" localSheetId="4" hidden="1">0</definedName>
    <definedName name="solver_ver" localSheetId="7" hidden="1">3</definedName>
    <definedName name="solver_ver" localSheetId="4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3" i="8" l="1"/>
  <c r="E61" i="3"/>
  <c r="E60" i="3"/>
  <c r="C56" i="3"/>
  <c r="C55" i="3"/>
  <c r="C57" i="3" s="1"/>
  <c r="L36" i="4"/>
  <c r="L37" i="4" s="1"/>
  <c r="I23" i="4"/>
  <c r="I18" i="4"/>
  <c r="I17" i="4"/>
  <c r="I35" i="2" l="1"/>
  <c r="H35" i="2"/>
  <c r="H34" i="2"/>
  <c r="E36" i="2"/>
  <c r="D36" i="2"/>
  <c r="D35" i="2"/>
  <c r="D33" i="2"/>
  <c r="D34" i="2"/>
  <c r="D53" i="1"/>
  <c r="B53" i="1"/>
  <c r="H25" i="1" l="1"/>
  <c r="G2" i="1"/>
  <c r="F2" i="1"/>
  <c r="B15" i="1"/>
  <c r="B14" i="1"/>
  <c r="E4" i="1"/>
  <c r="E3" i="1"/>
  <c r="E5" i="1"/>
  <c r="E6" i="1"/>
  <c r="E7" i="1"/>
  <c r="E8" i="1"/>
  <c r="E9" i="1"/>
  <c r="E2" i="1"/>
  <c r="B12" i="1"/>
  <c r="B11" i="1"/>
  <c r="F10" i="3" l="1"/>
  <c r="F2" i="3"/>
  <c r="B43" i="2"/>
  <c r="B42" i="2"/>
  <c r="B41" i="2"/>
  <c r="I22" i="2" l="1"/>
  <c r="B75" i="2"/>
  <c r="B51" i="2"/>
  <c r="B49" i="2"/>
  <c r="G70" i="8"/>
  <c r="G69" i="8"/>
  <c r="G66" i="8" a="1"/>
  <c r="G66" i="8" s="1"/>
  <c r="K63" i="8" a="1"/>
  <c r="L63" i="8" s="1"/>
  <c r="G64" i="8"/>
  <c r="H64" i="8"/>
  <c r="G63" i="8"/>
  <c r="G61" i="8"/>
  <c r="G60" i="8"/>
  <c r="H47" i="8"/>
  <c r="H46" i="8"/>
  <c r="H45" i="8"/>
  <c r="G43" i="8"/>
  <c r="G44" i="8"/>
  <c r="G45" i="8"/>
  <c r="G46" i="8"/>
  <c r="G47" i="8"/>
  <c r="G42" i="8"/>
  <c r="Q38" i="8"/>
  <c r="O38" i="8"/>
  <c r="M38" i="8"/>
  <c r="K38" i="8"/>
  <c r="I38" i="8"/>
  <c r="G38" i="8"/>
  <c r="K3" i="8"/>
  <c r="K4" i="8"/>
  <c r="K5" i="8"/>
  <c r="K6" i="8"/>
  <c r="K7" i="8"/>
  <c r="K8" i="8"/>
  <c r="K9" i="8"/>
  <c r="K10" i="8"/>
  <c r="K11" i="8"/>
  <c r="K12" i="8"/>
  <c r="K13" i="8"/>
  <c r="K2" i="8"/>
  <c r="H3" i="8"/>
  <c r="I3" i="8"/>
  <c r="J3" i="8"/>
  <c r="H4" i="8"/>
  <c r="I4" i="8"/>
  <c r="J4" i="8"/>
  <c r="H5" i="8"/>
  <c r="I5" i="8"/>
  <c r="J5" i="8"/>
  <c r="H6" i="8"/>
  <c r="I6" i="8"/>
  <c r="J6" i="8"/>
  <c r="H7" i="8"/>
  <c r="I7" i="8"/>
  <c r="J7" i="8"/>
  <c r="H8" i="8"/>
  <c r="I8" i="8"/>
  <c r="J8" i="8"/>
  <c r="H9" i="8"/>
  <c r="I9" i="8"/>
  <c r="J9" i="8"/>
  <c r="H10" i="8"/>
  <c r="I10" i="8"/>
  <c r="J10" i="8"/>
  <c r="H11" i="8"/>
  <c r="I11" i="8"/>
  <c r="J11" i="8"/>
  <c r="H12" i="8"/>
  <c r="I12" i="8"/>
  <c r="J12" i="8"/>
  <c r="H13" i="8"/>
  <c r="I13" i="8"/>
  <c r="J13" i="8"/>
  <c r="J2" i="8"/>
  <c r="I2" i="8"/>
  <c r="H2" i="8"/>
  <c r="F3" i="8"/>
  <c r="G3" i="8"/>
  <c r="F4" i="8"/>
  <c r="G4" i="8"/>
  <c r="F5" i="8"/>
  <c r="G5" i="8"/>
  <c r="F6" i="8"/>
  <c r="G6" i="8"/>
  <c r="F7" i="8"/>
  <c r="G7" i="8"/>
  <c r="F8" i="8"/>
  <c r="G8" i="8"/>
  <c r="F9" i="8"/>
  <c r="G9" i="8"/>
  <c r="F10" i="8"/>
  <c r="G10" i="8"/>
  <c r="F11" i="8"/>
  <c r="G11" i="8"/>
  <c r="F12" i="8"/>
  <c r="G12" i="8"/>
  <c r="F13" i="8"/>
  <c r="G13" i="8"/>
  <c r="G2" i="8"/>
  <c r="F2" i="8"/>
  <c r="G67" i="8" l="1"/>
  <c r="K63" i="8"/>
  <c r="L64" i="8"/>
  <c r="K64" i="8"/>
  <c r="H48" i="8"/>
  <c r="C9" i="8" l="1"/>
  <c r="C8" i="8"/>
  <c r="B7" i="8" l="1"/>
  <c r="B6" i="8"/>
  <c r="H21" i="4" l="1"/>
  <c r="F21" i="4"/>
  <c r="D21" i="4"/>
  <c r="B21" i="4"/>
  <c r="O14" i="7" l="1"/>
  <c r="E32" i="7" l="1"/>
  <c r="D32" i="7"/>
  <c r="E31" i="7"/>
  <c r="D31" i="7"/>
  <c r="N15" i="7"/>
  <c r="N14" i="7"/>
  <c r="J14" i="7"/>
  <c r="I15" i="7" s="1"/>
  <c r="I14" i="7"/>
  <c r="D14" i="7"/>
  <c r="C15" i="7" s="1"/>
  <c r="C14" i="7"/>
  <c r="D9" i="7"/>
  <c r="D8" i="7"/>
  <c r="D7" i="7"/>
  <c r="D6" i="7"/>
  <c r="D5" i="7"/>
  <c r="D4" i="7"/>
  <c r="D3" i="7"/>
  <c r="D2" i="7"/>
  <c r="B79" i="2" l="1"/>
  <c r="B76" i="2"/>
  <c r="I21" i="2"/>
  <c r="E22" i="2"/>
  <c r="B74" i="2"/>
  <c r="C68" i="2"/>
  <c r="B68" i="2"/>
  <c r="B67" i="2"/>
  <c r="B66" i="2"/>
  <c r="B65" i="2"/>
  <c r="C60" i="2"/>
  <c r="B60" i="2"/>
  <c r="B59" i="2"/>
  <c r="B58" i="2"/>
  <c r="B57" i="2"/>
  <c r="B52" i="2"/>
  <c r="B50" i="2"/>
  <c r="C52" i="2"/>
  <c r="C44" i="2"/>
  <c r="B44" i="2"/>
  <c r="H31" i="2"/>
  <c r="F31" i="2"/>
  <c r="D31" i="2"/>
  <c r="B31" i="2"/>
  <c r="H53" i="1" l="1"/>
  <c r="F53" i="1"/>
  <c r="H50" i="1"/>
  <c r="F50" i="1"/>
  <c r="D50" i="1"/>
  <c r="B50" i="1"/>
  <c r="E20" i="1" l="1" a="1"/>
  <c r="E20" i="1" s="1"/>
  <c r="G20" i="1" l="1"/>
  <c r="L23" i="1"/>
  <c r="L22" i="1"/>
  <c r="L21" i="1"/>
  <c r="L20" i="1"/>
  <c r="G23" i="1"/>
  <c r="K21" i="1"/>
  <c r="F23" i="1"/>
  <c r="J22" i="1"/>
  <c r="F22" i="1"/>
  <c r="J21" i="1"/>
  <c r="F21" i="1"/>
  <c r="J20" i="1"/>
  <c r="F20" i="1"/>
  <c r="E25" i="1" s="1" a="1"/>
  <c r="H23" i="1"/>
  <c r="H22" i="1"/>
  <c r="H21" i="1"/>
  <c r="H20" i="1"/>
  <c r="K23" i="1"/>
  <c r="K22" i="1"/>
  <c r="G22" i="1"/>
  <c r="G21" i="1"/>
  <c r="K20" i="1"/>
  <c r="J23" i="1"/>
  <c r="I23" i="1"/>
  <c r="E23" i="1"/>
  <c r="I22" i="1"/>
  <c r="E22" i="1"/>
  <c r="I21" i="1"/>
  <c r="E21" i="1"/>
  <c r="I20" i="1"/>
  <c r="F8" i="3"/>
  <c r="E26" i="1" l="1"/>
  <c r="E25" i="1"/>
  <c r="E28" i="1"/>
  <c r="E27" i="1"/>
  <c r="H2" i="6" l="1" a="1"/>
  <c r="I3" i="6" s="1"/>
  <c r="K5" i="6" l="1"/>
  <c r="H5" i="6"/>
  <c r="K4" i="6"/>
  <c r="H3" i="6"/>
  <c r="K2" i="6"/>
  <c r="J5" i="6"/>
  <c r="I2" i="6"/>
  <c r="H2" i="6"/>
  <c r="B8" i="6" s="1" a="1"/>
  <c r="J2" i="6"/>
  <c r="I5" i="6"/>
  <c r="J4" i="6"/>
  <c r="I4" i="6"/>
  <c r="H4" i="6"/>
  <c r="K3" i="6"/>
  <c r="J3" i="6"/>
  <c r="B8" i="6" l="1"/>
  <c r="C10" i="6"/>
  <c r="C9" i="6"/>
  <c r="C8" i="6"/>
  <c r="E11" i="6"/>
  <c r="B11" i="6"/>
  <c r="E10" i="6"/>
  <c r="B10" i="6"/>
  <c r="E9" i="6"/>
  <c r="B9" i="6"/>
  <c r="D8" i="6"/>
  <c r="E8" i="6"/>
  <c r="D11" i="6"/>
  <c r="D9" i="6"/>
  <c r="D10" i="6"/>
  <c r="C11" i="6"/>
  <c r="F5" i="1"/>
  <c r="F3" i="1"/>
  <c r="F6" i="1"/>
  <c r="F9" i="1"/>
  <c r="F4" i="1"/>
  <c r="F7" i="1"/>
  <c r="F8" i="1"/>
  <c r="G5" i="1"/>
  <c r="F4" i="3"/>
  <c r="G13" i="3"/>
  <c r="B30" i="3" s="1"/>
  <c r="B29" i="3" s="1"/>
  <c r="J28" i="3" l="1"/>
  <c r="G29" i="3"/>
  <c r="G8" i="1"/>
  <c r="G4" i="1"/>
  <c r="G3" i="1"/>
  <c r="G9" i="1"/>
  <c r="G7" i="1"/>
  <c r="G6" i="1"/>
  <c r="H8" i="6" a="1"/>
  <c r="H13" i="4"/>
  <c r="F13" i="4"/>
  <c r="D13" i="4"/>
  <c r="B13" i="4"/>
  <c r="B6" i="4"/>
  <c r="B5" i="4"/>
  <c r="B3" i="4"/>
  <c r="B2" i="4"/>
  <c r="D16" i="4" s="1"/>
  <c r="F6" i="3"/>
  <c r="H27" i="1"/>
  <c r="F13" i="3" l="1"/>
  <c r="C30" i="3" s="1"/>
  <c r="H8" i="6"/>
  <c r="K11" i="6"/>
  <c r="H11" i="6"/>
  <c r="K10" i="6"/>
  <c r="K9" i="6"/>
  <c r="H9" i="6"/>
  <c r="H10" i="6"/>
  <c r="K8" i="6"/>
  <c r="J11" i="6"/>
  <c r="J10" i="6"/>
  <c r="J9" i="6"/>
  <c r="I11" i="6"/>
  <c r="I8" i="6"/>
  <c r="J8" i="6"/>
  <c r="I10" i="6"/>
  <c r="I9" i="6"/>
  <c r="D17" i="4"/>
  <c r="H28" i="1"/>
  <c r="H26" i="1"/>
  <c r="C29" i="3" l="1"/>
  <c r="D29" i="3" s="1"/>
  <c r="D30" i="3"/>
  <c r="E59" i="3" s="1"/>
  <c r="E29" i="3"/>
  <c r="F29" i="3" s="1"/>
  <c r="J29" i="3" s="1"/>
  <c r="D12" i="3"/>
  <c r="D11" i="3"/>
  <c r="D10" i="3"/>
  <c r="D9" i="3"/>
  <c r="D8" i="3"/>
  <c r="D7" i="3"/>
  <c r="D6" i="3"/>
  <c r="D5" i="3"/>
  <c r="D4" i="3"/>
  <c r="D3" i="3"/>
  <c r="D2" i="3"/>
  <c r="J27" i="3" l="1"/>
  <c r="D3" i="2"/>
  <c r="D4" i="2"/>
  <c r="D5" i="2"/>
  <c r="D6" i="2"/>
  <c r="D7" i="2"/>
  <c r="D8" i="2"/>
  <c r="D9" i="2"/>
  <c r="D2" i="2"/>
</calcChain>
</file>

<file path=xl/comments1.xml><?xml version="1.0" encoding="utf-8"?>
<comments xmlns="http://schemas.openxmlformats.org/spreadsheetml/2006/main">
  <authors>
    <author>Janette Kotianova</author>
  </authors>
  <commentList>
    <comment ref="D11" authorId="0" shapeId="0">
      <text>
        <r>
          <rPr>
            <b/>
            <sz val="9"/>
            <color indexed="81"/>
            <rFont val="Tahoma"/>
            <family val="2"/>
            <charset val="238"/>
          </rPr>
          <t>transformovana matica planu experimentu</t>
        </r>
      </text>
    </comment>
    <comment ref="D20" authorId="0" shapeId="0">
      <text>
        <r>
          <rPr>
            <b/>
            <sz val="9"/>
            <color indexed="81"/>
            <rFont val="Tahoma"/>
            <family val="2"/>
            <charset val="238"/>
          </rPr>
          <t>transponovana matica k transformovanej matici planu experimentu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  <charset val="238"/>
          </rPr>
          <t>bodovy odhad transformovanej regresnej funkcie linearneho typu</t>
        </r>
      </text>
    </comment>
    <comment ref="A51" authorId="0" shapeId="0">
      <text>
        <r>
          <rPr>
            <b/>
            <sz val="9"/>
            <color indexed="81"/>
            <rFont val="Tahoma"/>
            <family val="2"/>
            <charset val="238"/>
          </rPr>
          <t>bodovy odhad povodenej regresnej funkcie linearneho typu (bez upravy)</t>
        </r>
      </text>
    </comment>
    <comment ref="A53" authorId="0" shapeId="0">
      <text>
        <r>
          <rPr>
            <b/>
            <sz val="9"/>
            <color indexed="81"/>
            <rFont val="Tahoma"/>
            <family val="2"/>
            <charset val="238"/>
          </rPr>
          <t>bodovy odhad povodenej regresnej funkcie linearneho typu (upraveny)</t>
        </r>
      </text>
    </comment>
  </commentList>
</comments>
</file>

<file path=xl/comments2.xml><?xml version="1.0" encoding="utf-8"?>
<comments xmlns="http://schemas.openxmlformats.org/spreadsheetml/2006/main">
  <authors>
    <author>Janette Kotianova</author>
  </authors>
  <commentList>
    <comment ref="A31" authorId="0" shapeId="0">
      <text>
        <r>
          <rPr>
            <b/>
            <sz val="9"/>
            <color indexed="81"/>
            <rFont val="Tahoma"/>
            <family val="2"/>
            <charset val="238"/>
          </rPr>
          <t>bodovy odhad transformovanej regresnej funkcie linearneho typu</t>
        </r>
      </text>
    </comment>
    <comment ref="E39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28</t>
        </r>
      </text>
    </comment>
    <comment ref="E47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29</t>
        </r>
      </text>
    </comment>
    <comment ref="E55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30</t>
        </r>
      </text>
    </comment>
    <comment ref="E63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30</t>
        </r>
      </text>
    </comment>
  </commentList>
</comments>
</file>

<file path=xl/comments3.xml><?xml version="1.0" encoding="utf-8"?>
<comments xmlns="http://schemas.openxmlformats.org/spreadsheetml/2006/main">
  <authors>
    <author>Janette Kotianova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38"/>
          </rPr>
          <t>museli byt pridane merania v centralnom bode</t>
        </r>
      </text>
    </comment>
  </commentList>
</comments>
</file>

<file path=xl/comments4.xml><?xml version="1.0" encoding="utf-8"?>
<comments xmlns="http://schemas.openxmlformats.org/spreadsheetml/2006/main">
  <authors>
    <author>Janette Kotianova</author>
  </authors>
  <commentList>
    <comment ref="C15" authorId="0" shapeId="0">
      <text>
        <r>
          <rPr>
            <b/>
            <sz val="9"/>
            <color indexed="81"/>
            <rFont val="Tahoma"/>
            <family val="2"/>
            <charset val="238"/>
          </rPr>
          <t>je vyhodne pouzit kodovane hodnoty v pripade, ze nemame model v povodnych hodnotach, iba v transformovanych t1 a t2</t>
        </r>
      </text>
    </comment>
    <comment ref="I17" authorId="0" shapeId="0">
      <text>
        <r>
          <rPr>
            <b/>
            <sz val="9"/>
            <color indexed="81"/>
            <rFont val="Tahoma"/>
            <family val="2"/>
            <charset val="238"/>
          </rPr>
          <t>Ak sa bude student ucit 15 hodin a spat 6 hodin pred skuskou podla nasho modelu mozeme odhadnut, ze jeho bodove hodnotenie bude 38,84.</t>
        </r>
      </text>
    </comment>
  </commentList>
</comments>
</file>

<file path=xl/comments5.xml><?xml version="1.0" encoding="utf-8"?>
<comments xmlns="http://schemas.openxmlformats.org/spreadsheetml/2006/main">
  <authors>
    <author>Janette Kotianova</author>
  </authors>
  <commentList>
    <comment ref="F38" authorId="0" shapeId="0">
      <text>
        <r>
          <rPr>
            <b/>
            <sz val="9"/>
            <color indexed="81"/>
            <rFont val="Tahoma"/>
            <family val="2"/>
            <charset val="238"/>
          </rPr>
          <t>bodovy odhad transformovanej regresnej funkcie linearneho typu</t>
        </r>
      </text>
    </comment>
  </commentList>
</comments>
</file>

<file path=xl/sharedStrings.xml><?xml version="1.0" encoding="utf-8"?>
<sst xmlns="http://schemas.openxmlformats.org/spreadsheetml/2006/main" count="437" uniqueCount="214">
  <si>
    <t>x1</t>
  </si>
  <si>
    <t>x2</t>
  </si>
  <si>
    <t>Y</t>
  </si>
  <si>
    <t>t1</t>
  </si>
  <si>
    <t>t2</t>
  </si>
  <si>
    <t>s1=</t>
  </si>
  <si>
    <t>lambda1=</t>
  </si>
  <si>
    <t>s2=</t>
  </si>
  <si>
    <t>lambda2=</t>
  </si>
  <si>
    <t>I</t>
  </si>
  <si>
    <t>II</t>
  </si>
  <si>
    <t>III</t>
  </si>
  <si>
    <t>IV</t>
  </si>
  <si>
    <t>t1*t2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</si>
  <si>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</si>
  <si>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</si>
  <si>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</si>
  <si>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</si>
  <si>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</si>
  <si>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</si>
  <si>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</si>
  <si>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</si>
  <si>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</si>
  <si>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</si>
  <si>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</si>
  <si>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</si>
  <si>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</si>
  <si>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</si>
  <si>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</si>
  <si>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</si>
  <si>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</si>
  <si>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</si>
  <si>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</si>
  <si>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</si>
  <si>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</si>
  <si>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</si>
  <si>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99,0%</t>
  </si>
  <si>
    <t>Upper 99,0%</t>
  </si>
  <si>
    <t>Lower 98,0%</t>
  </si>
  <si>
    <t>Upper 98,0%</t>
  </si>
  <si>
    <t>CB</t>
  </si>
  <si>
    <t>Lower 95,0%</t>
  </si>
  <si>
    <t>Upper 95,0%</t>
  </si>
  <si>
    <t>LF</t>
  </si>
  <si>
    <t>PE</t>
  </si>
  <si>
    <t>dfPE</t>
  </si>
  <si>
    <t>x1 ∈ &lt;1;51&gt;</t>
  </si>
  <si>
    <t>x2∈ &lt;0;12&gt;</t>
  </si>
  <si>
    <t>X=</t>
  </si>
  <si>
    <t>XT=</t>
  </si>
  <si>
    <t>B=</t>
  </si>
  <si>
    <t>Xt*Y=</t>
  </si>
  <si>
    <t>kvantily:</t>
  </si>
  <si>
    <t>p-value:</t>
  </si>
  <si>
    <t>delta:</t>
  </si>
  <si>
    <t>95% IS pre b1:</t>
  </si>
  <si>
    <t>fLt(t1,t2)=</t>
  </si>
  <si>
    <t>+</t>
  </si>
  <si>
    <t>*t1+</t>
  </si>
  <si>
    <t>*t2+</t>
  </si>
  <si>
    <t>*t1*t2</t>
  </si>
  <si>
    <t>x1=15</t>
  </si>
  <si>
    <t>x2=6</t>
  </si>
  <si>
    <t>t1=</t>
  </si>
  <si>
    <t>t2=</t>
  </si>
  <si>
    <t xml:space="preserve">  =0,25*E</t>
  </si>
  <si>
    <t>XT*X=</t>
  </si>
  <si>
    <t>(XT*X)^(-1)=</t>
  </si>
  <si>
    <t>yL(t1,t2)=</t>
  </si>
  <si>
    <t>100=b0+b1*1+b2*1+b12*1</t>
  </si>
  <si>
    <t>Y=</t>
  </si>
  <si>
    <t>*(x1-26)/25+</t>
  </si>
  <si>
    <t>*(x2-6)/6+</t>
  </si>
  <si>
    <t>*(x1-26)/25*(x2-6)/6</t>
  </si>
  <si>
    <t xml:space="preserve"> +</t>
  </si>
  <si>
    <t>*x1+</t>
  </si>
  <si>
    <t>*x2+</t>
  </si>
  <si>
    <t>*x1*x2</t>
  </si>
  <si>
    <t>fL(x1,x2)=</t>
  </si>
  <si>
    <t>pocet bodov na skuske.</t>
  </si>
  <si>
    <t>Na hladine vyznamnosti 0,01 mozno konstatovat, ze regr. koef. b2 je stat. vyznamny, t.j samostatne</t>
  </si>
  <si>
    <t>posobenie faktora t2na hodnotu fLt(t1,t2) je statisticky vyznamne, t.j . cas spanku je dolezity pre ziskany</t>
  </si>
  <si>
    <t>Na hladine vyznamnosti 0,05 mozno konstatovat, ze regr. koef. b12 je stat. vyznamny, t.j spolocne</t>
  </si>
  <si>
    <t>posobenie faktora t1 na hodnotu fLt(t1,t2) je statisticky vyznamne, t.j . cas studia je dolezity pre ziskany</t>
  </si>
  <si>
    <t>α = 0,03</t>
  </si>
  <si>
    <t>samostatny vplyv faktora t1 na hodnotu regresnej funkcie fLT</t>
  </si>
  <si>
    <t>H0: b1=0 &gt;&lt; H1:b1=0</t>
  </si>
  <si>
    <t>t stat(b1)=</t>
  </si>
  <si>
    <t>patri do W</t>
  </si>
  <si>
    <t>H0:b1=0 zamietame</t>
  </si>
  <si>
    <t>H1:b1=0 prijimame</t>
  </si>
  <si>
    <t>p(b1)=</t>
  </si>
  <si>
    <t>&lt;0,03</t>
  </si>
  <si>
    <t xml:space="preserve">0 nepatri </t>
  </si>
  <si>
    <t>α = 0,02</t>
  </si>
  <si>
    <t>p(b2)=</t>
  </si>
  <si>
    <t>&lt;0,02</t>
  </si>
  <si>
    <t>α = 0,01</t>
  </si>
  <si>
    <t>t stat(b13)=</t>
  </si>
  <si>
    <t>p(b12)=</t>
  </si>
  <si>
    <t>&lt;0,01</t>
  </si>
  <si>
    <t>α = 0,05</t>
  </si>
  <si>
    <t>Kontrola vypoctu koeficientov cez regresnu analyzu:</t>
  </si>
  <si>
    <t>fLt(x1,x2)=</t>
  </si>
  <si>
    <t>t kv 4 (0,975)=</t>
  </si>
  <si>
    <t>&lt;0,05</t>
  </si>
  <si>
    <t>Na hladine vyznamnosti 0,05 mozno konstatovat, ze regr. koef. b1 je stat. vyznamny, t.j samostatne</t>
  </si>
  <si>
    <t>samostatny vplyv faktora t2 na hodnotu regresnej funkcie fLT</t>
  </si>
  <si>
    <t>H0: b2=0 &gt;&lt; H1:b2=0</t>
  </si>
  <si>
    <t>t stat(b2)=</t>
  </si>
  <si>
    <t>t kv 4(0,995)=</t>
  </si>
  <si>
    <t>H0:b2=0 zamietame</t>
  </si>
  <si>
    <t>H1:b2=0 prijimame</t>
  </si>
  <si>
    <t>spolocny vplyv faktorov t1 a t2 na hodnotu regresnej funkcie fLT</t>
  </si>
  <si>
    <t>18=b0+b1*(-1)+b2*(-1)+b12*1</t>
  </si>
  <si>
    <t>....</t>
  </si>
  <si>
    <t>zadane hodnoty</t>
  </si>
  <si>
    <t>kodovane hodnoty</t>
  </si>
  <si>
    <t>predikovana hodnota bodov na skuske:</t>
  </si>
  <si>
    <t>x1=</t>
  </si>
  <si>
    <t>x2=</t>
  </si>
  <si>
    <t>Tuto cast tabulky pouzivame na individualne t-testy o nulovosti regresnych koeficientov:</t>
  </si>
  <si>
    <t xml:space="preserve"> riadok 28 - t1:</t>
  </si>
  <si>
    <t>H0: b12=0 &gt;&lt; H1:b12=0</t>
  </si>
  <si>
    <t>H0:b12=0 zamietame</t>
  </si>
  <si>
    <t>H1:b12=0 prijimame</t>
  </si>
  <si>
    <t>posobenie faktorov t1 a t2na hodnotu fLt(t1,t2) je statisticky vyznamne, t.j . interakcia casu spanku a casu studia je dolezita pre ziskany</t>
  </si>
  <si>
    <t>t kv 4 (0,99)=</t>
  </si>
  <si>
    <t>v ostatnych riadkoch postupujeme pri vypoctoch rovnakych postupom</t>
  </si>
  <si>
    <t>Na hladine vyznamnosti 0,02 mozno konstatovat, ze regr. koef. b12 je stat. vyznamny, t.j spolocne</t>
  </si>
  <si>
    <t>F=</t>
  </si>
  <si>
    <t>H0: b1=b2=b13=0  zamietame</t>
  </si>
  <si>
    <t>H1: aspon jedno bi=0 prijimame</t>
  </si>
  <si>
    <t>p=</t>
  </si>
  <si>
    <t>Na hladine vyznamnosti 0,03 mozno konstatovat, ze regresny model je statisticky vyznamny.</t>
  </si>
  <si>
    <t>testovanie statistickej vyznamnosti regresneho modelu -pouzivame tabulku ANOVA</t>
  </si>
  <si>
    <t>ANOVA - testovanie statistickej vyznamnosti regresneho modelu</t>
  </si>
  <si>
    <t>H0: b1=b2=b12=0&gt;&lt;H1: aspon jeden z uvedenych koeficientov je nenulovy</t>
  </si>
  <si>
    <t>F kv3,4 (0,97)=</t>
  </si>
  <si>
    <t xml:space="preserve">p= </t>
  </si>
  <si>
    <t>F kv 3,4(0,97)=</t>
  </si>
  <si>
    <t>R^2=</t>
  </si>
  <si>
    <t>kvalita modelu vyjadrena pomocou indexu determinacie:</t>
  </si>
  <si>
    <t>, t.j. 99,8 % variability nameranych ziskanych bodov na skuske  vieme vysvetlit regresnym modelom (regresnou funkciou linearneho typu)</t>
  </si>
  <si>
    <t>iba 0,2 % variability nameranych bodov zostalo modelom nevysvetlenej</t>
  </si>
  <si>
    <t>Na hladine vyznamnosti 0,05 mozno konstatovat, ze linearny model nie je nedostatocny - je dostatocny.</t>
  </si>
  <si>
    <t>F kv 1,6(0,95)=</t>
  </si>
  <si>
    <t>H0:SSLF=SSPE &gt;&lt;H1:SSLF&gt;SSPE</t>
  </si>
  <si>
    <t>t.j. W=(5,99;nekonecno)</t>
  </si>
  <si>
    <t>nepatri do W, preto H0 nezamietame</t>
  </si>
  <si>
    <t>SSE=SSLF+SSPE - rozpisujeme riadok 28</t>
  </si>
  <si>
    <t>SUMMARY OUTPUT - regresna analyza musela byt spustena opätovne, pretoze musime zapocitat aj merania v CB</t>
  </si>
  <si>
    <t>&gt;0,05</t>
  </si>
  <si>
    <t>ef(x1)=</t>
  </si>
  <si>
    <t>x1 - čas štúdia</t>
  </si>
  <si>
    <t>x2 - čas spánku</t>
  </si>
  <si>
    <t>ef(x2)=</t>
  </si>
  <si>
    <t>ef(x1*x2)=</t>
  </si>
  <si>
    <t>Grafy hlavných efektov</t>
  </si>
  <si>
    <t>x1*x2 - interakcia času štúdia a času spánku</t>
  </si>
  <si>
    <t>Graf interakcie sledovaných faktorov</t>
  </si>
  <si>
    <t>interakcia medzi casom studia a casom spanku je pritomna - usecky nie su rovnobezne</t>
  </si>
  <si>
    <t>cervenou je zobrazeny efekt faktora x2 - casu spánku pri tom, ked cas studia bude na hornej urovni</t>
  </si>
  <si>
    <t>modrou je zobrazeny efekt faktora x2 - casu spánku pri tom, ked cas studia bude na dolnej urovni</t>
  </si>
  <si>
    <t>pri maximalizacii odozvy volime pri oboch urovniach casu studia cas spanku na hornej urovni</t>
  </si>
  <si>
    <t>cervenou je zobrazeny efekt faktora x1 - casu studia pri tom, ked cas spanku bude na hornej urovni</t>
  </si>
  <si>
    <t>modrou je zobrazeny efekt faktora x1 - casu studia pri tom, ked cas spanku bude na dolnej urovni</t>
  </si>
  <si>
    <t>pri maximalizacii odozvy volime pri oboch urovniach casu  spanku  cas studia na hornej urovni</t>
  </si>
  <si>
    <t>pri maximalizacii odozvy volime pri oboch urovniach casu  ucenia  cas studia na hornej urovni</t>
  </si>
  <si>
    <t>pri maximalizacii odozvy pri dolnej urovni casu  ucenia  nie je vplyv casu spanku na odozvu na tolko vyrazny ako pri zvolenom case studia na hornej urovni</t>
  </si>
  <si>
    <t>regresny model v povodnych nekodovanych premennych:</t>
  </si>
  <si>
    <t>t1^2</t>
  </si>
  <si>
    <t>t2^2</t>
  </si>
  <si>
    <t>*t2</t>
  </si>
  <si>
    <t>*t1^2</t>
  </si>
  <si>
    <t>*t2^2</t>
  </si>
  <si>
    <t>y modelovane=</t>
  </si>
  <si>
    <t>Optimalizacia - hladame maximalnu hodnotu odozvy - riesenie cez Solver</t>
  </si>
  <si>
    <t>1.</t>
  </si>
  <si>
    <t xml:space="preserve"> -  je optimalna hodnota odozvy (najväcsia mozna modelovana hodnoty y)</t>
  </si>
  <si>
    <t>2.</t>
  </si>
  <si>
    <t>Vypocet optimalnych hodnot cez kanonicku analyzu.</t>
  </si>
  <si>
    <t>Stacionárny bod:</t>
  </si>
  <si>
    <t>b=</t>
  </si>
  <si>
    <t>B^(-1)=</t>
  </si>
  <si>
    <t>B^(-1)*b=</t>
  </si>
  <si>
    <t xml:space="preserve">  xt= -0,5*B^(-1)*b=</t>
  </si>
  <si>
    <t>Typ extremu urcime podla korena charakteristickej rovnice matice B</t>
  </si>
  <si>
    <t xml:space="preserve"> -8,875-lambda</t>
  </si>
  <si>
    <t xml:space="preserve"> -5,125-lambda</t>
  </si>
  <si>
    <t>det</t>
  </si>
  <si>
    <t xml:space="preserve"> =0</t>
  </si>
  <si>
    <t>lambda=</t>
  </si>
  <si>
    <t>H0: No LOF  &gt;&lt;  H1:LOF</t>
  </si>
  <si>
    <t>alebo zapis v tvare</t>
  </si>
  <si>
    <t>F krit</t>
  </si>
  <si>
    <t>Riešenie v Minitabe:</t>
  </si>
  <si>
    <t>Kedy ziska student maximalny pocet bodov na skuske?</t>
  </si>
  <si>
    <t>Test krivosti</t>
  </si>
  <si>
    <t xml:space="preserve">Test Lack of fit </t>
  </si>
  <si>
    <t>testovacia statistika</t>
  </si>
  <si>
    <t>kde suma stvorcov odchylok cisteho zakrivenia SSCPQ je</t>
  </si>
  <si>
    <t>nF=</t>
  </si>
  <si>
    <t>nC=</t>
  </si>
  <si>
    <t>yF priem=</t>
  </si>
  <si>
    <t>yC priem=</t>
  </si>
  <si>
    <t>SSCPQ=</t>
  </si>
  <si>
    <t>realizacia testovacej statistiky F0=</t>
  </si>
  <si>
    <t>F0=</t>
  </si>
  <si>
    <t xml:space="preserve"> </t>
  </si>
  <si>
    <t>uplny kvadraticky model</t>
  </si>
  <si>
    <t xml:space="preserve"> . </t>
  </si>
  <si>
    <t>Na hladine vyznamnosti 0,05 nezamietame hypotezu, ze do regresneho modelu nie je potrebne zaradovat kvadraticke cleny</t>
  </si>
  <si>
    <t>Nie je potrebny uplny kvadraticky model - postacuje regresny model linearneho typu (neuplny kvadraticky model).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</si>
</sst>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FFC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7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Continuous"/>
    </xf>
    <xf numFmtId="0" fontId="1" fillId="0" borderId="0" xfId="0" applyFont="1" applyFill="1" applyBorder="1" applyAlignment="1"/>
    <xf numFmtId="0" fontId="1" fillId="0" borderId="1" xfId="0" applyFont="1" applyFill="1" applyBorder="1" applyAlignment="1"/>
    <xf numFmtId="0" fontId="3" fillId="0" borderId="0" xfId="0" applyFont="1" applyFill="1" applyBorder="1" applyAlignment="1"/>
    <xf numFmtId="0" fontId="0" fillId="0" borderId="3" xfId="0" applyFill="1" applyBorder="1" applyAlignment="1"/>
    <xf numFmtId="0" fontId="0" fillId="0" borderId="4" xfId="0" applyFill="1" applyBorder="1" applyAlignment="1"/>
    <xf numFmtId="0" fontId="0" fillId="0" borderId="0" xfId="0" applyBorder="1"/>
    <xf numFmtId="0" fontId="2" fillId="0" borderId="0" xfId="0" applyFont="1" applyFill="1" applyBorder="1" applyAlignment="1">
      <alignment horizontal="centerContinuous"/>
    </xf>
    <xf numFmtId="0" fontId="2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0" applyFont="1"/>
    <xf numFmtId="0" fontId="1" fillId="0" borderId="0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0" xfId="0" applyFont="1" applyFill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0" fontId="7" fillId="0" borderId="0" xfId="0" applyFont="1" applyFill="1" applyBorder="1" applyAlignment="1"/>
    <xf numFmtId="0" fontId="7" fillId="0" borderId="0" xfId="0" applyFont="1" applyFill="1"/>
    <xf numFmtId="0" fontId="10" fillId="0" borderId="0" xfId="0" applyFont="1" applyFill="1"/>
    <xf numFmtId="0" fontId="3" fillId="0" borderId="0" xfId="0" applyFont="1" applyFill="1"/>
    <xf numFmtId="0" fontId="0" fillId="3" borderId="3" xfId="0" applyFill="1" applyBorder="1" applyAlignment="1"/>
    <xf numFmtId="0" fontId="0" fillId="3" borderId="4" xfId="0" applyFill="1" applyBorder="1" applyAlignment="1"/>
    <xf numFmtId="0" fontId="0" fillId="3" borderId="3" xfId="0" applyFill="1" applyBorder="1"/>
    <xf numFmtId="0" fontId="0" fillId="3" borderId="4" xfId="0" applyFill="1" applyBorder="1"/>
    <xf numFmtId="0" fontId="0" fillId="0" borderId="5" xfId="0" applyFill="1" applyBorder="1" applyAlignment="1"/>
    <xf numFmtId="0" fontId="7" fillId="0" borderId="6" xfId="0" applyFont="1" applyBorder="1"/>
    <xf numFmtId="0" fontId="10" fillId="0" borderId="0" xfId="0" applyFont="1" applyBorder="1"/>
    <xf numFmtId="0" fontId="0" fillId="2" borderId="0" xfId="0" applyFill="1" applyBorder="1"/>
    <xf numFmtId="0" fontId="0" fillId="0" borderId="0" xfId="0" applyBorder="1" applyAlignment="1">
      <alignment horizontal="right"/>
    </xf>
    <xf numFmtId="0" fontId="0" fillId="2" borderId="11" xfId="0" applyFill="1" applyBorder="1"/>
    <xf numFmtId="0" fontId="3" fillId="2" borderId="11" xfId="0" applyFont="1" applyFill="1" applyBorder="1"/>
    <xf numFmtId="0" fontId="3" fillId="2" borderId="0" xfId="0" applyFont="1" applyFill="1" applyBorder="1"/>
    <xf numFmtId="0" fontId="8" fillId="0" borderId="0" xfId="0" applyFont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Fill="1" applyBorder="1" applyAlignment="1">
      <alignment horizontal="right"/>
    </xf>
    <xf numFmtId="0" fontId="0" fillId="4" borderId="0" xfId="0" applyFont="1" applyFill="1" applyBorder="1" applyAlignment="1">
      <alignment horizontal="center"/>
    </xf>
    <xf numFmtId="0" fontId="0" fillId="4" borderId="0" xfId="0" applyFont="1" applyFill="1" applyBorder="1" applyAlignment="1">
      <alignment horizontal="centerContinuous"/>
    </xf>
    <xf numFmtId="0" fontId="0" fillId="0" borderId="0" xfId="0" applyFont="1" applyFill="1" applyBorder="1" applyAlignment="1">
      <alignment horizontal="right"/>
    </xf>
    <xf numFmtId="0" fontId="0" fillId="0" borderId="0" xfId="0" applyFont="1" applyFill="1" applyAlignment="1">
      <alignment horizontal="right"/>
    </xf>
    <xf numFmtId="0" fontId="6" fillId="0" borderId="0" xfId="0" applyFont="1" applyBorder="1"/>
    <xf numFmtId="0" fontId="11" fillId="0" borderId="0" xfId="0" applyFont="1" applyAlignment="1">
      <alignment horizontal="left"/>
    </xf>
    <xf numFmtId="0" fontId="11" fillId="0" borderId="0" xfId="0" applyFont="1"/>
    <xf numFmtId="0" fontId="7" fillId="0" borderId="0" xfId="0" applyFont="1"/>
    <xf numFmtId="0" fontId="7" fillId="0" borderId="1" xfId="0" applyFont="1" applyFill="1" applyBorder="1" applyAlignment="1"/>
    <xf numFmtId="0" fontId="0" fillId="5" borderId="13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12" fillId="0" borderId="0" xfId="0" applyFont="1" applyAlignment="1">
      <alignment horizontal="left" vertical="center" indent="5"/>
    </xf>
    <xf numFmtId="0" fontId="0" fillId="5" borderId="13" xfId="0" applyFill="1" applyBorder="1"/>
    <xf numFmtId="0" fontId="0" fillId="5" borderId="15" xfId="0" applyFill="1" applyBorder="1"/>
    <xf numFmtId="0" fontId="0" fillId="5" borderId="5" xfId="0" applyFill="1" applyBorder="1"/>
    <xf numFmtId="0" fontId="0" fillId="5" borderId="7" xfId="0" applyFill="1" applyBorder="1" applyAlignment="1">
      <alignment horizontal="center"/>
    </xf>
    <xf numFmtId="0" fontId="0" fillId="5" borderId="10" xfId="0" applyFill="1" applyBorder="1"/>
    <xf numFmtId="0" fontId="0" fillId="5" borderId="12" xfId="0" applyFill="1" applyBorder="1" applyAlignment="1">
      <alignment horizontal="center"/>
    </xf>
    <xf numFmtId="0" fontId="0" fillId="0" borderId="0" xfId="0" applyFont="1" applyAlignment="1">
      <alignment vertical="center"/>
    </xf>
    <xf numFmtId="0" fontId="0" fillId="0" borderId="5" xfId="0" applyBorder="1" applyAlignment="1">
      <alignment horizontal="right"/>
    </xf>
    <xf numFmtId="0" fontId="0" fillId="2" borderId="0" xfId="0" applyFill="1"/>
    <xf numFmtId="0" fontId="0" fillId="0" borderId="0" xfId="0" applyFill="1" applyBorder="1"/>
    <xf numFmtId="0" fontId="0" fillId="0" borderId="0" xfId="0" applyFont="1" applyFill="1" applyBorder="1" applyAlignment="1">
      <alignment horizontal="centerContinuous"/>
    </xf>
    <xf numFmtId="0" fontId="0" fillId="0" borderId="0" xfId="0" applyFont="1" applyFill="1" applyBorder="1" applyAlignment="1">
      <alignment horizontal="left"/>
    </xf>
    <xf numFmtId="2" fontId="0" fillId="0" borderId="0" xfId="0" applyNumberFormat="1" applyFont="1" applyFill="1" applyBorder="1" applyAlignment="1">
      <alignment horizontal="left"/>
    </xf>
    <xf numFmtId="1" fontId="0" fillId="0" borderId="0" xfId="0" applyNumberFormat="1" applyFont="1" applyBorder="1" applyAlignment="1">
      <alignment horizontal="left"/>
    </xf>
    <xf numFmtId="1" fontId="0" fillId="0" borderId="0" xfId="0" applyNumberFormat="1" applyFont="1" applyFill="1" applyBorder="1" applyAlignment="1">
      <alignment horizontal="left"/>
    </xf>
    <xf numFmtId="0" fontId="13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Main effect of čas spánku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xVal>
            <c:numRef>
              <c:f>efekty!$I$13:$J$13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efekty!$I$14:$J$14</c:f>
              <c:numCache>
                <c:formatCode>General</c:formatCode>
                <c:ptCount val="2"/>
                <c:pt idx="0">
                  <c:v>24.25</c:v>
                </c:pt>
                <c:pt idx="1">
                  <c:v>68.5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7B-4840-A361-DC8A55454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838272"/>
        <c:axId val="44835968"/>
      </c:scatterChart>
      <c:valAx>
        <c:axId val="4483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835968"/>
        <c:crosses val="autoZero"/>
        <c:crossBetween val="midCat"/>
      </c:valAx>
      <c:valAx>
        <c:axId val="448359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8382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Main effect of čas štúdia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xVal>
            <c:numRef>
              <c:f>efekty!$C$13:$D$13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efekty!$C$14:$D$14</c:f>
              <c:numCache>
                <c:formatCode>General</c:formatCode>
                <c:ptCount val="2"/>
                <c:pt idx="0">
                  <c:v>29.25</c:v>
                </c:pt>
                <c:pt idx="1">
                  <c:v>63.5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8B-4662-AB79-7544F6C32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840000"/>
        <c:axId val="44840576"/>
      </c:scatterChart>
      <c:valAx>
        <c:axId val="4484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840576"/>
        <c:crosses val="autoZero"/>
        <c:crossBetween val="midCat"/>
      </c:valAx>
      <c:valAx>
        <c:axId val="44840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8400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Interaction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efekty!$B$31:$C$31</c:f>
              <c:strCache>
                <c:ptCount val="2"/>
                <c:pt idx="0">
                  <c:v>x1</c:v>
                </c:pt>
                <c:pt idx="1">
                  <c:v>-1</c:v>
                </c:pt>
              </c:strCache>
            </c:strRef>
          </c:tx>
          <c:xVal>
            <c:numRef>
              <c:f>efekty!$D$30:$E$30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efekty!$D$31:$E$31</c:f>
              <c:numCache>
                <c:formatCode>General</c:formatCode>
                <c:ptCount val="2"/>
                <c:pt idx="0">
                  <c:v>19</c:v>
                </c:pt>
                <c:pt idx="1">
                  <c:v>39.5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1A-4519-A911-952DF0D38797}"/>
            </c:ext>
          </c:extLst>
        </c:ser>
        <c:ser>
          <c:idx val="1"/>
          <c:order val="1"/>
          <c:tx>
            <c:strRef>
              <c:f>efekty!$B$32:$C$32</c:f>
              <c:strCache>
                <c:ptCount val="2"/>
                <c:pt idx="0">
                  <c:v>x1</c:v>
                </c:pt>
                <c:pt idx="1">
                  <c:v>1</c:v>
                </c:pt>
              </c:strCache>
            </c:strRef>
          </c:tx>
          <c:xVal>
            <c:numRef>
              <c:f>efekty!$D$30:$E$30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efekty!$D$32:$E$32</c:f>
              <c:numCache>
                <c:formatCode>General</c:formatCode>
                <c:ptCount val="2"/>
                <c:pt idx="0">
                  <c:v>29.5</c:v>
                </c:pt>
                <c:pt idx="1">
                  <c:v>97.5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1A-4519-A911-952DF0D38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842304"/>
        <c:axId val="178094080"/>
      </c:scatterChart>
      <c:valAx>
        <c:axId val="44842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x2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8094080"/>
        <c:crosses val="autoZero"/>
        <c:crossBetween val="midCat"/>
      </c:valAx>
      <c:valAx>
        <c:axId val="178094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84230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Interaction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efekty!$D$29:$D$30</c:f>
              <c:strCache>
                <c:ptCount val="2"/>
                <c:pt idx="0">
                  <c:v>x2</c:v>
                </c:pt>
                <c:pt idx="1">
                  <c:v>-1</c:v>
                </c:pt>
              </c:strCache>
            </c:strRef>
          </c:tx>
          <c:xVal>
            <c:numRef>
              <c:f>efekty!$C$31:$C$32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efekty!$D$31:$D$32</c:f>
              <c:numCache>
                <c:formatCode>General</c:formatCode>
                <c:ptCount val="2"/>
                <c:pt idx="0">
                  <c:v>19</c:v>
                </c:pt>
                <c:pt idx="1">
                  <c:v>29.5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9C-4ABC-9894-8C5F006D95A2}"/>
            </c:ext>
          </c:extLst>
        </c:ser>
        <c:ser>
          <c:idx val="1"/>
          <c:order val="1"/>
          <c:tx>
            <c:strRef>
              <c:f>efekty!$E$29:$E$30</c:f>
              <c:strCache>
                <c:ptCount val="2"/>
                <c:pt idx="0">
                  <c:v>x2</c:v>
                </c:pt>
                <c:pt idx="1">
                  <c:v>1</c:v>
                </c:pt>
              </c:strCache>
            </c:strRef>
          </c:tx>
          <c:xVal>
            <c:numRef>
              <c:f>efekty!$C$31:$C$32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efekty!$E$31:$E$32</c:f>
              <c:numCache>
                <c:formatCode>General</c:formatCode>
                <c:ptCount val="2"/>
                <c:pt idx="0">
                  <c:v>39.5</c:v>
                </c:pt>
                <c:pt idx="1">
                  <c:v>97.5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9C-4ABC-9894-8C5F006D9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96384"/>
        <c:axId val="178096960"/>
      </c:scatterChart>
      <c:valAx>
        <c:axId val="178096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x1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8096960"/>
        <c:crosses val="autoZero"/>
        <c:crossBetween val="midCat"/>
      </c:valAx>
      <c:valAx>
        <c:axId val="178096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809638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png"/><Relationship Id="rId3" Type="http://schemas.openxmlformats.org/officeDocument/2006/relationships/image" Target="../media/image9.png"/><Relationship Id="rId7" Type="http://schemas.openxmlformats.org/officeDocument/2006/relationships/image" Target="../media/image13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image" Target="../media/image12.png"/><Relationship Id="rId5" Type="http://schemas.openxmlformats.org/officeDocument/2006/relationships/image" Target="../media/image11.png"/><Relationship Id="rId4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15.png"/><Relationship Id="rId1" Type="http://schemas.openxmlformats.org/officeDocument/2006/relationships/image" Target="../media/image6.png"/><Relationship Id="rId4" Type="http://schemas.openxmlformats.org/officeDocument/2006/relationships/image" Target="../media/image17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8.pn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26.png"/><Relationship Id="rId13" Type="http://schemas.openxmlformats.org/officeDocument/2006/relationships/image" Target="../media/image31.png"/><Relationship Id="rId18" Type="http://schemas.openxmlformats.org/officeDocument/2006/relationships/image" Target="../media/image36.png"/><Relationship Id="rId3" Type="http://schemas.openxmlformats.org/officeDocument/2006/relationships/image" Target="../media/image21.png"/><Relationship Id="rId7" Type="http://schemas.openxmlformats.org/officeDocument/2006/relationships/image" Target="../media/image25.png"/><Relationship Id="rId12" Type="http://schemas.openxmlformats.org/officeDocument/2006/relationships/image" Target="../media/image30.png"/><Relationship Id="rId17" Type="http://schemas.openxmlformats.org/officeDocument/2006/relationships/image" Target="../media/image35.png"/><Relationship Id="rId2" Type="http://schemas.openxmlformats.org/officeDocument/2006/relationships/image" Target="../media/image20.png"/><Relationship Id="rId16" Type="http://schemas.openxmlformats.org/officeDocument/2006/relationships/image" Target="../media/image34.png"/><Relationship Id="rId1" Type="http://schemas.openxmlformats.org/officeDocument/2006/relationships/image" Target="../media/image19.png"/><Relationship Id="rId6" Type="http://schemas.openxmlformats.org/officeDocument/2006/relationships/image" Target="../media/image24.png"/><Relationship Id="rId11" Type="http://schemas.openxmlformats.org/officeDocument/2006/relationships/image" Target="../media/image29.png"/><Relationship Id="rId5" Type="http://schemas.openxmlformats.org/officeDocument/2006/relationships/image" Target="../media/image23.png"/><Relationship Id="rId15" Type="http://schemas.openxmlformats.org/officeDocument/2006/relationships/image" Target="../media/image33.png"/><Relationship Id="rId10" Type="http://schemas.openxmlformats.org/officeDocument/2006/relationships/image" Target="../media/image28.png"/><Relationship Id="rId4" Type="http://schemas.openxmlformats.org/officeDocument/2006/relationships/image" Target="../media/image22.png"/><Relationship Id="rId9" Type="http://schemas.openxmlformats.org/officeDocument/2006/relationships/image" Target="../media/image27.png"/><Relationship Id="rId14" Type="http://schemas.openxmlformats.org/officeDocument/2006/relationships/image" Target="../media/image3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114300</xdr:rowOff>
    </xdr:from>
    <xdr:to>
      <xdr:col>11</xdr:col>
      <xdr:colOff>143824</xdr:colOff>
      <xdr:row>20</xdr:row>
      <xdr:rowOff>67200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114300"/>
          <a:ext cx="6801799" cy="37629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</xdr:row>
      <xdr:rowOff>123825</xdr:rowOff>
    </xdr:from>
    <xdr:to>
      <xdr:col>11</xdr:col>
      <xdr:colOff>200989</xdr:colOff>
      <xdr:row>37</xdr:row>
      <xdr:rowOff>29067</xdr:rowOff>
    </xdr:to>
    <xdr:pic>
      <xdr:nvPicPr>
        <xdr:cNvPr id="4" name="Obrázok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552825"/>
          <a:ext cx="6906589" cy="35247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</xdr:row>
      <xdr:rowOff>104775</xdr:rowOff>
    </xdr:from>
    <xdr:to>
      <xdr:col>11</xdr:col>
      <xdr:colOff>162884</xdr:colOff>
      <xdr:row>37</xdr:row>
      <xdr:rowOff>114807</xdr:rowOff>
    </xdr:to>
    <xdr:pic>
      <xdr:nvPicPr>
        <xdr:cNvPr id="5" name="Obrázok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3533775"/>
          <a:ext cx="6868484" cy="362953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36</xdr:row>
      <xdr:rowOff>161925</xdr:rowOff>
    </xdr:from>
    <xdr:to>
      <xdr:col>11</xdr:col>
      <xdr:colOff>58094</xdr:colOff>
      <xdr:row>44</xdr:row>
      <xdr:rowOff>38295</xdr:rowOff>
    </xdr:to>
    <xdr:pic>
      <xdr:nvPicPr>
        <xdr:cNvPr id="6" name="Obrázok 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7019925"/>
          <a:ext cx="6763694" cy="14003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85725</xdr:colOff>
      <xdr:row>9</xdr:row>
      <xdr:rowOff>133350</xdr:rowOff>
    </xdr:from>
    <xdr:to>
      <xdr:col>15</xdr:col>
      <xdr:colOff>169043</xdr:colOff>
      <xdr:row>15</xdr:row>
      <xdr:rowOff>104775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3374" t="14846" r="22758" b="60411"/>
        <a:stretch/>
      </xdr:blipFill>
      <xdr:spPr>
        <a:xfrm>
          <a:off x="8496300" y="1847850"/>
          <a:ext cx="1912118" cy="111442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15</xdr:col>
      <xdr:colOff>104305</xdr:colOff>
      <xdr:row>1</xdr:row>
      <xdr:rowOff>133310</xdr:rowOff>
    </xdr:to>
    <xdr:pic>
      <xdr:nvPicPr>
        <xdr:cNvPr id="3" name="Obrázok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86400" y="0"/>
          <a:ext cx="3761905" cy="3238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70901</xdr:colOff>
      <xdr:row>39</xdr:row>
      <xdr:rowOff>56092</xdr:rowOff>
    </xdr:from>
    <xdr:to>
      <xdr:col>1</xdr:col>
      <xdr:colOff>109001</xdr:colOff>
      <xdr:row>39</xdr:row>
      <xdr:rowOff>141817</xdr:rowOff>
    </xdr:to>
    <xdr:cxnSp macro="">
      <xdr:nvCxnSpPr>
        <xdr:cNvPr id="2" name="Rovná spojnica 1"/>
        <xdr:cNvCxnSpPr/>
      </xdr:nvCxnSpPr>
      <xdr:spPr>
        <a:xfrm flipV="1">
          <a:off x="1055151" y="7358592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41</xdr:row>
      <xdr:rowOff>66675</xdr:rowOff>
    </xdr:from>
    <xdr:to>
      <xdr:col>4</xdr:col>
      <xdr:colOff>409575</xdr:colOff>
      <xdr:row>41</xdr:row>
      <xdr:rowOff>152400</xdr:rowOff>
    </xdr:to>
    <xdr:cxnSp macro="">
      <xdr:nvCxnSpPr>
        <xdr:cNvPr id="3" name="Rovná spojnica 2"/>
        <xdr:cNvCxnSpPr/>
      </xdr:nvCxnSpPr>
      <xdr:spPr>
        <a:xfrm flipV="1">
          <a:off x="3038475" y="9839325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89637</xdr:colOff>
      <xdr:row>47</xdr:row>
      <xdr:rowOff>50638</xdr:rowOff>
    </xdr:from>
    <xdr:to>
      <xdr:col>1</xdr:col>
      <xdr:colOff>127737</xdr:colOff>
      <xdr:row>47</xdr:row>
      <xdr:rowOff>136363</xdr:rowOff>
    </xdr:to>
    <xdr:cxnSp macro="">
      <xdr:nvCxnSpPr>
        <xdr:cNvPr id="4" name="Rovná spojnica 3"/>
        <xdr:cNvCxnSpPr/>
      </xdr:nvCxnSpPr>
      <xdr:spPr>
        <a:xfrm flipV="1">
          <a:off x="1073887" y="8877138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49</xdr:row>
      <xdr:rowOff>66675</xdr:rowOff>
    </xdr:from>
    <xdr:to>
      <xdr:col>4</xdr:col>
      <xdr:colOff>409575</xdr:colOff>
      <xdr:row>49</xdr:row>
      <xdr:rowOff>152400</xdr:rowOff>
    </xdr:to>
    <xdr:cxnSp macro="">
      <xdr:nvCxnSpPr>
        <xdr:cNvPr id="5" name="Rovná spojnica 4"/>
        <xdr:cNvCxnSpPr/>
      </xdr:nvCxnSpPr>
      <xdr:spPr>
        <a:xfrm flipV="1">
          <a:off x="3038475" y="11363325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237070</xdr:colOff>
      <xdr:row>55</xdr:row>
      <xdr:rowOff>56092</xdr:rowOff>
    </xdr:from>
    <xdr:to>
      <xdr:col>1</xdr:col>
      <xdr:colOff>275170</xdr:colOff>
      <xdr:row>55</xdr:row>
      <xdr:rowOff>141817</xdr:rowOff>
    </xdr:to>
    <xdr:cxnSp macro="">
      <xdr:nvCxnSpPr>
        <xdr:cNvPr id="6" name="Rovná spojnica 5"/>
        <xdr:cNvCxnSpPr/>
      </xdr:nvCxnSpPr>
      <xdr:spPr>
        <a:xfrm flipV="1">
          <a:off x="1221320" y="10597092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448733</xdr:colOff>
      <xdr:row>57</xdr:row>
      <xdr:rowOff>56092</xdr:rowOff>
    </xdr:from>
    <xdr:to>
      <xdr:col>4</xdr:col>
      <xdr:colOff>486833</xdr:colOff>
      <xdr:row>57</xdr:row>
      <xdr:rowOff>141817</xdr:rowOff>
    </xdr:to>
    <xdr:cxnSp macro="">
      <xdr:nvCxnSpPr>
        <xdr:cNvPr id="7" name="Rovná spojnica 6"/>
        <xdr:cNvCxnSpPr/>
      </xdr:nvCxnSpPr>
      <xdr:spPr>
        <a:xfrm flipV="1">
          <a:off x="3676650" y="10978092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237070</xdr:colOff>
      <xdr:row>63</xdr:row>
      <xdr:rowOff>56092</xdr:rowOff>
    </xdr:from>
    <xdr:to>
      <xdr:col>1</xdr:col>
      <xdr:colOff>275170</xdr:colOff>
      <xdr:row>63</xdr:row>
      <xdr:rowOff>141817</xdr:rowOff>
    </xdr:to>
    <xdr:cxnSp macro="">
      <xdr:nvCxnSpPr>
        <xdr:cNvPr id="8" name="Rovná spojnica 7"/>
        <xdr:cNvCxnSpPr/>
      </xdr:nvCxnSpPr>
      <xdr:spPr>
        <a:xfrm flipV="1">
          <a:off x="1221320" y="10597092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448733</xdr:colOff>
      <xdr:row>65</xdr:row>
      <xdr:rowOff>56092</xdr:rowOff>
    </xdr:from>
    <xdr:to>
      <xdr:col>4</xdr:col>
      <xdr:colOff>486833</xdr:colOff>
      <xdr:row>65</xdr:row>
      <xdr:rowOff>141817</xdr:rowOff>
    </xdr:to>
    <xdr:cxnSp macro="">
      <xdr:nvCxnSpPr>
        <xdr:cNvPr id="9" name="Rovná spojnica 8"/>
        <xdr:cNvCxnSpPr/>
      </xdr:nvCxnSpPr>
      <xdr:spPr>
        <a:xfrm flipV="1">
          <a:off x="3676650" y="10978092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313266</xdr:colOff>
      <xdr:row>74</xdr:row>
      <xdr:rowOff>56092</xdr:rowOff>
    </xdr:from>
    <xdr:to>
      <xdr:col>5</xdr:col>
      <xdr:colOff>351366</xdr:colOff>
      <xdr:row>74</xdr:row>
      <xdr:rowOff>141817</xdr:rowOff>
    </xdr:to>
    <xdr:cxnSp macro="">
      <xdr:nvCxnSpPr>
        <xdr:cNvPr id="10" name="Rovná spojnica 9"/>
        <xdr:cNvCxnSpPr/>
      </xdr:nvCxnSpPr>
      <xdr:spPr>
        <a:xfrm flipV="1">
          <a:off x="4366683" y="14216592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21167</xdr:colOff>
      <xdr:row>10</xdr:row>
      <xdr:rowOff>63500</xdr:rowOff>
    </xdr:from>
    <xdr:to>
      <xdr:col>7</xdr:col>
      <xdr:colOff>295413</xdr:colOff>
      <xdr:row>11</xdr:row>
      <xdr:rowOff>128342</xdr:rowOff>
    </xdr:to>
    <xdr:pic>
      <xdr:nvPicPr>
        <xdr:cNvPr id="11" name="Obrázok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7084" y="1968500"/>
          <a:ext cx="3089412" cy="2659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45</xdr:row>
      <xdr:rowOff>19050</xdr:rowOff>
    </xdr:from>
    <xdr:to>
      <xdr:col>4</xdr:col>
      <xdr:colOff>523875</xdr:colOff>
      <xdr:row>48</xdr:row>
      <xdr:rowOff>114300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" y="7505700"/>
          <a:ext cx="1685925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123825</xdr:colOff>
      <xdr:row>48</xdr:row>
      <xdr:rowOff>95250</xdr:rowOff>
    </xdr:from>
    <xdr:to>
      <xdr:col>7</xdr:col>
      <xdr:colOff>581025</xdr:colOff>
      <xdr:row>50</xdr:row>
      <xdr:rowOff>133350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3300" y="8153400"/>
          <a:ext cx="16764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43</xdr:row>
      <xdr:rowOff>0</xdr:rowOff>
    </xdr:from>
    <xdr:to>
      <xdr:col>2</xdr:col>
      <xdr:colOff>209550</xdr:colOff>
      <xdr:row>44</xdr:row>
      <xdr:rowOff>9525</xdr:rowOff>
    </xdr:to>
    <xdr:pic>
      <xdr:nvPicPr>
        <xdr:cNvPr id="4" name="Obrázok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486650"/>
          <a:ext cx="20955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285750</xdr:colOff>
      <xdr:row>42</xdr:row>
      <xdr:rowOff>180975</xdr:rowOff>
    </xdr:from>
    <xdr:to>
      <xdr:col>3</xdr:col>
      <xdr:colOff>466725</xdr:colOff>
      <xdr:row>44</xdr:row>
      <xdr:rowOff>28575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7477125"/>
          <a:ext cx="790575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523875</xdr:colOff>
      <xdr:row>39</xdr:row>
      <xdr:rowOff>9525</xdr:rowOff>
    </xdr:from>
    <xdr:to>
      <xdr:col>7</xdr:col>
      <xdr:colOff>800100</xdr:colOff>
      <xdr:row>42</xdr:row>
      <xdr:rowOff>9525</xdr:rowOff>
    </xdr:to>
    <xdr:pic>
      <xdr:nvPicPr>
        <xdr:cNvPr id="6" name="Obrázok 5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3075" y="7496175"/>
          <a:ext cx="36957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43</xdr:row>
      <xdr:rowOff>0</xdr:rowOff>
    </xdr:from>
    <xdr:to>
      <xdr:col>4</xdr:col>
      <xdr:colOff>209550</xdr:colOff>
      <xdr:row>44</xdr:row>
      <xdr:rowOff>9525</xdr:rowOff>
    </xdr:to>
    <xdr:pic>
      <xdr:nvPicPr>
        <xdr:cNvPr id="7" name="Obrázok 6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0" y="8248650"/>
          <a:ext cx="20955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257175</xdr:colOff>
      <xdr:row>42</xdr:row>
      <xdr:rowOff>180975</xdr:rowOff>
    </xdr:from>
    <xdr:to>
      <xdr:col>5</xdr:col>
      <xdr:colOff>219075</xdr:colOff>
      <xdr:row>44</xdr:row>
      <xdr:rowOff>28575</xdr:rowOff>
    </xdr:to>
    <xdr:pic>
      <xdr:nvPicPr>
        <xdr:cNvPr id="8" name="Obrázok 7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7975" y="8239125"/>
          <a:ext cx="790575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45</xdr:row>
      <xdr:rowOff>38100</xdr:rowOff>
    </xdr:from>
    <xdr:to>
      <xdr:col>17</xdr:col>
      <xdr:colOff>551771</xdr:colOff>
      <xdr:row>56</xdr:row>
      <xdr:rowOff>47362</xdr:rowOff>
    </xdr:to>
    <xdr:pic>
      <xdr:nvPicPr>
        <xdr:cNvPr id="9" name="Obrázok 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076950" y="8677275"/>
          <a:ext cx="5428571" cy="21047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16566</xdr:colOff>
      <xdr:row>4</xdr:row>
      <xdr:rowOff>33130</xdr:rowOff>
    </xdr:from>
    <xdr:to>
      <xdr:col>8</xdr:col>
      <xdr:colOff>41413</xdr:colOff>
      <xdr:row>5</xdr:row>
      <xdr:rowOff>108555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46414" y="795130"/>
          <a:ext cx="3089412" cy="265925"/>
        </a:xfrm>
        <a:prstGeom prst="rect">
          <a:avLst/>
        </a:prstGeom>
      </xdr:spPr>
    </xdr:pic>
    <xdr:clientData/>
  </xdr:twoCellAnchor>
  <xdr:twoCellAnchor editAs="oneCell">
    <xdr:from>
      <xdr:col>9</xdr:col>
      <xdr:colOff>16565</xdr:colOff>
      <xdr:row>22</xdr:row>
      <xdr:rowOff>23664</xdr:rowOff>
    </xdr:from>
    <xdr:to>
      <xdr:col>14</xdr:col>
      <xdr:colOff>78269</xdr:colOff>
      <xdr:row>25</xdr:row>
      <xdr:rowOff>184604</xdr:rowOff>
    </xdr:to>
    <xdr:pic>
      <xdr:nvPicPr>
        <xdr:cNvPr id="5" name="Obrázok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97826" y="4661925"/>
          <a:ext cx="3126269" cy="732440"/>
        </a:xfrm>
        <a:prstGeom prst="rect">
          <a:avLst/>
        </a:prstGeom>
      </xdr:spPr>
    </xdr:pic>
    <xdr:clientData/>
  </xdr:twoCellAnchor>
  <xdr:twoCellAnchor editAs="oneCell">
    <xdr:from>
      <xdr:col>0</xdr:col>
      <xdr:colOff>604631</xdr:colOff>
      <xdr:row>27</xdr:row>
      <xdr:rowOff>57978</xdr:rowOff>
    </xdr:from>
    <xdr:to>
      <xdr:col>7</xdr:col>
      <xdr:colOff>223631</xdr:colOff>
      <xdr:row>53</xdr:row>
      <xdr:rowOff>71150</xdr:rowOff>
    </xdr:to>
    <xdr:pic>
      <xdr:nvPicPr>
        <xdr:cNvPr id="6" name="Obrázok 5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4631" y="5648739"/>
          <a:ext cx="4000500" cy="4982737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17</xdr:row>
      <xdr:rowOff>101012</xdr:rowOff>
    </xdr:from>
    <xdr:to>
      <xdr:col>17</xdr:col>
      <xdr:colOff>117773</xdr:colOff>
      <xdr:row>20</xdr:row>
      <xdr:rowOff>181716</xdr:rowOff>
    </xdr:to>
    <xdr:pic>
      <xdr:nvPicPr>
        <xdr:cNvPr id="3" name="Obrázok 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781261" y="3596273"/>
          <a:ext cx="5021077" cy="65220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15</xdr:row>
      <xdr:rowOff>71437</xdr:rowOff>
    </xdr:from>
    <xdr:to>
      <xdr:col>11</xdr:col>
      <xdr:colOff>323850</xdr:colOff>
      <xdr:row>25</xdr:row>
      <xdr:rowOff>85725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590551</xdr:colOff>
      <xdr:row>15</xdr:row>
      <xdr:rowOff>80963</xdr:rowOff>
    </xdr:from>
    <xdr:to>
      <xdr:col>5</xdr:col>
      <xdr:colOff>400050</xdr:colOff>
      <xdr:row>25</xdr:row>
      <xdr:rowOff>9525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47626</xdr:colOff>
      <xdr:row>33</xdr:row>
      <xdr:rowOff>9526</xdr:rowOff>
    </xdr:from>
    <xdr:to>
      <xdr:col>5</xdr:col>
      <xdr:colOff>504826</xdr:colOff>
      <xdr:row>42</xdr:row>
      <xdr:rowOff>161926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38099</xdr:colOff>
      <xdr:row>33</xdr:row>
      <xdr:rowOff>19050</xdr:rowOff>
    </xdr:from>
    <xdr:to>
      <xdr:col>15</xdr:col>
      <xdr:colOff>581024</xdr:colOff>
      <xdr:row>43</xdr:row>
      <xdr:rowOff>19050</xdr:rowOff>
    </xdr:to>
    <xdr:graphicFrame macro="">
      <xdr:nvGraphicFramePr>
        <xdr:cNvPr id="7" name="Graf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6</xdr:col>
      <xdr:colOff>0</xdr:colOff>
      <xdr:row>3</xdr:row>
      <xdr:rowOff>0</xdr:rowOff>
    </xdr:from>
    <xdr:to>
      <xdr:col>9</xdr:col>
      <xdr:colOff>152153</xdr:colOff>
      <xdr:row>4</xdr:row>
      <xdr:rowOff>190452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57600" y="571500"/>
          <a:ext cx="1980953" cy="3809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146540</xdr:colOff>
      <xdr:row>56</xdr:row>
      <xdr:rowOff>19899</xdr:rowOff>
    </xdr:from>
    <xdr:to>
      <xdr:col>6</xdr:col>
      <xdr:colOff>468923</xdr:colOff>
      <xdr:row>57</xdr:row>
      <xdr:rowOff>209358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87213" y="10739187"/>
          <a:ext cx="996460" cy="4312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73270</xdr:colOff>
      <xdr:row>50</xdr:row>
      <xdr:rowOff>124558</xdr:rowOff>
    </xdr:from>
    <xdr:to>
      <xdr:col>11</xdr:col>
      <xdr:colOff>512886</xdr:colOff>
      <xdr:row>51</xdr:row>
      <xdr:rowOff>145331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3943" y="9700846"/>
          <a:ext cx="4154366" cy="2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600808</xdr:colOff>
      <xdr:row>50</xdr:row>
      <xdr:rowOff>87924</xdr:rowOff>
    </xdr:from>
    <xdr:to>
      <xdr:col>14</xdr:col>
      <xdr:colOff>58616</xdr:colOff>
      <xdr:row>52</xdr:row>
      <xdr:rowOff>129687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366" y="9664212"/>
          <a:ext cx="674077" cy="4227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29307</xdr:colOff>
      <xdr:row>56</xdr:row>
      <xdr:rowOff>153865</xdr:rowOff>
    </xdr:from>
    <xdr:to>
      <xdr:col>14</xdr:col>
      <xdr:colOff>133349</xdr:colOff>
      <xdr:row>58</xdr:row>
      <xdr:rowOff>64477</xdr:rowOff>
    </xdr:to>
    <xdr:pic>
      <xdr:nvPicPr>
        <xdr:cNvPr id="6" name="Obrázok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0999" y="10924442"/>
          <a:ext cx="712177" cy="3941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600806</xdr:colOff>
      <xdr:row>52</xdr:row>
      <xdr:rowOff>175847</xdr:rowOff>
    </xdr:from>
    <xdr:to>
      <xdr:col>15</xdr:col>
      <xdr:colOff>31504</xdr:colOff>
      <xdr:row>56</xdr:row>
      <xdr:rowOff>67408</xdr:rowOff>
    </xdr:to>
    <xdr:pic>
      <xdr:nvPicPr>
        <xdr:cNvPr id="7" name="Obrázok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4364" y="10133135"/>
          <a:ext cx="1255102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95250</xdr:colOff>
      <xdr:row>52</xdr:row>
      <xdr:rowOff>58615</xdr:rowOff>
    </xdr:from>
    <xdr:to>
      <xdr:col>8</xdr:col>
      <xdr:colOff>314325</xdr:colOff>
      <xdr:row>53</xdr:row>
      <xdr:rowOff>96715</xdr:rowOff>
    </xdr:to>
    <xdr:pic>
      <xdr:nvPicPr>
        <xdr:cNvPr id="9" name="Obrázok 8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35923" y="10015903"/>
          <a:ext cx="2666267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139211</xdr:colOff>
      <xdr:row>72</xdr:row>
      <xdr:rowOff>43962</xdr:rowOff>
    </xdr:from>
    <xdr:to>
      <xdr:col>6</xdr:col>
      <xdr:colOff>378801</xdr:colOff>
      <xdr:row>73</xdr:row>
      <xdr:rowOff>22439</xdr:rowOff>
    </xdr:to>
    <xdr:pic>
      <xdr:nvPicPr>
        <xdr:cNvPr id="10" name="Obrázok 9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9884" y="13913827"/>
          <a:ext cx="913667" cy="1689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7327</xdr:colOff>
      <xdr:row>72</xdr:row>
      <xdr:rowOff>75443</xdr:rowOff>
    </xdr:from>
    <xdr:to>
      <xdr:col>16</xdr:col>
      <xdr:colOff>326550</xdr:colOff>
      <xdr:row>88</xdr:row>
      <xdr:rowOff>138556</xdr:rowOff>
    </xdr:to>
    <xdr:pic>
      <xdr:nvPicPr>
        <xdr:cNvPr id="12" name="Obrázok 11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103327" y="13945308"/>
          <a:ext cx="4576165" cy="3111113"/>
        </a:xfrm>
        <a:prstGeom prst="rect">
          <a:avLst/>
        </a:prstGeom>
      </xdr:spPr>
    </xdr:pic>
    <xdr:clientData/>
  </xdr:twoCellAnchor>
  <xdr:twoCellAnchor editAs="oneCell">
    <xdr:from>
      <xdr:col>5</xdr:col>
      <xdr:colOff>666749</xdr:colOff>
      <xdr:row>77</xdr:row>
      <xdr:rowOff>116596</xdr:rowOff>
    </xdr:from>
    <xdr:to>
      <xdr:col>7</xdr:col>
      <xdr:colOff>7908</xdr:colOff>
      <xdr:row>81</xdr:row>
      <xdr:rowOff>95856</xdr:rowOff>
    </xdr:to>
    <xdr:pic>
      <xdr:nvPicPr>
        <xdr:cNvPr id="13" name="Obrázok 12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707422" y="14938961"/>
          <a:ext cx="879813" cy="741260"/>
        </a:xfrm>
        <a:prstGeom prst="rect">
          <a:avLst/>
        </a:prstGeom>
      </xdr:spPr>
    </xdr:pic>
    <xdr:clientData/>
  </xdr:twoCellAnchor>
  <xdr:twoCellAnchor editAs="oneCell">
    <xdr:from>
      <xdr:col>6</xdr:col>
      <xdr:colOff>14653</xdr:colOff>
      <xdr:row>76</xdr:row>
      <xdr:rowOff>73269</xdr:rowOff>
    </xdr:from>
    <xdr:to>
      <xdr:col>7</xdr:col>
      <xdr:colOff>747345</xdr:colOff>
      <xdr:row>77</xdr:row>
      <xdr:rowOff>147557</xdr:rowOff>
    </xdr:to>
    <xdr:pic>
      <xdr:nvPicPr>
        <xdr:cNvPr id="14" name="Obrázok 13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729403" y="14705134"/>
          <a:ext cx="1597269" cy="264788"/>
        </a:xfrm>
        <a:prstGeom prst="rect">
          <a:avLst/>
        </a:prstGeom>
      </xdr:spPr>
    </xdr:pic>
    <xdr:clientData/>
  </xdr:twoCellAnchor>
  <xdr:twoCellAnchor editAs="oneCell">
    <xdr:from>
      <xdr:col>15</xdr:col>
      <xdr:colOff>29988</xdr:colOff>
      <xdr:row>5</xdr:row>
      <xdr:rowOff>21980</xdr:rowOff>
    </xdr:from>
    <xdr:to>
      <xdr:col>20</xdr:col>
      <xdr:colOff>291116</xdr:colOff>
      <xdr:row>33</xdr:row>
      <xdr:rowOff>112015</xdr:rowOff>
    </xdr:to>
    <xdr:pic>
      <xdr:nvPicPr>
        <xdr:cNvPr id="8" name="Obrázok 7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9774796" y="974480"/>
          <a:ext cx="3301801" cy="546067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11</xdr:col>
      <xdr:colOff>556975</xdr:colOff>
      <xdr:row>111</xdr:row>
      <xdr:rowOff>170976</xdr:rowOff>
    </xdr:to>
    <xdr:pic>
      <xdr:nvPicPr>
        <xdr:cNvPr id="11" name="Obrázok 10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040673" y="17679865"/>
          <a:ext cx="4828571" cy="3790476"/>
        </a:xfrm>
        <a:prstGeom prst="rect">
          <a:avLst/>
        </a:prstGeom>
      </xdr:spPr>
    </xdr:pic>
    <xdr:clientData/>
  </xdr:twoCellAnchor>
  <xdr:twoCellAnchor editAs="oneCell">
    <xdr:from>
      <xdr:col>12</xdr:col>
      <xdr:colOff>608134</xdr:colOff>
      <xdr:row>92</xdr:row>
      <xdr:rowOff>0</xdr:rowOff>
    </xdr:from>
    <xdr:to>
      <xdr:col>23</xdr:col>
      <xdr:colOff>71034</xdr:colOff>
      <xdr:row>97</xdr:row>
      <xdr:rowOff>37976</xdr:rowOff>
    </xdr:to>
    <xdr:pic>
      <xdr:nvPicPr>
        <xdr:cNvPr id="15" name="Obrázok 14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8528538" y="17679865"/>
          <a:ext cx="6152381" cy="990476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113</xdr:row>
      <xdr:rowOff>0</xdr:rowOff>
    </xdr:from>
    <xdr:to>
      <xdr:col>11</xdr:col>
      <xdr:colOff>252213</xdr:colOff>
      <xdr:row>142</xdr:row>
      <xdr:rowOff>46929</xdr:rowOff>
    </xdr:to>
    <xdr:pic>
      <xdr:nvPicPr>
        <xdr:cNvPr id="16" name="Obrázok 15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040673" y="21680365"/>
          <a:ext cx="4523809" cy="5571429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114</xdr:row>
      <xdr:rowOff>0</xdr:rowOff>
    </xdr:from>
    <xdr:to>
      <xdr:col>21</xdr:col>
      <xdr:colOff>174408</xdr:colOff>
      <xdr:row>134</xdr:row>
      <xdr:rowOff>142381</xdr:rowOff>
    </xdr:to>
    <xdr:pic>
      <xdr:nvPicPr>
        <xdr:cNvPr id="17" name="Obrázok 16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7920404" y="21870865"/>
          <a:ext cx="5647619" cy="3952381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144</xdr:row>
      <xdr:rowOff>0</xdr:rowOff>
    </xdr:from>
    <xdr:to>
      <xdr:col>12</xdr:col>
      <xdr:colOff>244078</xdr:colOff>
      <xdr:row>169</xdr:row>
      <xdr:rowOff>94643</xdr:rowOff>
    </xdr:to>
    <xdr:pic>
      <xdr:nvPicPr>
        <xdr:cNvPr id="18" name="Obrázok 17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040673" y="27585865"/>
          <a:ext cx="5123809" cy="4857143"/>
        </a:xfrm>
        <a:prstGeom prst="rect">
          <a:avLst/>
        </a:prstGeom>
      </xdr:spPr>
    </xdr:pic>
    <xdr:clientData/>
  </xdr:twoCellAnchor>
  <xdr:twoCellAnchor editAs="oneCell">
    <xdr:from>
      <xdr:col>13</xdr:col>
      <xdr:colOff>3016</xdr:colOff>
      <xdr:row>144</xdr:row>
      <xdr:rowOff>0</xdr:rowOff>
    </xdr:from>
    <xdr:to>
      <xdr:col>21</xdr:col>
      <xdr:colOff>475518</xdr:colOff>
      <xdr:row>169</xdr:row>
      <xdr:rowOff>78441</xdr:rowOff>
    </xdr:to>
    <xdr:pic>
      <xdr:nvPicPr>
        <xdr:cNvPr id="19" name="Obrázok 18"/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8497075" y="27600088"/>
          <a:ext cx="5313443" cy="4840941"/>
        </a:xfrm>
        <a:prstGeom prst="rect">
          <a:avLst/>
        </a:prstGeom>
      </xdr:spPr>
    </xdr:pic>
    <xdr:clientData/>
  </xdr:twoCellAnchor>
  <xdr:twoCellAnchor editAs="oneCell">
    <xdr:from>
      <xdr:col>22</xdr:col>
      <xdr:colOff>104301</xdr:colOff>
      <xdr:row>145</xdr:row>
      <xdr:rowOff>137489</xdr:rowOff>
    </xdr:from>
    <xdr:to>
      <xdr:col>30</xdr:col>
      <xdr:colOff>13669</xdr:colOff>
      <xdr:row>163</xdr:row>
      <xdr:rowOff>32298</xdr:rowOff>
    </xdr:to>
    <xdr:pic>
      <xdr:nvPicPr>
        <xdr:cNvPr id="20" name="Obrázok 19"/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4044419" y="27928077"/>
          <a:ext cx="4750309" cy="33238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="145" zoomScaleNormal="145" workbookViewId="0">
      <selection activeCell="M1" sqref="M1"/>
    </sheetView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53"/>
  <sheetViews>
    <sheetView topLeftCell="A40" zoomScale="145" zoomScaleNormal="145" workbookViewId="0">
      <selection activeCell="E53" sqref="E53"/>
    </sheetView>
  </sheetViews>
  <sheetFormatPr defaultRowHeight="15" x14ac:dyDescent="0.25"/>
  <cols>
    <col min="1" max="1" width="18.85546875" customWidth="1"/>
    <col min="5" max="5" width="13.28515625" customWidth="1"/>
    <col min="7" max="7" width="11.7109375" customWidth="1"/>
  </cols>
  <sheetData>
    <row r="1" spans="1:23" x14ac:dyDescent="0.25">
      <c r="A1" s="2" t="s">
        <v>0</v>
      </c>
      <c r="B1" s="2" t="s">
        <v>1</v>
      </c>
      <c r="C1" s="2" t="s">
        <v>2</v>
      </c>
      <c r="E1" s="2" t="s">
        <v>3</v>
      </c>
      <c r="F1" s="2" t="s">
        <v>4</v>
      </c>
      <c r="G1" s="2" t="s">
        <v>13</v>
      </c>
      <c r="H1" s="2" t="s">
        <v>2</v>
      </c>
      <c r="O1" s="12"/>
      <c r="P1" s="12"/>
      <c r="Q1" s="12"/>
      <c r="R1" s="12"/>
      <c r="S1" s="12"/>
      <c r="T1" s="12"/>
      <c r="U1" s="12"/>
      <c r="V1" s="12"/>
      <c r="W1" s="12"/>
    </row>
    <row r="2" spans="1:23" x14ac:dyDescent="0.25">
      <c r="A2" s="2">
        <v>51</v>
      </c>
      <c r="B2" s="2">
        <v>12</v>
      </c>
      <c r="C2" s="2">
        <v>100</v>
      </c>
      <c r="E2" s="48">
        <f>(A2-$B$11)/$B$12</f>
        <v>1</v>
      </c>
      <c r="F2" s="79">
        <f>(B2-$B$14)/$B$15</f>
        <v>1</v>
      </c>
      <c r="G2" s="2">
        <f>E2*F2</f>
        <v>1</v>
      </c>
      <c r="H2" s="2">
        <v>100</v>
      </c>
      <c r="O2" s="12"/>
      <c r="P2" s="12"/>
      <c r="Q2" s="12"/>
      <c r="R2" s="12"/>
      <c r="S2" s="12"/>
      <c r="T2" s="12"/>
      <c r="U2" s="12"/>
      <c r="V2" s="12"/>
      <c r="W2" s="12"/>
    </row>
    <row r="3" spans="1:23" x14ac:dyDescent="0.25">
      <c r="A3" s="2">
        <v>1</v>
      </c>
      <c r="B3" s="2">
        <v>0</v>
      </c>
      <c r="C3" s="2">
        <v>18</v>
      </c>
      <c r="E3" s="48">
        <f t="shared" ref="E3:E9" si="0">(A3-$B$11)/$B$12</f>
        <v>-1</v>
      </c>
      <c r="F3" s="79">
        <f t="shared" ref="F3:F9" si="1">(B3-$B$14)/$B$15</f>
        <v>-1</v>
      </c>
      <c r="G3" s="2">
        <f t="shared" ref="G3:G9" si="2">E3*F3</f>
        <v>1</v>
      </c>
      <c r="H3" s="2">
        <v>18</v>
      </c>
      <c r="K3" t="s">
        <v>69</v>
      </c>
      <c r="O3" s="13"/>
      <c r="P3" s="13"/>
      <c r="Q3" s="12"/>
      <c r="R3" s="12"/>
      <c r="S3" s="12"/>
      <c r="T3" s="12"/>
      <c r="U3" s="12"/>
      <c r="V3" s="12"/>
      <c r="W3" s="12"/>
    </row>
    <row r="4" spans="1:23" x14ac:dyDescent="0.25">
      <c r="A4" s="2">
        <v>1</v>
      </c>
      <c r="B4" s="2">
        <v>12</v>
      </c>
      <c r="C4" s="2">
        <v>40</v>
      </c>
      <c r="E4" s="48">
        <f>(A4-$B$11)/$B$12</f>
        <v>-1</v>
      </c>
      <c r="F4" s="79">
        <f t="shared" si="1"/>
        <v>1</v>
      </c>
      <c r="G4" s="2">
        <f t="shared" si="2"/>
        <v>-1</v>
      </c>
      <c r="H4" s="2">
        <v>40</v>
      </c>
      <c r="K4" t="s">
        <v>114</v>
      </c>
      <c r="O4" s="3"/>
      <c r="P4" s="3"/>
      <c r="Q4" s="12"/>
      <c r="R4" s="12"/>
      <c r="S4" s="12"/>
      <c r="T4" s="12"/>
      <c r="U4" s="12"/>
      <c r="V4" s="12"/>
      <c r="W4" s="12"/>
    </row>
    <row r="5" spans="1:23" x14ac:dyDescent="0.25">
      <c r="A5" s="2">
        <v>1</v>
      </c>
      <c r="B5" s="2">
        <v>0</v>
      </c>
      <c r="C5" s="2">
        <v>20</v>
      </c>
      <c r="E5" s="48">
        <f t="shared" si="0"/>
        <v>-1</v>
      </c>
      <c r="F5" s="79">
        <f t="shared" si="1"/>
        <v>-1</v>
      </c>
      <c r="G5" s="2">
        <f t="shared" si="2"/>
        <v>1</v>
      </c>
      <c r="H5" s="2">
        <v>20</v>
      </c>
      <c r="K5" t="s">
        <v>115</v>
      </c>
      <c r="O5" s="3"/>
      <c r="P5" s="3"/>
      <c r="Q5" s="12"/>
      <c r="R5" s="12"/>
      <c r="S5" s="12"/>
      <c r="T5" s="12"/>
      <c r="U5" s="12"/>
      <c r="V5" s="12"/>
      <c r="W5" s="12"/>
    </row>
    <row r="6" spans="1:23" x14ac:dyDescent="0.25">
      <c r="A6" s="2">
        <v>1</v>
      </c>
      <c r="B6" s="2">
        <v>12</v>
      </c>
      <c r="C6" s="2">
        <v>39</v>
      </c>
      <c r="E6" s="48">
        <f t="shared" si="0"/>
        <v>-1</v>
      </c>
      <c r="F6" s="79">
        <f t="shared" si="1"/>
        <v>1</v>
      </c>
      <c r="G6" s="2">
        <f t="shared" si="2"/>
        <v>-1</v>
      </c>
      <c r="H6" s="2">
        <v>39</v>
      </c>
      <c r="O6" s="3"/>
      <c r="P6" s="3"/>
      <c r="Q6" s="12"/>
      <c r="R6" s="12"/>
      <c r="S6" s="12"/>
      <c r="T6" s="12"/>
      <c r="U6" s="12"/>
      <c r="V6" s="12"/>
      <c r="W6" s="12"/>
    </row>
    <row r="7" spans="1:23" x14ac:dyDescent="0.25">
      <c r="A7" s="2">
        <v>51</v>
      </c>
      <c r="B7" s="2">
        <v>0</v>
      </c>
      <c r="C7" s="2">
        <v>29</v>
      </c>
      <c r="E7" s="48">
        <f t="shared" si="0"/>
        <v>1</v>
      </c>
      <c r="F7" s="79">
        <f t="shared" si="1"/>
        <v>-1</v>
      </c>
      <c r="G7" s="2">
        <f t="shared" si="2"/>
        <v>-1</v>
      </c>
      <c r="H7" s="2">
        <v>29</v>
      </c>
      <c r="O7" s="3"/>
      <c r="P7" s="3"/>
      <c r="Q7" s="12"/>
      <c r="R7" s="12"/>
      <c r="S7" s="12"/>
      <c r="T7" s="12"/>
      <c r="U7" s="12"/>
      <c r="V7" s="12"/>
      <c r="W7" s="12"/>
    </row>
    <row r="8" spans="1:23" x14ac:dyDescent="0.25">
      <c r="A8" s="2">
        <v>51</v>
      </c>
      <c r="B8" s="2">
        <v>12</v>
      </c>
      <c r="C8" s="2">
        <v>95</v>
      </c>
      <c r="E8" s="48">
        <f t="shared" si="0"/>
        <v>1</v>
      </c>
      <c r="F8" s="79">
        <f t="shared" si="1"/>
        <v>1</v>
      </c>
      <c r="G8" s="2">
        <f t="shared" si="2"/>
        <v>1</v>
      </c>
      <c r="H8" s="2">
        <v>95</v>
      </c>
      <c r="O8" s="3"/>
      <c r="P8" s="3"/>
      <c r="Q8" s="12"/>
      <c r="R8" s="12"/>
      <c r="S8" s="12"/>
      <c r="T8" s="12"/>
      <c r="U8" s="12"/>
      <c r="V8" s="12"/>
      <c r="W8" s="12"/>
    </row>
    <row r="9" spans="1:23" x14ac:dyDescent="0.25">
      <c r="A9" s="2">
        <v>51</v>
      </c>
      <c r="B9" s="2">
        <v>0</v>
      </c>
      <c r="C9" s="2">
        <v>30</v>
      </c>
      <c r="E9" s="48">
        <f t="shared" si="0"/>
        <v>1</v>
      </c>
      <c r="F9" s="79">
        <f t="shared" si="1"/>
        <v>-1</v>
      </c>
      <c r="G9" s="2">
        <f t="shared" si="2"/>
        <v>-1</v>
      </c>
      <c r="H9" s="2">
        <v>30</v>
      </c>
      <c r="O9" s="12"/>
      <c r="P9" s="12"/>
      <c r="Q9" s="12"/>
      <c r="R9" s="12"/>
      <c r="S9" s="12"/>
      <c r="T9" s="12"/>
      <c r="U9" s="12"/>
      <c r="V9" s="12"/>
      <c r="W9" s="12"/>
    </row>
    <row r="10" spans="1:23" x14ac:dyDescent="0.25">
      <c r="A10" t="s">
        <v>46</v>
      </c>
      <c r="O10" s="12"/>
      <c r="P10" s="12"/>
      <c r="Q10" s="12"/>
      <c r="R10" s="12"/>
      <c r="S10" s="12"/>
      <c r="T10" s="12"/>
      <c r="U10" s="12"/>
      <c r="V10" s="12"/>
      <c r="W10" s="12"/>
    </row>
    <row r="11" spans="1:23" x14ac:dyDescent="0.25">
      <c r="A11" s="1" t="s">
        <v>5</v>
      </c>
      <c r="B11">
        <f>(1+51)/2</f>
        <v>26</v>
      </c>
      <c r="D11" s="1" t="s">
        <v>48</v>
      </c>
      <c r="E11" s="45">
        <v>1</v>
      </c>
      <c r="F11" s="49">
        <v>1</v>
      </c>
      <c r="G11" s="80">
        <v>1</v>
      </c>
      <c r="H11" s="21">
        <v>1</v>
      </c>
      <c r="J11" s="1" t="s">
        <v>70</v>
      </c>
      <c r="K11" s="27">
        <v>100</v>
      </c>
      <c r="O11" s="14"/>
      <c r="P11" s="14"/>
      <c r="Q11" s="14"/>
      <c r="R11" s="14"/>
      <c r="S11" s="14"/>
      <c r="T11" s="14"/>
      <c r="U11" s="12"/>
      <c r="V11" s="12"/>
      <c r="W11" s="12"/>
    </row>
    <row r="12" spans="1:23" x14ac:dyDescent="0.25">
      <c r="A12" s="1" t="s">
        <v>6</v>
      </c>
      <c r="B12">
        <f>(51-1)/2</f>
        <v>25</v>
      </c>
      <c r="E12" s="46">
        <v>1</v>
      </c>
      <c r="F12" s="50">
        <v>-1</v>
      </c>
      <c r="G12" s="57">
        <v>-1</v>
      </c>
      <c r="H12" s="23">
        <v>1</v>
      </c>
      <c r="K12" s="28">
        <v>18</v>
      </c>
      <c r="O12" s="3"/>
      <c r="P12" s="3"/>
      <c r="Q12" s="3"/>
      <c r="R12" s="3"/>
      <c r="S12" s="3"/>
      <c r="T12" s="3"/>
      <c r="U12" s="12"/>
      <c r="V12" s="12"/>
      <c r="W12" s="12"/>
    </row>
    <row r="13" spans="1:23" x14ac:dyDescent="0.25">
      <c r="A13" t="s">
        <v>47</v>
      </c>
      <c r="E13" s="46">
        <v>1</v>
      </c>
      <c r="F13" s="50">
        <v>-1</v>
      </c>
      <c r="G13" s="57">
        <v>1</v>
      </c>
      <c r="H13" s="23">
        <v>-1</v>
      </c>
      <c r="K13" s="28">
        <v>40</v>
      </c>
      <c r="O13" s="3"/>
      <c r="P13" s="3"/>
      <c r="Q13" s="3"/>
      <c r="R13" s="3"/>
      <c r="S13" s="3"/>
      <c r="T13" s="3"/>
      <c r="U13" s="12"/>
      <c r="V13" s="12"/>
      <c r="W13" s="12"/>
    </row>
    <row r="14" spans="1:23" x14ac:dyDescent="0.25">
      <c r="A14" s="1" t="s">
        <v>7</v>
      </c>
      <c r="B14">
        <f>(0+12)/2</f>
        <v>6</v>
      </c>
      <c r="E14" s="46">
        <v>1</v>
      </c>
      <c r="F14" s="50">
        <v>-1</v>
      </c>
      <c r="G14" s="57">
        <v>-1</v>
      </c>
      <c r="H14" s="23">
        <v>1</v>
      </c>
      <c r="K14" s="28">
        <v>20</v>
      </c>
      <c r="O14" s="3"/>
      <c r="P14" s="3"/>
      <c r="Q14" s="3"/>
      <c r="R14" s="3"/>
      <c r="S14" s="3"/>
      <c r="T14" s="3"/>
      <c r="U14" s="12"/>
      <c r="V14" s="12"/>
      <c r="W14" s="12"/>
    </row>
    <row r="15" spans="1:23" x14ac:dyDescent="0.25">
      <c r="A15" s="1" t="s">
        <v>8</v>
      </c>
      <c r="B15">
        <f>(12-0)/2</f>
        <v>6</v>
      </c>
      <c r="E15" s="46">
        <v>1</v>
      </c>
      <c r="F15" s="50">
        <v>-1</v>
      </c>
      <c r="G15" s="57">
        <v>1</v>
      </c>
      <c r="H15" s="23">
        <v>-1</v>
      </c>
      <c r="K15" s="28">
        <v>39</v>
      </c>
      <c r="O15" s="12"/>
      <c r="P15" s="12"/>
      <c r="Q15" s="12"/>
      <c r="R15" s="12"/>
      <c r="S15" s="12"/>
      <c r="T15" s="12"/>
      <c r="U15" s="12"/>
      <c r="V15" s="12"/>
      <c r="W15" s="12"/>
    </row>
    <row r="16" spans="1:23" x14ac:dyDescent="0.25">
      <c r="E16" s="46">
        <v>1</v>
      </c>
      <c r="F16" s="50">
        <v>1</v>
      </c>
      <c r="G16" s="57">
        <v>-1</v>
      </c>
      <c r="H16" s="23">
        <v>-1</v>
      </c>
      <c r="K16" s="28">
        <v>29</v>
      </c>
      <c r="O16" s="14"/>
      <c r="P16" s="43"/>
      <c r="Q16" s="14"/>
      <c r="R16" s="14"/>
      <c r="S16" s="14"/>
      <c r="T16" s="14"/>
      <c r="U16" s="14"/>
      <c r="V16" s="14"/>
      <c r="W16" s="14"/>
    </row>
    <row r="17" spans="1:23" x14ac:dyDescent="0.25">
      <c r="E17" s="46">
        <v>1</v>
      </c>
      <c r="F17" s="50">
        <v>1</v>
      </c>
      <c r="G17" s="57">
        <v>1</v>
      </c>
      <c r="H17" s="23">
        <v>1</v>
      </c>
      <c r="K17" s="28">
        <v>95</v>
      </c>
      <c r="O17" s="3"/>
      <c r="P17" s="43"/>
      <c r="Q17" s="16"/>
      <c r="R17" s="16"/>
      <c r="S17" s="3"/>
      <c r="T17" s="3"/>
      <c r="U17" s="3"/>
      <c r="V17" s="3"/>
      <c r="W17" s="3"/>
    </row>
    <row r="18" spans="1:23" x14ac:dyDescent="0.25">
      <c r="E18" s="47">
        <v>1</v>
      </c>
      <c r="F18" s="51">
        <v>1</v>
      </c>
      <c r="G18" s="81">
        <v>-1</v>
      </c>
      <c r="H18" s="26">
        <v>-1</v>
      </c>
      <c r="K18" s="29">
        <v>30</v>
      </c>
      <c r="O18" s="3"/>
      <c r="P18" s="3"/>
      <c r="Q18" s="3"/>
      <c r="R18" s="3"/>
      <c r="S18" s="3"/>
      <c r="T18" s="3"/>
      <c r="U18" s="3"/>
      <c r="V18" s="3"/>
      <c r="W18" s="3"/>
    </row>
    <row r="19" spans="1:23" x14ac:dyDescent="0.25">
      <c r="O19" s="3"/>
      <c r="P19" s="3"/>
      <c r="Q19" s="3"/>
      <c r="R19" s="3"/>
      <c r="S19" s="3"/>
      <c r="T19" s="3"/>
      <c r="U19" s="3"/>
      <c r="V19" s="3"/>
      <c r="W19" s="3"/>
    </row>
    <row r="20" spans="1:23" x14ac:dyDescent="0.25">
      <c r="D20" s="1" t="s">
        <v>49</v>
      </c>
      <c r="E20" s="45">
        <f t="array" ref="E20:L23">TRANSPOSE(E11:H18)</f>
        <v>1</v>
      </c>
      <c r="F20" s="53">
        <v>1</v>
      </c>
      <c r="G20" s="53">
        <v>1</v>
      </c>
      <c r="H20" s="53">
        <v>1</v>
      </c>
      <c r="I20" s="53">
        <v>1</v>
      </c>
      <c r="J20" s="53">
        <v>1</v>
      </c>
      <c r="K20" s="53">
        <v>1</v>
      </c>
      <c r="L20" s="54">
        <v>1</v>
      </c>
      <c r="O20" s="3"/>
      <c r="P20" s="3"/>
      <c r="Q20" s="3"/>
      <c r="R20" s="3"/>
      <c r="S20" s="3"/>
      <c r="T20" s="3"/>
      <c r="U20" s="3"/>
      <c r="V20" s="3"/>
      <c r="W20" s="3"/>
    </row>
    <row r="21" spans="1:23" x14ac:dyDescent="0.25">
      <c r="E21" s="44">
        <v>1</v>
      </c>
      <c r="F21" s="50">
        <v>-1</v>
      </c>
      <c r="G21" s="50">
        <v>-1</v>
      </c>
      <c r="H21" s="50">
        <v>-1</v>
      </c>
      <c r="I21" s="50">
        <v>-1</v>
      </c>
      <c r="J21" s="50">
        <v>1</v>
      </c>
      <c r="K21" s="50">
        <v>1</v>
      </c>
      <c r="L21" s="55">
        <v>1</v>
      </c>
    </row>
    <row r="22" spans="1:23" x14ac:dyDescent="0.25">
      <c r="E22" s="56">
        <v>1</v>
      </c>
      <c r="F22" s="57">
        <v>-1</v>
      </c>
      <c r="G22" s="57">
        <v>1</v>
      </c>
      <c r="H22" s="57">
        <v>-1</v>
      </c>
      <c r="I22" s="57">
        <v>1</v>
      </c>
      <c r="J22" s="57">
        <v>-1</v>
      </c>
      <c r="K22" s="57">
        <v>1</v>
      </c>
      <c r="L22" s="58">
        <v>-1</v>
      </c>
    </row>
    <row r="23" spans="1:23" x14ac:dyDescent="0.25">
      <c r="E23" s="24">
        <v>1</v>
      </c>
      <c r="F23" s="25">
        <v>1</v>
      </c>
      <c r="G23" s="25">
        <v>-1</v>
      </c>
      <c r="H23" s="25">
        <v>1</v>
      </c>
      <c r="I23" s="25">
        <v>-1</v>
      </c>
      <c r="J23" s="25">
        <v>-1</v>
      </c>
      <c r="K23" s="25">
        <v>1</v>
      </c>
      <c r="L23" s="26">
        <v>-1</v>
      </c>
    </row>
    <row r="25" spans="1:23" x14ac:dyDescent="0.25">
      <c r="D25" s="1" t="s">
        <v>51</v>
      </c>
      <c r="E25" s="27">
        <f t="array" ref="E25:E28">MMULT(E20:L23,K11:K18)</f>
        <v>371</v>
      </c>
      <c r="G25" s="1" t="s">
        <v>50</v>
      </c>
      <c r="H25" s="30">
        <f>1/8*E25</f>
        <v>46.375</v>
      </c>
    </row>
    <row r="26" spans="1:23" x14ac:dyDescent="0.25">
      <c r="E26" s="28">
        <v>137</v>
      </c>
      <c r="H26" s="31">
        <f>1/8*E26</f>
        <v>17.125</v>
      </c>
    </row>
    <row r="27" spans="1:23" x14ac:dyDescent="0.25">
      <c r="E27" s="28">
        <v>177</v>
      </c>
      <c r="H27" s="31">
        <f>1/8*E27</f>
        <v>22.125</v>
      </c>
    </row>
    <row r="28" spans="1:23" x14ac:dyDescent="0.25">
      <c r="E28" s="29">
        <v>95</v>
      </c>
      <c r="H28" s="32">
        <f>1/8*E28</f>
        <v>11.875</v>
      </c>
    </row>
    <row r="29" spans="1:23" x14ac:dyDescent="0.25">
      <c r="A29" t="s">
        <v>102</v>
      </c>
      <c r="E29" s="15"/>
      <c r="H29" s="52"/>
    </row>
    <row r="30" spans="1:23" x14ac:dyDescent="0.25">
      <c r="A30" t="s">
        <v>14</v>
      </c>
      <c r="M30" t="s">
        <v>14</v>
      </c>
    </row>
    <row r="31" spans="1:23" ht="15.75" thickBot="1" x14ac:dyDescent="0.3"/>
    <row r="32" spans="1:23" x14ac:dyDescent="0.25">
      <c r="A32" s="6" t="s">
        <v>15</v>
      </c>
      <c r="B32" s="6"/>
      <c r="M32" s="6" t="s">
        <v>15</v>
      </c>
      <c r="N32" s="6"/>
    </row>
    <row r="33" spans="1:21" x14ac:dyDescent="0.25">
      <c r="A33" s="3" t="s">
        <v>16</v>
      </c>
      <c r="B33" s="3">
        <v>0.99895298539245114</v>
      </c>
      <c r="M33" s="3" t="s">
        <v>16</v>
      </c>
      <c r="N33" s="3">
        <v>0.99895298539245114</v>
      </c>
    </row>
    <row r="34" spans="1:21" x14ac:dyDescent="0.25">
      <c r="A34" s="3" t="s">
        <v>17</v>
      </c>
      <c r="B34" s="3">
        <v>0.99790706702449072</v>
      </c>
      <c r="M34" s="3" t="s">
        <v>17</v>
      </c>
      <c r="N34" s="3">
        <v>0.99790706702449072</v>
      </c>
    </row>
    <row r="35" spans="1:21" x14ac:dyDescent="0.25">
      <c r="A35" s="3" t="s">
        <v>18</v>
      </c>
      <c r="B35" s="3">
        <v>0.99633736729285882</v>
      </c>
      <c r="M35" s="3" t="s">
        <v>18</v>
      </c>
      <c r="N35" s="3">
        <v>0.99633736729285882</v>
      </c>
    </row>
    <row r="36" spans="1:21" x14ac:dyDescent="0.25">
      <c r="A36" s="3" t="s">
        <v>19</v>
      </c>
      <c r="B36" s="3">
        <v>1.9685019685029506</v>
      </c>
      <c r="M36" s="3" t="s">
        <v>19</v>
      </c>
      <c r="N36" s="3">
        <v>1.9685019685029506</v>
      </c>
    </row>
    <row r="37" spans="1:21" ht="15.75" thickBot="1" x14ac:dyDescent="0.3">
      <c r="A37" s="4" t="s">
        <v>20</v>
      </c>
      <c r="B37" s="4">
        <v>8</v>
      </c>
      <c r="M37" s="4" t="s">
        <v>20</v>
      </c>
      <c r="N37" s="4">
        <v>8</v>
      </c>
    </row>
    <row r="39" spans="1:21" ht="15.75" thickBot="1" x14ac:dyDescent="0.3">
      <c r="A39" t="s">
        <v>21</v>
      </c>
      <c r="M39" t="s">
        <v>21</v>
      </c>
    </row>
    <row r="40" spans="1:21" x14ac:dyDescent="0.25">
      <c r="A40" s="5"/>
      <c r="B40" s="5" t="s">
        <v>26</v>
      </c>
      <c r="C40" s="5" t="s">
        <v>27</v>
      </c>
      <c r="D40" s="5" t="s">
        <v>28</v>
      </c>
      <c r="E40" s="5" t="s">
        <v>29</v>
      </c>
      <c r="F40" s="5" t="s">
        <v>30</v>
      </c>
      <c r="M40" s="5"/>
      <c r="N40" s="5" t="s">
        <v>26</v>
      </c>
      <c r="O40" s="5" t="s">
        <v>27</v>
      </c>
      <c r="P40" s="5" t="s">
        <v>28</v>
      </c>
      <c r="Q40" s="5" t="s">
        <v>29</v>
      </c>
      <c r="R40" s="5" t="s">
        <v>30</v>
      </c>
    </row>
    <row r="41" spans="1:21" x14ac:dyDescent="0.25">
      <c r="A41" s="3" t="s">
        <v>22</v>
      </c>
      <c r="B41" s="3">
        <v>3</v>
      </c>
      <c r="C41" s="3">
        <v>7390.375</v>
      </c>
      <c r="D41" s="3">
        <v>2463.4583333333335</v>
      </c>
      <c r="E41" s="3">
        <v>635.73118279570042</v>
      </c>
      <c r="F41" s="3">
        <v>8.207458688546519E-6</v>
      </c>
      <c r="M41" s="3" t="s">
        <v>22</v>
      </c>
      <c r="N41" s="3">
        <v>3</v>
      </c>
      <c r="O41" s="3">
        <v>7390.375</v>
      </c>
      <c r="P41" s="3">
        <v>2463.4583333333335</v>
      </c>
      <c r="Q41" s="3">
        <v>635.73118279570042</v>
      </c>
      <c r="R41" s="3">
        <v>8.207458688546519E-6</v>
      </c>
    </row>
    <row r="42" spans="1:21" x14ac:dyDescent="0.25">
      <c r="A42" s="3" t="s">
        <v>23</v>
      </c>
      <c r="B42" s="3">
        <v>4</v>
      </c>
      <c r="C42" s="3">
        <v>15.499999999999964</v>
      </c>
      <c r="D42" s="3">
        <v>3.8749999999999911</v>
      </c>
      <c r="E42" s="3"/>
      <c r="F42" s="3"/>
      <c r="M42" s="3" t="s">
        <v>23</v>
      </c>
      <c r="N42" s="3">
        <v>4</v>
      </c>
      <c r="O42" s="3">
        <v>15.499999999999964</v>
      </c>
      <c r="P42" s="3">
        <v>3.8749999999999911</v>
      </c>
      <c r="Q42" s="3"/>
      <c r="R42" s="3"/>
    </row>
    <row r="43" spans="1:21" ht="15.75" thickBot="1" x14ac:dyDescent="0.3">
      <c r="A43" s="4" t="s">
        <v>24</v>
      </c>
      <c r="B43" s="4">
        <v>7</v>
      </c>
      <c r="C43" s="4">
        <v>7405.875</v>
      </c>
      <c r="D43" s="4"/>
      <c r="E43" s="4"/>
      <c r="F43" s="4"/>
      <c r="M43" s="4" t="s">
        <v>24</v>
      </c>
      <c r="N43" s="4">
        <v>7</v>
      </c>
      <c r="O43" s="4">
        <v>7405.875</v>
      </c>
      <c r="P43" s="4"/>
      <c r="Q43" s="4"/>
      <c r="R43" s="4"/>
    </row>
    <row r="44" spans="1:21" ht="15.75" thickBot="1" x14ac:dyDescent="0.3"/>
    <row r="45" spans="1:21" x14ac:dyDescent="0.25">
      <c r="A45" s="5"/>
      <c r="B45" s="5" t="s">
        <v>31</v>
      </c>
      <c r="C45" s="5" t="s">
        <v>19</v>
      </c>
      <c r="D45" s="5" t="s">
        <v>32</v>
      </c>
      <c r="E45" s="5" t="s">
        <v>33</v>
      </c>
      <c r="F45" s="5" t="s">
        <v>34</v>
      </c>
      <c r="G45" s="5" t="s">
        <v>35</v>
      </c>
      <c r="H45" s="5" t="s">
        <v>36</v>
      </c>
      <c r="I45" s="5" t="s">
        <v>37</v>
      </c>
      <c r="M45" s="5"/>
      <c r="N45" s="5" t="s">
        <v>31</v>
      </c>
      <c r="O45" s="5" t="s">
        <v>19</v>
      </c>
      <c r="P45" s="5" t="s">
        <v>32</v>
      </c>
      <c r="Q45" s="5" t="s">
        <v>33</v>
      </c>
      <c r="R45" s="5" t="s">
        <v>34</v>
      </c>
      <c r="S45" s="5" t="s">
        <v>35</v>
      </c>
      <c r="T45" s="5" t="s">
        <v>41</v>
      </c>
      <c r="U45" s="5" t="s">
        <v>42</v>
      </c>
    </row>
    <row r="46" spans="1:21" x14ac:dyDescent="0.25">
      <c r="A46" s="3" t="s">
        <v>25</v>
      </c>
      <c r="B46" s="7">
        <v>46.375</v>
      </c>
      <c r="C46" s="3">
        <v>0.69597054535375191</v>
      </c>
      <c r="D46" s="3">
        <v>66.633567051933568</v>
      </c>
      <c r="E46" s="3">
        <v>3.0389754509938534E-7</v>
      </c>
      <c r="F46" s="3">
        <v>44.442675985990739</v>
      </c>
      <c r="G46" s="3">
        <v>48.307324014009261</v>
      </c>
      <c r="H46" s="3">
        <v>43.170685581526136</v>
      </c>
      <c r="I46" s="3">
        <v>49.579314418473864</v>
      </c>
      <c r="M46" s="3" t="s">
        <v>25</v>
      </c>
      <c r="N46" s="3">
        <v>46.375</v>
      </c>
      <c r="O46" s="3">
        <v>0.69597054535375191</v>
      </c>
      <c r="P46" s="3">
        <v>66.633567051933568</v>
      </c>
      <c r="Q46" s="3">
        <v>3.0389754509938534E-7</v>
      </c>
      <c r="R46" s="3">
        <v>44.442675985990739</v>
      </c>
      <c r="S46" s="3">
        <v>48.307324014009261</v>
      </c>
      <c r="T46" s="3">
        <v>44.442675985990739</v>
      </c>
      <c r="U46" s="3">
        <v>48.307324014009261</v>
      </c>
    </row>
    <row r="47" spans="1:21" x14ac:dyDescent="0.25">
      <c r="A47" s="3" t="s">
        <v>3</v>
      </c>
      <c r="B47" s="7">
        <v>17.124999999999993</v>
      </c>
      <c r="C47" s="3">
        <v>0.6959705453537518</v>
      </c>
      <c r="D47" s="3">
        <v>24.605926377668183</v>
      </c>
      <c r="E47" s="3">
        <v>1.6189200370291594E-5</v>
      </c>
      <c r="F47" s="3">
        <v>15.19267598599073</v>
      </c>
      <c r="G47" s="3">
        <v>19.057324014009257</v>
      </c>
      <c r="H47" s="3">
        <v>13.920685581526126</v>
      </c>
      <c r="I47" s="3">
        <v>20.32931441847386</v>
      </c>
      <c r="M47" s="3" t="s">
        <v>3</v>
      </c>
      <c r="N47" s="3">
        <v>17.124999999999993</v>
      </c>
      <c r="O47" s="3">
        <v>0.6959705453537518</v>
      </c>
      <c r="P47" s="3">
        <v>24.605926377668183</v>
      </c>
      <c r="Q47" s="3">
        <v>1.6189200370291594E-5</v>
      </c>
      <c r="R47" s="3">
        <v>15.19267598599073</v>
      </c>
      <c r="S47" s="3">
        <v>19.057324014009257</v>
      </c>
      <c r="T47" s="3">
        <v>15.19267598599073</v>
      </c>
      <c r="U47" s="3">
        <v>19.057324014009257</v>
      </c>
    </row>
    <row r="48" spans="1:21" x14ac:dyDescent="0.25">
      <c r="A48" s="3" t="s">
        <v>4</v>
      </c>
      <c r="B48" s="7">
        <v>22.125</v>
      </c>
      <c r="C48" s="3">
        <v>0.69597054535375191</v>
      </c>
      <c r="D48" s="3">
        <v>31.790138458739197</v>
      </c>
      <c r="E48" s="3">
        <v>5.8360916069152946E-6</v>
      </c>
      <c r="F48" s="3">
        <v>20.192675985990736</v>
      </c>
      <c r="G48" s="3">
        <v>24.057324014009264</v>
      </c>
      <c r="H48" s="3">
        <v>18.920685581526133</v>
      </c>
      <c r="I48" s="3">
        <v>25.329314418473867</v>
      </c>
      <c r="M48" s="3" t="s">
        <v>4</v>
      </c>
      <c r="N48" s="3">
        <v>22.125</v>
      </c>
      <c r="O48" s="3">
        <v>0.69597054535375191</v>
      </c>
      <c r="P48" s="3">
        <v>31.790138458739197</v>
      </c>
      <c r="Q48" s="3">
        <v>5.8360916069152946E-6</v>
      </c>
      <c r="R48" s="3">
        <v>20.192675985990736</v>
      </c>
      <c r="S48" s="3">
        <v>24.057324014009264</v>
      </c>
      <c r="T48" s="3">
        <v>20.192675985990736</v>
      </c>
      <c r="U48" s="3">
        <v>24.057324014009264</v>
      </c>
    </row>
    <row r="49" spans="1:21" ht="15.75" thickBot="1" x14ac:dyDescent="0.3">
      <c r="A49" s="4" t="s">
        <v>13</v>
      </c>
      <c r="B49" s="8">
        <v>11.875</v>
      </c>
      <c r="C49" s="4">
        <v>0.69597054535375191</v>
      </c>
      <c r="D49" s="4">
        <v>17.062503692543636</v>
      </c>
      <c r="E49" s="4">
        <v>6.9199036162704571E-5</v>
      </c>
      <c r="F49" s="4">
        <v>9.9426759859907357</v>
      </c>
      <c r="G49" s="4">
        <v>13.807324014009264</v>
      </c>
      <c r="H49" s="4">
        <v>8.6706855815261328</v>
      </c>
      <c r="I49" s="4">
        <v>15.079314418473867</v>
      </c>
      <c r="M49" s="4" t="s">
        <v>13</v>
      </c>
      <c r="N49" s="4">
        <v>11.875</v>
      </c>
      <c r="O49" s="4">
        <v>0.69597054535375191</v>
      </c>
      <c r="P49" s="4">
        <v>17.062503692543636</v>
      </c>
      <c r="Q49" s="4">
        <v>6.9199036162704571E-5</v>
      </c>
      <c r="R49" s="4">
        <v>9.9426759859907357</v>
      </c>
      <c r="S49" s="4">
        <v>13.807324014009264</v>
      </c>
      <c r="T49" s="4">
        <v>9.9426759859907357</v>
      </c>
      <c r="U49" s="4">
        <v>13.807324014009264</v>
      </c>
    </row>
    <row r="50" spans="1:21" x14ac:dyDescent="0.25">
      <c r="A50" s="7" t="s">
        <v>56</v>
      </c>
      <c r="B50" s="17">
        <f>B46</f>
        <v>46.375</v>
      </c>
      <c r="C50" s="17" t="s">
        <v>57</v>
      </c>
      <c r="D50" s="17">
        <f>B47</f>
        <v>17.124999999999993</v>
      </c>
      <c r="E50" s="17" t="s">
        <v>58</v>
      </c>
      <c r="F50" s="17">
        <f>B48</f>
        <v>22.125</v>
      </c>
      <c r="G50" s="17" t="s">
        <v>59</v>
      </c>
      <c r="H50" s="17">
        <f>B49</f>
        <v>11.875</v>
      </c>
      <c r="I50" s="17" t="s">
        <v>60</v>
      </c>
    </row>
    <row r="51" spans="1:21" x14ac:dyDescent="0.25">
      <c r="A51" t="s">
        <v>103</v>
      </c>
      <c r="B51" s="17">
        <v>46.375</v>
      </c>
      <c r="C51" t="s">
        <v>57</v>
      </c>
      <c r="D51" s="17">
        <v>17.124999999999993</v>
      </c>
      <c r="E51" t="s">
        <v>71</v>
      </c>
      <c r="F51" s="17">
        <v>22.125</v>
      </c>
      <c r="G51" t="s">
        <v>72</v>
      </c>
      <c r="H51" s="17">
        <v>11.875</v>
      </c>
      <c r="I51" t="s">
        <v>73</v>
      </c>
    </row>
    <row r="53" spans="1:21" x14ac:dyDescent="0.25">
      <c r="A53" t="s">
        <v>78</v>
      </c>
      <c r="B53">
        <f>B51+D51*(-26/25)+F51*(-1)+H51*(26*6/(25*6))</f>
        <v>18.790000000000006</v>
      </c>
      <c r="C53" t="s">
        <v>74</v>
      </c>
      <c r="D53">
        <f>D51/25+H51*(-6)/(25*6)</f>
        <v>0.20999999999999974</v>
      </c>
      <c r="E53" t="s">
        <v>75</v>
      </c>
      <c r="F53">
        <f>F51/6+H51*(-26)/(25*6)</f>
        <v>1.6291666666666669</v>
      </c>
      <c r="G53" t="s">
        <v>76</v>
      </c>
      <c r="H53">
        <f>H51/(25*6)</f>
        <v>7.9166666666666663E-2</v>
      </c>
      <c r="I53" t="s">
        <v>77</v>
      </c>
    </row>
  </sheetData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80"/>
  <sheetViews>
    <sheetView zoomScale="175" zoomScaleNormal="175" workbookViewId="0">
      <selection activeCell="I36" sqref="I36"/>
    </sheetView>
  </sheetViews>
  <sheetFormatPr defaultRowHeight="15" x14ac:dyDescent="0.25"/>
  <cols>
    <col min="1" max="1" width="14.7109375" customWidth="1"/>
    <col min="2" max="2" width="13" bestFit="1" customWidth="1"/>
    <col min="4" max="4" width="11.42578125" bestFit="1" customWidth="1"/>
    <col min="5" max="5" width="12.42578125" bestFit="1" customWidth="1"/>
    <col min="8" max="8" width="12.42578125" bestFit="1" customWidth="1"/>
    <col min="9" max="9" width="13" bestFit="1" customWidth="1"/>
  </cols>
  <sheetData>
    <row r="1" spans="1:5" x14ac:dyDescent="0.25">
      <c r="B1" s="2" t="s">
        <v>3</v>
      </c>
      <c r="C1" s="2" t="s">
        <v>4</v>
      </c>
      <c r="D1" s="2" t="s">
        <v>13</v>
      </c>
      <c r="E1" s="2" t="s">
        <v>2</v>
      </c>
    </row>
    <row r="2" spans="1:5" x14ac:dyDescent="0.25">
      <c r="A2" t="s">
        <v>9</v>
      </c>
      <c r="B2" s="2">
        <v>-1</v>
      </c>
      <c r="C2" s="2">
        <v>-1</v>
      </c>
      <c r="D2" s="2">
        <f>B2*C2</f>
        <v>1</v>
      </c>
      <c r="E2" s="2">
        <v>18</v>
      </c>
    </row>
    <row r="3" spans="1:5" x14ac:dyDescent="0.25">
      <c r="B3" s="2">
        <v>-1</v>
      </c>
      <c r="C3" s="2">
        <v>-1</v>
      </c>
      <c r="D3" s="2">
        <f t="shared" ref="D3:D9" si="0">B3*C3</f>
        <v>1</v>
      </c>
      <c r="E3" s="2">
        <v>20</v>
      </c>
    </row>
    <row r="4" spans="1:5" x14ac:dyDescent="0.25">
      <c r="A4" t="s">
        <v>10</v>
      </c>
      <c r="B4" s="2">
        <v>-1</v>
      </c>
      <c r="C4" s="2">
        <v>1</v>
      </c>
      <c r="D4" s="2">
        <f t="shared" si="0"/>
        <v>-1</v>
      </c>
      <c r="E4" s="2">
        <v>40</v>
      </c>
    </row>
    <row r="5" spans="1:5" x14ac:dyDescent="0.25">
      <c r="B5" s="2">
        <v>-1</v>
      </c>
      <c r="C5" s="2">
        <v>1</v>
      </c>
      <c r="D5" s="2">
        <f t="shared" si="0"/>
        <v>-1</v>
      </c>
      <c r="E5" s="2">
        <v>39</v>
      </c>
    </row>
    <row r="6" spans="1:5" x14ac:dyDescent="0.25">
      <c r="A6" t="s">
        <v>11</v>
      </c>
      <c r="B6" s="2">
        <v>1</v>
      </c>
      <c r="C6" s="2">
        <v>-1</v>
      </c>
      <c r="D6" s="2">
        <f t="shared" si="0"/>
        <v>-1</v>
      </c>
      <c r="E6" s="2">
        <v>29</v>
      </c>
    </row>
    <row r="7" spans="1:5" x14ac:dyDescent="0.25">
      <c r="B7" s="2">
        <v>1</v>
      </c>
      <c r="C7" s="2">
        <v>-1</v>
      </c>
      <c r="D7" s="2">
        <f t="shared" si="0"/>
        <v>-1</v>
      </c>
      <c r="E7" s="2">
        <v>30</v>
      </c>
    </row>
    <row r="8" spans="1:5" x14ac:dyDescent="0.25">
      <c r="A8" t="s">
        <v>12</v>
      </c>
      <c r="B8" s="2">
        <v>1</v>
      </c>
      <c r="C8" s="2">
        <v>1</v>
      </c>
      <c r="D8" s="2">
        <f t="shared" si="0"/>
        <v>1</v>
      </c>
      <c r="E8" s="2">
        <v>100</v>
      </c>
    </row>
    <row r="9" spans="1:5" x14ac:dyDescent="0.25">
      <c r="B9" s="2">
        <v>1</v>
      </c>
      <c r="C9" s="2">
        <v>1</v>
      </c>
      <c r="D9" s="2">
        <f t="shared" si="0"/>
        <v>1</v>
      </c>
      <c r="E9" s="2">
        <v>95</v>
      </c>
    </row>
    <row r="10" spans="1:5" x14ac:dyDescent="0.25">
      <c r="A10" t="s">
        <v>14</v>
      </c>
    </row>
    <row r="11" spans="1:5" ht="15.75" thickBot="1" x14ac:dyDescent="0.3"/>
    <row r="12" spans="1:5" x14ac:dyDescent="0.25">
      <c r="A12" s="6" t="s">
        <v>15</v>
      </c>
      <c r="B12" s="6"/>
    </row>
    <row r="13" spans="1:5" x14ac:dyDescent="0.25">
      <c r="A13" s="3" t="s">
        <v>16</v>
      </c>
      <c r="B13" s="3">
        <v>0.99895298539245114</v>
      </c>
    </row>
    <row r="14" spans="1:5" x14ac:dyDescent="0.25">
      <c r="A14" s="3" t="s">
        <v>17</v>
      </c>
      <c r="B14" s="3">
        <v>0.99790706702449072</v>
      </c>
    </row>
    <row r="15" spans="1:5" x14ac:dyDescent="0.25">
      <c r="A15" s="3" t="s">
        <v>18</v>
      </c>
      <c r="B15" s="3">
        <v>0.99633736729285882</v>
      </c>
    </row>
    <row r="16" spans="1:5" x14ac:dyDescent="0.25">
      <c r="A16" s="3" t="s">
        <v>19</v>
      </c>
      <c r="B16" s="3">
        <v>1.9685019685029541</v>
      </c>
    </row>
    <row r="17" spans="1:11" ht="15.75" thickBot="1" x14ac:dyDescent="0.3">
      <c r="A17" s="4" t="s">
        <v>20</v>
      </c>
      <c r="B17" s="4">
        <v>8</v>
      </c>
    </row>
    <row r="19" spans="1:11" ht="15.75" thickBot="1" x14ac:dyDescent="0.3">
      <c r="A19" t="s">
        <v>136</v>
      </c>
    </row>
    <row r="20" spans="1:11" x14ac:dyDescent="0.25">
      <c r="A20" s="5"/>
      <c r="B20" s="5" t="s">
        <v>26</v>
      </c>
      <c r="C20" s="5" t="s">
        <v>27</v>
      </c>
      <c r="D20" s="5" t="s">
        <v>28</v>
      </c>
      <c r="E20" s="5" t="s">
        <v>29</v>
      </c>
      <c r="F20" s="5" t="s">
        <v>30</v>
      </c>
    </row>
    <row r="21" spans="1:11" x14ac:dyDescent="0.25">
      <c r="A21" s="3" t="s">
        <v>22</v>
      </c>
      <c r="B21" s="3">
        <v>3</v>
      </c>
      <c r="C21" s="3">
        <v>7390.375</v>
      </c>
      <c r="D21" s="3">
        <v>2463.4583333333335</v>
      </c>
      <c r="E21" s="3">
        <v>635.73118279569815</v>
      </c>
      <c r="F21" s="3">
        <v>8.2074586885465783E-6</v>
      </c>
      <c r="G21" s="3"/>
      <c r="H21" s="1" t="s">
        <v>140</v>
      </c>
      <c r="I21">
        <f>_xlfn.F.INV(0.97,B21,B22)</f>
        <v>8.9718286999564416</v>
      </c>
    </row>
    <row r="22" spans="1:11" x14ac:dyDescent="0.25">
      <c r="A22" s="3" t="s">
        <v>23</v>
      </c>
      <c r="B22" s="3">
        <v>4</v>
      </c>
      <c r="C22" s="3">
        <v>15.500000000000021</v>
      </c>
      <c r="D22" s="3">
        <v>3.8750000000000053</v>
      </c>
      <c r="E22" s="3">
        <f>D21/D22</f>
        <v>635.73118279569815</v>
      </c>
      <c r="F22" s="3"/>
      <c r="G22" s="3"/>
      <c r="H22" s="1" t="s">
        <v>139</v>
      </c>
      <c r="I22">
        <f>1-_xlfn.F.DIST(E21,B21,B22,1)</f>
        <v>8.2074586885694245E-6</v>
      </c>
    </row>
    <row r="23" spans="1:11" ht="15.75" thickBot="1" x14ac:dyDescent="0.3">
      <c r="A23" s="4" t="s">
        <v>24</v>
      </c>
      <c r="B23" s="4">
        <v>7</v>
      </c>
      <c r="C23" s="4">
        <v>7405.875</v>
      </c>
      <c r="D23" s="4"/>
      <c r="E23" s="4"/>
      <c r="F23" s="4"/>
    </row>
    <row r="24" spans="1:11" x14ac:dyDescent="0.25">
      <c r="A24" s="3"/>
      <c r="B24" s="3"/>
      <c r="C24" s="3"/>
      <c r="D24" s="3"/>
      <c r="E24" s="3"/>
      <c r="F24" s="3"/>
    </row>
    <row r="25" spans="1:11" ht="15.75" thickBot="1" x14ac:dyDescent="0.3">
      <c r="A25" s="3" t="s">
        <v>121</v>
      </c>
    </row>
    <row r="26" spans="1:11" x14ac:dyDescent="0.25">
      <c r="A26" s="5"/>
      <c r="B26" s="5" t="s">
        <v>31</v>
      </c>
      <c r="C26" s="5" t="s">
        <v>19</v>
      </c>
      <c r="D26" s="5" t="s">
        <v>32</v>
      </c>
      <c r="E26" s="5" t="s">
        <v>33</v>
      </c>
      <c r="F26" s="5" t="s">
        <v>34</v>
      </c>
      <c r="G26" s="5" t="s">
        <v>35</v>
      </c>
      <c r="H26" s="5" t="s">
        <v>36</v>
      </c>
      <c r="I26" s="5" t="s">
        <v>37</v>
      </c>
      <c r="J26" s="5" t="s">
        <v>38</v>
      </c>
      <c r="K26" s="5" t="s">
        <v>39</v>
      </c>
    </row>
    <row r="27" spans="1:11" x14ac:dyDescent="0.25">
      <c r="A27" s="3" t="s">
        <v>25</v>
      </c>
      <c r="B27" s="7">
        <v>46.375</v>
      </c>
      <c r="C27" s="3">
        <v>0.69597054535375313</v>
      </c>
      <c r="D27" s="3">
        <v>66.633567051933454</v>
      </c>
      <c r="E27" s="3">
        <v>3.0389754509938751E-7</v>
      </c>
      <c r="F27" s="3">
        <v>44.442675985990732</v>
      </c>
      <c r="G27" s="3">
        <v>48.307324014009268</v>
      </c>
      <c r="H27" s="3">
        <v>43.170685581526129</v>
      </c>
      <c r="I27" s="3">
        <v>49.579314418473871</v>
      </c>
      <c r="J27" s="3">
        <v>43.767234982976298</v>
      </c>
      <c r="K27" s="3">
        <v>48.982765017023702</v>
      </c>
    </row>
    <row r="28" spans="1:11" x14ac:dyDescent="0.25">
      <c r="A28" s="3" t="s">
        <v>3</v>
      </c>
      <c r="B28" s="7">
        <v>17.125</v>
      </c>
      <c r="C28" s="3">
        <v>0.69597054535375313</v>
      </c>
      <c r="D28" s="63">
        <v>24.605926377668144</v>
      </c>
      <c r="E28" s="78">
        <v>1.6189200370291709E-5</v>
      </c>
      <c r="F28" s="67">
        <v>15.19267598599073</v>
      </c>
      <c r="G28" s="68">
        <v>19.057324014009264</v>
      </c>
      <c r="H28" s="3">
        <v>13.920685581526124</v>
      </c>
      <c r="I28" s="3">
        <v>20.329314418473871</v>
      </c>
      <c r="J28" s="3">
        <v>14.517234982976294</v>
      </c>
      <c r="K28" s="3">
        <v>19.732765017023699</v>
      </c>
    </row>
    <row r="29" spans="1:11" x14ac:dyDescent="0.25">
      <c r="A29" s="3" t="s">
        <v>4</v>
      </c>
      <c r="B29" s="7">
        <v>22.125000000000004</v>
      </c>
      <c r="C29" s="3">
        <v>0.69597054535375313</v>
      </c>
      <c r="D29" s="3">
        <v>31.790138458739143</v>
      </c>
      <c r="E29" s="3">
        <v>5.8360916069153362E-6</v>
      </c>
      <c r="F29" s="3">
        <v>20.192675985990736</v>
      </c>
      <c r="G29" s="3">
        <v>24.057324014009271</v>
      </c>
      <c r="H29" s="3">
        <v>18.920685581526129</v>
      </c>
      <c r="I29" s="3">
        <v>25.329314418473878</v>
      </c>
      <c r="J29" s="3">
        <v>19.517234982976301</v>
      </c>
      <c r="K29" s="3">
        <v>24.732765017023706</v>
      </c>
    </row>
    <row r="30" spans="1:11" ht="15.75" thickBot="1" x14ac:dyDescent="0.3">
      <c r="A30" s="4" t="s">
        <v>13</v>
      </c>
      <c r="B30" s="8">
        <v>11.874999999999998</v>
      </c>
      <c r="C30" s="4">
        <v>0.69597054535375324</v>
      </c>
      <c r="D30" s="4">
        <v>17.062503692543601</v>
      </c>
      <c r="E30" s="4">
        <v>6.9199036162705181E-5</v>
      </c>
      <c r="F30" s="4">
        <v>9.9426759859907321</v>
      </c>
      <c r="G30" s="4">
        <v>13.807324014009264</v>
      </c>
      <c r="H30" s="4">
        <v>8.6706855815261257</v>
      </c>
      <c r="I30" s="4">
        <v>15.079314418473871</v>
      </c>
      <c r="J30" s="4">
        <v>9.2672349829762943</v>
      </c>
      <c r="K30" s="4">
        <v>14.482765017023702</v>
      </c>
    </row>
    <row r="31" spans="1:11" x14ac:dyDescent="0.25">
      <c r="A31" s="3" t="s">
        <v>68</v>
      </c>
      <c r="B31" s="17">
        <f>B27</f>
        <v>46.375</v>
      </c>
      <c r="C31" t="s">
        <v>57</v>
      </c>
      <c r="D31" s="17">
        <f>B28</f>
        <v>17.125</v>
      </c>
      <c r="E31" t="s">
        <v>58</v>
      </c>
      <c r="F31" s="17">
        <f>B29</f>
        <v>22.125000000000004</v>
      </c>
      <c r="G31" t="s">
        <v>59</v>
      </c>
      <c r="H31" s="17">
        <f>B30</f>
        <v>11.874999999999998</v>
      </c>
      <c r="I31" t="s">
        <v>60</v>
      </c>
    </row>
    <row r="32" spans="1:11" x14ac:dyDescent="0.25">
      <c r="A32" s="3"/>
      <c r="B32" s="7"/>
      <c r="C32" s="3"/>
      <c r="D32" s="3"/>
      <c r="E32" s="3"/>
      <c r="F32" s="3"/>
      <c r="G32" s="3"/>
      <c r="H32" s="3"/>
      <c r="I32" s="3"/>
    </row>
    <row r="33" spans="1:11" x14ac:dyDescent="0.25">
      <c r="A33" s="71" t="s">
        <v>122</v>
      </c>
      <c r="B33" s="36"/>
      <c r="C33" s="36"/>
      <c r="D33" s="72">
        <f>B28/C28</f>
        <v>24.605926377668148</v>
      </c>
      <c r="E33" s="36"/>
      <c r="F33" s="36"/>
      <c r="G33" s="36"/>
      <c r="H33" s="36"/>
      <c r="I33" s="36"/>
      <c r="J33" s="37"/>
      <c r="K33" t="s">
        <v>128</v>
      </c>
    </row>
    <row r="34" spans="1:11" x14ac:dyDescent="0.25">
      <c r="A34" s="38"/>
      <c r="B34" s="12"/>
      <c r="C34" s="12" t="s">
        <v>52</v>
      </c>
      <c r="D34" s="73">
        <f>_xlfn.T.INV(0.975,4)</f>
        <v>2.776445105197793</v>
      </c>
      <c r="E34" s="12"/>
      <c r="F34" s="12"/>
      <c r="G34" s="12" t="s">
        <v>54</v>
      </c>
      <c r="H34" s="12">
        <f>C28*_xlfn.T.INV(0.975,4)</f>
        <v>1.9323240140092666</v>
      </c>
      <c r="I34" s="12"/>
      <c r="J34" s="39"/>
    </row>
    <row r="35" spans="1:11" x14ac:dyDescent="0.25">
      <c r="A35" s="38"/>
      <c r="B35" s="12"/>
      <c r="C35" s="12" t="s">
        <v>53</v>
      </c>
      <c r="D35" s="74">
        <f>_xlfn.T.DIST(D28,4,1)</f>
        <v>0.99999190539981486</v>
      </c>
      <c r="E35" s="74"/>
      <c r="F35" s="12"/>
      <c r="G35" s="75" t="s">
        <v>55</v>
      </c>
      <c r="H35" s="69">
        <f>B28-H34</f>
        <v>15.192675985990734</v>
      </c>
      <c r="I35" s="70">
        <f>B28+H34</f>
        <v>19.057324014009268</v>
      </c>
      <c r="J35" s="39"/>
    </row>
    <row r="36" spans="1:11" x14ac:dyDescent="0.25">
      <c r="A36" s="40"/>
      <c r="B36" s="41"/>
      <c r="C36" s="41"/>
      <c r="D36" s="76">
        <f>1-D35</f>
        <v>8.0946001851378568E-6</v>
      </c>
      <c r="E36" s="77">
        <f>2*D36</f>
        <v>1.6189200370275714E-5</v>
      </c>
      <c r="F36" s="41"/>
      <c r="G36" s="41"/>
      <c r="H36" s="41"/>
      <c r="I36" s="41"/>
      <c r="J36" s="42"/>
    </row>
    <row r="38" spans="1:11" x14ac:dyDescent="0.25">
      <c r="A38" s="59" t="s">
        <v>101</v>
      </c>
      <c r="B38" s="60"/>
      <c r="C38" s="60"/>
      <c r="D38" s="60"/>
      <c r="E38" s="60"/>
      <c r="F38" s="60"/>
    </row>
    <row r="39" spans="1:11" x14ac:dyDescent="0.25">
      <c r="A39" s="60" t="s">
        <v>85</v>
      </c>
      <c r="B39" s="60"/>
      <c r="C39" s="60"/>
      <c r="D39" s="60"/>
      <c r="E39" s="60"/>
      <c r="F39" s="60"/>
      <c r="G39" t="s">
        <v>106</v>
      </c>
    </row>
    <row r="40" spans="1:11" x14ac:dyDescent="0.25">
      <c r="A40" s="60" t="s">
        <v>86</v>
      </c>
      <c r="B40" s="60"/>
      <c r="C40" s="60"/>
      <c r="D40" s="60"/>
      <c r="E40" s="60"/>
      <c r="F40" s="60"/>
      <c r="G40" t="s">
        <v>83</v>
      </c>
    </row>
    <row r="41" spans="1:11" x14ac:dyDescent="0.25">
      <c r="A41" s="61" t="s">
        <v>87</v>
      </c>
      <c r="B41" s="64">
        <f>D28</f>
        <v>24.605926377668144</v>
      </c>
      <c r="C41" s="60" t="s">
        <v>88</v>
      </c>
      <c r="D41" s="60"/>
      <c r="E41" s="60" t="s">
        <v>89</v>
      </c>
      <c r="F41" s="60"/>
      <c r="G41" t="s">
        <v>79</v>
      </c>
    </row>
    <row r="42" spans="1:11" x14ac:dyDescent="0.25">
      <c r="A42" s="61" t="s">
        <v>104</v>
      </c>
      <c r="B42" s="65">
        <f>_xlfn.T.INV(1-0.05/2,4)</f>
        <v>2.776445105197793</v>
      </c>
      <c r="C42" s="60"/>
      <c r="D42" s="60"/>
      <c r="E42" s="60" t="s">
        <v>90</v>
      </c>
      <c r="F42" s="60"/>
    </row>
    <row r="43" spans="1:11" x14ac:dyDescent="0.25">
      <c r="A43" s="61" t="s">
        <v>91</v>
      </c>
      <c r="B43" s="66">
        <f>E28</f>
        <v>1.6189200370291709E-5</v>
      </c>
      <c r="C43" s="60" t="s">
        <v>105</v>
      </c>
      <c r="D43" s="60"/>
      <c r="E43" s="60"/>
      <c r="F43" s="60"/>
    </row>
    <row r="44" spans="1:11" x14ac:dyDescent="0.25">
      <c r="A44" s="61" t="s">
        <v>93</v>
      </c>
      <c r="B44" s="67">
        <f>F28</f>
        <v>15.19267598599073</v>
      </c>
      <c r="C44" s="68">
        <f>G28</f>
        <v>19.057324014009264</v>
      </c>
      <c r="D44" s="60"/>
      <c r="E44" s="60"/>
      <c r="F44" s="60"/>
    </row>
    <row r="45" spans="1:11" x14ac:dyDescent="0.25">
      <c r="A45" s="60"/>
      <c r="B45" s="60"/>
      <c r="C45" s="60"/>
      <c r="D45" s="60"/>
      <c r="E45" s="60"/>
      <c r="F45" s="60"/>
    </row>
    <row r="46" spans="1:11" x14ac:dyDescent="0.25">
      <c r="A46" s="59" t="s">
        <v>97</v>
      </c>
      <c r="B46" s="60"/>
      <c r="C46" s="60"/>
      <c r="D46" s="60"/>
      <c r="E46" s="60"/>
      <c r="F46" s="60"/>
    </row>
    <row r="47" spans="1:11" x14ac:dyDescent="0.25">
      <c r="A47" s="60" t="s">
        <v>107</v>
      </c>
      <c r="B47" s="60"/>
      <c r="C47" s="60"/>
      <c r="D47" s="60"/>
      <c r="E47" s="60"/>
      <c r="F47" s="60"/>
      <c r="G47" t="s">
        <v>80</v>
      </c>
    </row>
    <row r="48" spans="1:11" x14ac:dyDescent="0.25">
      <c r="A48" s="60" t="s">
        <v>108</v>
      </c>
      <c r="B48" s="60"/>
      <c r="C48" s="60"/>
      <c r="D48" s="60"/>
      <c r="E48" s="60"/>
      <c r="F48" s="60"/>
      <c r="G48" t="s">
        <v>81</v>
      </c>
    </row>
    <row r="49" spans="1:7" x14ac:dyDescent="0.25">
      <c r="A49" s="61" t="s">
        <v>109</v>
      </c>
      <c r="B49" s="60">
        <f>D29</f>
        <v>31.790138458739143</v>
      </c>
      <c r="C49" s="60" t="s">
        <v>88</v>
      </c>
      <c r="D49" s="60"/>
      <c r="E49" s="60" t="s">
        <v>111</v>
      </c>
      <c r="F49" s="60"/>
      <c r="G49" t="s">
        <v>79</v>
      </c>
    </row>
    <row r="50" spans="1:7" x14ac:dyDescent="0.25">
      <c r="A50" s="61" t="s">
        <v>110</v>
      </c>
      <c r="B50" s="62">
        <f>_xlfn.T.INV(1-0.01/2,4)</f>
        <v>4.6040948713499921</v>
      </c>
      <c r="C50" s="60"/>
      <c r="D50" s="60"/>
      <c r="E50" s="60" t="s">
        <v>112</v>
      </c>
      <c r="F50" s="60"/>
    </row>
    <row r="51" spans="1:7" x14ac:dyDescent="0.25">
      <c r="A51" s="61" t="s">
        <v>95</v>
      </c>
      <c r="B51" s="60">
        <f>E29</f>
        <v>5.8360916069153362E-6</v>
      </c>
      <c r="C51" s="60" t="s">
        <v>100</v>
      </c>
      <c r="D51" s="60"/>
      <c r="E51" s="60"/>
      <c r="F51" s="60"/>
    </row>
    <row r="52" spans="1:7" x14ac:dyDescent="0.25">
      <c r="A52" s="61" t="s">
        <v>93</v>
      </c>
      <c r="B52" s="10">
        <f>H29</f>
        <v>18.920685581526129</v>
      </c>
      <c r="C52" s="11">
        <f>I29</f>
        <v>25.329314418473878</v>
      </c>
      <c r="D52" s="60"/>
      <c r="E52" s="60"/>
      <c r="F52" s="60"/>
      <c r="G52" s="3"/>
    </row>
    <row r="53" spans="1:7" x14ac:dyDescent="0.25">
      <c r="A53" s="60"/>
      <c r="B53" s="60"/>
      <c r="C53" s="60"/>
      <c r="D53" s="60"/>
      <c r="E53" s="60"/>
      <c r="F53" s="60"/>
      <c r="G53" s="3"/>
    </row>
    <row r="54" spans="1:7" x14ac:dyDescent="0.25">
      <c r="A54" s="59" t="s">
        <v>101</v>
      </c>
      <c r="B54" s="60"/>
      <c r="C54" s="60"/>
      <c r="D54" s="60"/>
      <c r="E54" s="60"/>
      <c r="F54" s="60"/>
      <c r="G54" s="3"/>
    </row>
    <row r="55" spans="1:7" x14ac:dyDescent="0.25">
      <c r="A55" s="60" t="s">
        <v>113</v>
      </c>
      <c r="B55" s="60"/>
      <c r="C55" s="60"/>
      <c r="D55" s="60"/>
      <c r="E55" s="60"/>
      <c r="F55" s="60"/>
      <c r="G55" t="s">
        <v>82</v>
      </c>
    </row>
    <row r="56" spans="1:7" x14ac:dyDescent="0.25">
      <c r="A56" s="60" t="s">
        <v>123</v>
      </c>
      <c r="B56" s="60"/>
      <c r="C56" s="60"/>
      <c r="D56" s="60"/>
      <c r="E56" s="60"/>
      <c r="F56" s="60"/>
      <c r="G56" t="s">
        <v>126</v>
      </c>
    </row>
    <row r="57" spans="1:7" x14ac:dyDescent="0.25">
      <c r="A57" s="61" t="s">
        <v>98</v>
      </c>
      <c r="B57" s="60">
        <f>D30</f>
        <v>17.062503692543601</v>
      </c>
      <c r="C57" s="60" t="s">
        <v>88</v>
      </c>
      <c r="D57" s="60"/>
      <c r="E57" s="60" t="s">
        <v>124</v>
      </c>
      <c r="F57" s="60"/>
      <c r="G57" t="s">
        <v>79</v>
      </c>
    </row>
    <row r="58" spans="1:7" x14ac:dyDescent="0.25">
      <c r="A58" s="61" t="s">
        <v>104</v>
      </c>
      <c r="B58" s="60">
        <f>D30</f>
        <v>17.062503692543601</v>
      </c>
      <c r="C58" s="60"/>
      <c r="D58" s="60"/>
      <c r="E58" s="60" t="s">
        <v>125</v>
      </c>
      <c r="F58" s="60"/>
    </row>
    <row r="59" spans="1:7" x14ac:dyDescent="0.25">
      <c r="A59" s="61" t="s">
        <v>99</v>
      </c>
      <c r="B59" s="60">
        <f>E30</f>
        <v>6.9199036162705181E-5</v>
      </c>
      <c r="C59" s="60" t="s">
        <v>105</v>
      </c>
      <c r="D59" s="60"/>
      <c r="E59" s="60"/>
      <c r="F59" s="60"/>
    </row>
    <row r="60" spans="1:7" x14ac:dyDescent="0.25">
      <c r="A60" s="61" t="s">
        <v>93</v>
      </c>
      <c r="B60" s="10">
        <f>F30</f>
        <v>9.9426759859907321</v>
      </c>
      <c r="C60" s="11">
        <f>G30</f>
        <v>13.807324014009264</v>
      </c>
      <c r="D60" s="60"/>
      <c r="E60" s="60"/>
      <c r="F60" s="60"/>
    </row>
    <row r="62" spans="1:7" x14ac:dyDescent="0.25">
      <c r="A62" s="59" t="s">
        <v>94</v>
      </c>
      <c r="B62" s="60"/>
      <c r="C62" s="60"/>
      <c r="D62" s="60"/>
      <c r="E62" s="60"/>
      <c r="F62" s="60"/>
      <c r="G62" s="3"/>
    </row>
    <row r="63" spans="1:7" x14ac:dyDescent="0.25">
      <c r="A63" s="60" t="s">
        <v>113</v>
      </c>
      <c r="B63" s="60"/>
      <c r="C63" s="60"/>
      <c r="D63" s="60"/>
      <c r="E63" s="60"/>
      <c r="F63" s="60"/>
      <c r="G63" t="s">
        <v>129</v>
      </c>
    </row>
    <row r="64" spans="1:7" x14ac:dyDescent="0.25">
      <c r="A64" s="60" t="s">
        <v>123</v>
      </c>
      <c r="B64" s="60"/>
      <c r="C64" s="60"/>
      <c r="D64" s="60"/>
      <c r="E64" s="60"/>
      <c r="F64" s="60"/>
      <c r="G64" t="s">
        <v>126</v>
      </c>
    </row>
    <row r="65" spans="1:14" x14ac:dyDescent="0.25">
      <c r="A65" s="61" t="s">
        <v>98</v>
      </c>
      <c r="B65" s="60">
        <f>D30</f>
        <v>17.062503692543601</v>
      </c>
      <c r="C65" s="60" t="s">
        <v>88</v>
      </c>
      <c r="D65" s="60"/>
      <c r="E65" s="60" t="s">
        <v>124</v>
      </c>
      <c r="F65" s="60"/>
      <c r="G65" t="s">
        <v>79</v>
      </c>
    </row>
    <row r="66" spans="1:14" x14ac:dyDescent="0.25">
      <c r="A66" s="61" t="s">
        <v>127</v>
      </c>
      <c r="B66" s="60">
        <f>_xlfn.T.INV(0.99,4)</f>
        <v>3.7469473879791959</v>
      </c>
      <c r="C66" s="60"/>
      <c r="D66" s="60"/>
      <c r="E66" s="60" t="s">
        <v>125</v>
      </c>
      <c r="F66" s="60"/>
    </row>
    <row r="67" spans="1:14" x14ac:dyDescent="0.25">
      <c r="A67" s="61" t="s">
        <v>99</v>
      </c>
      <c r="B67" s="60">
        <f>E30</f>
        <v>6.9199036162705181E-5</v>
      </c>
      <c r="C67" s="60" t="s">
        <v>96</v>
      </c>
      <c r="D67" s="60"/>
      <c r="E67" s="60"/>
      <c r="F67" s="60"/>
    </row>
    <row r="68" spans="1:14" x14ac:dyDescent="0.25">
      <c r="A68" s="61" t="s">
        <v>93</v>
      </c>
      <c r="B68" s="10">
        <f>J30</f>
        <v>9.2672349829762943</v>
      </c>
      <c r="C68" s="11">
        <f>K30</f>
        <v>14.482765017023702</v>
      </c>
      <c r="D68" s="60"/>
      <c r="E68" s="60"/>
      <c r="F68" s="60"/>
    </row>
    <row r="71" spans="1:14" x14ac:dyDescent="0.25">
      <c r="A71" s="59" t="s">
        <v>84</v>
      </c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</row>
    <row r="72" spans="1:14" x14ac:dyDescent="0.25">
      <c r="A72" s="60" t="s">
        <v>135</v>
      </c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</row>
    <row r="73" spans="1:14" x14ac:dyDescent="0.25">
      <c r="A73" s="60" t="s">
        <v>137</v>
      </c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</row>
    <row r="74" spans="1:14" x14ac:dyDescent="0.25">
      <c r="A74" s="61" t="s">
        <v>130</v>
      </c>
      <c r="B74" s="60">
        <f>E21</f>
        <v>635.73118279569815</v>
      </c>
      <c r="C74" s="60" t="s">
        <v>88</v>
      </c>
      <c r="D74" s="60"/>
      <c r="E74" s="60" t="s">
        <v>131</v>
      </c>
      <c r="F74" s="60"/>
      <c r="G74" s="60"/>
      <c r="H74" s="60"/>
      <c r="I74" s="60"/>
      <c r="J74" s="60"/>
      <c r="K74" s="60"/>
      <c r="L74" s="60"/>
      <c r="M74" s="60"/>
      <c r="N74" s="60"/>
    </row>
    <row r="75" spans="1:14" x14ac:dyDescent="0.25">
      <c r="A75" s="61" t="s">
        <v>138</v>
      </c>
      <c r="B75" s="60">
        <f>I21</f>
        <v>8.9718286999564416</v>
      </c>
      <c r="C75" s="60"/>
      <c r="D75" s="60"/>
      <c r="E75" s="60" t="s">
        <v>132</v>
      </c>
      <c r="F75" s="60"/>
      <c r="G75" s="60"/>
      <c r="I75" s="60"/>
      <c r="J75" s="60"/>
      <c r="K75" s="60"/>
      <c r="L75" s="60"/>
      <c r="M75" s="60"/>
      <c r="N75" s="60"/>
    </row>
    <row r="76" spans="1:14" x14ac:dyDescent="0.25">
      <c r="A76" s="61" t="s">
        <v>133</v>
      </c>
      <c r="B76" s="60">
        <f>F21</f>
        <v>8.2074586885465783E-6</v>
      </c>
      <c r="C76" s="60" t="s">
        <v>92</v>
      </c>
      <c r="D76" s="60"/>
      <c r="E76" s="60"/>
      <c r="F76" s="60"/>
      <c r="G76" s="60"/>
      <c r="H76" s="60" t="s">
        <v>134</v>
      </c>
      <c r="I76" s="60"/>
      <c r="J76" s="60"/>
      <c r="K76" s="60"/>
      <c r="L76" s="60"/>
      <c r="M76" s="60"/>
      <c r="N76" s="60"/>
    </row>
    <row r="78" spans="1:14" x14ac:dyDescent="0.25">
      <c r="A78" s="62" t="s">
        <v>142</v>
      </c>
    </row>
    <row r="79" spans="1:14" x14ac:dyDescent="0.25">
      <c r="A79" s="84" t="s">
        <v>141</v>
      </c>
      <c r="B79" s="60">
        <f>B14</f>
        <v>0.99790706702449072</v>
      </c>
      <c r="C79" s="60" t="s">
        <v>143</v>
      </c>
    </row>
    <row r="80" spans="1:14" x14ac:dyDescent="0.25">
      <c r="A80" s="60"/>
      <c r="B80" s="60"/>
      <c r="C80" s="60" t="s">
        <v>144</v>
      </c>
    </row>
  </sheetData>
  <pageMargins left="0.7" right="0.7" top="0.75" bottom="0.75" header="0.3" footer="0.3"/>
  <pageSetup paperSize="9" orientation="portrait" horizontalDpi="4294967294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62"/>
  <sheetViews>
    <sheetView topLeftCell="A28" zoomScaleNormal="100" workbookViewId="0">
      <selection activeCell="S57" sqref="S57"/>
    </sheetView>
  </sheetViews>
  <sheetFormatPr defaultRowHeight="15" x14ac:dyDescent="0.25"/>
  <cols>
    <col min="4" max="4" width="11.42578125" bestFit="1" customWidth="1"/>
    <col min="5" max="5" width="12.42578125" bestFit="1" customWidth="1"/>
    <col min="8" max="8" width="12.42578125" bestFit="1" customWidth="1"/>
  </cols>
  <sheetData>
    <row r="1" spans="1:9" x14ac:dyDescent="0.25">
      <c r="B1" s="2" t="s">
        <v>3</v>
      </c>
      <c r="C1" s="2" t="s">
        <v>4</v>
      </c>
      <c r="D1" s="2" t="s">
        <v>13</v>
      </c>
      <c r="E1" s="2" t="s">
        <v>2</v>
      </c>
      <c r="F1" s="2" t="s">
        <v>44</v>
      </c>
      <c r="G1" s="2" t="s">
        <v>45</v>
      </c>
    </row>
    <row r="2" spans="1:9" x14ac:dyDescent="0.25">
      <c r="A2" t="s">
        <v>9</v>
      </c>
      <c r="B2" s="2">
        <v>-1</v>
      </c>
      <c r="C2" s="2">
        <v>-1</v>
      </c>
      <c r="D2" s="2">
        <f>B2*C2</f>
        <v>1</v>
      </c>
      <c r="E2" s="2">
        <v>18</v>
      </c>
      <c r="F2">
        <f>DEVSQ(E2:E3)</f>
        <v>2</v>
      </c>
      <c r="G2" s="2">
        <v>1</v>
      </c>
    </row>
    <row r="3" spans="1:9" x14ac:dyDescent="0.25">
      <c r="B3" s="2">
        <v>-1</v>
      </c>
      <c r="C3" s="2">
        <v>-1</v>
      </c>
      <c r="D3" s="2">
        <f t="shared" ref="D3:D12" si="0">B3*C3</f>
        <v>1</v>
      </c>
      <c r="E3" s="2">
        <v>20</v>
      </c>
    </row>
    <row r="4" spans="1:9" x14ac:dyDescent="0.25">
      <c r="A4" t="s">
        <v>10</v>
      </c>
      <c r="B4" s="2">
        <v>-1</v>
      </c>
      <c r="C4" s="2">
        <v>1</v>
      </c>
      <c r="D4" s="2">
        <f t="shared" si="0"/>
        <v>-1</v>
      </c>
      <c r="E4" s="2">
        <v>40</v>
      </c>
      <c r="F4">
        <f>DEVSQ(E4:E5)</f>
        <v>0.5</v>
      </c>
      <c r="G4" s="2">
        <v>1</v>
      </c>
    </row>
    <row r="5" spans="1:9" x14ac:dyDescent="0.25">
      <c r="B5" s="2">
        <v>-1</v>
      </c>
      <c r="C5" s="2">
        <v>1</v>
      </c>
      <c r="D5" s="2">
        <f t="shared" si="0"/>
        <v>-1</v>
      </c>
      <c r="E5" s="2">
        <v>39</v>
      </c>
    </row>
    <row r="6" spans="1:9" x14ac:dyDescent="0.25">
      <c r="A6" t="s">
        <v>11</v>
      </c>
      <c r="B6" s="2">
        <v>1</v>
      </c>
      <c r="C6" s="2">
        <v>-1</v>
      </c>
      <c r="D6" s="2">
        <f t="shared" si="0"/>
        <v>-1</v>
      </c>
      <c r="E6" s="2">
        <v>29</v>
      </c>
      <c r="F6">
        <f>DEVSQ(E6:E7)</f>
        <v>0.5</v>
      </c>
      <c r="G6" s="2">
        <v>1</v>
      </c>
    </row>
    <row r="7" spans="1:9" x14ac:dyDescent="0.25">
      <c r="B7" s="2">
        <v>1</v>
      </c>
      <c r="C7" s="2">
        <v>-1</v>
      </c>
      <c r="D7" s="2">
        <f t="shared" si="0"/>
        <v>-1</v>
      </c>
      <c r="E7" s="2">
        <v>30</v>
      </c>
    </row>
    <row r="8" spans="1:9" x14ac:dyDescent="0.25">
      <c r="A8" t="s">
        <v>12</v>
      </c>
      <c r="B8" s="2">
        <v>1</v>
      </c>
      <c r="C8" s="2">
        <v>1</v>
      </c>
      <c r="D8" s="2">
        <f t="shared" si="0"/>
        <v>1</v>
      </c>
      <c r="E8" s="2">
        <v>100</v>
      </c>
      <c r="F8">
        <f>DEVSQ(E8:E9)</f>
        <v>12.5</v>
      </c>
      <c r="G8" s="2">
        <v>1</v>
      </c>
    </row>
    <row r="9" spans="1:9" x14ac:dyDescent="0.25">
      <c r="B9" s="2">
        <v>1</v>
      </c>
      <c r="C9" s="2">
        <v>1</v>
      </c>
      <c r="D9" s="2">
        <f t="shared" si="0"/>
        <v>1</v>
      </c>
      <c r="E9" s="2">
        <v>95</v>
      </c>
    </row>
    <row r="10" spans="1:9" s="12" customFormat="1" x14ac:dyDescent="0.25">
      <c r="A10" s="12" t="s">
        <v>40</v>
      </c>
      <c r="B10" s="85">
        <v>0</v>
      </c>
      <c r="C10" s="85">
        <v>0</v>
      </c>
      <c r="D10" s="85">
        <f t="shared" si="0"/>
        <v>0</v>
      </c>
      <c r="E10" s="15">
        <v>46</v>
      </c>
      <c r="F10" s="12">
        <f>DEVSQ(E10:E12)</f>
        <v>8</v>
      </c>
      <c r="G10" s="16">
        <v>2</v>
      </c>
    </row>
    <row r="11" spans="1:9" s="12" customFormat="1" x14ac:dyDescent="0.25">
      <c r="B11" s="85">
        <v>0</v>
      </c>
      <c r="C11" s="85">
        <v>0</v>
      </c>
      <c r="D11" s="85">
        <f t="shared" si="0"/>
        <v>0</v>
      </c>
      <c r="E11" s="16">
        <v>50</v>
      </c>
    </row>
    <row r="12" spans="1:9" s="12" customFormat="1" x14ac:dyDescent="0.25">
      <c r="A12" s="13"/>
      <c r="B12" s="86">
        <v>0</v>
      </c>
      <c r="C12" s="85">
        <v>0</v>
      </c>
      <c r="D12" s="85">
        <f t="shared" si="0"/>
        <v>0</v>
      </c>
      <c r="E12" s="16">
        <v>48</v>
      </c>
    </row>
    <row r="13" spans="1:9" s="12" customFormat="1" x14ac:dyDescent="0.25">
      <c r="A13" s="3"/>
      <c r="B13" s="3"/>
      <c r="F13" s="36">
        <f>SUM(F2:F12)</f>
        <v>23.5</v>
      </c>
      <c r="G13" s="36">
        <f>SUM(G2:G12)</f>
        <v>6</v>
      </c>
    </row>
    <row r="14" spans="1:9" s="12" customFormat="1" x14ac:dyDescent="0.25">
      <c r="A14" s="59" t="s">
        <v>101</v>
      </c>
      <c r="B14" s="62"/>
    </row>
    <row r="15" spans="1:9" s="12" customFormat="1" x14ac:dyDescent="0.25">
      <c r="A15" s="62" t="s">
        <v>199</v>
      </c>
      <c r="B15" s="60"/>
      <c r="D15" s="12" t="s">
        <v>150</v>
      </c>
    </row>
    <row r="16" spans="1:9" s="12" customFormat="1" x14ac:dyDescent="0.25">
      <c r="A16" t="s">
        <v>151</v>
      </c>
      <c r="B16"/>
      <c r="C16"/>
      <c r="D16"/>
      <c r="E16"/>
      <c r="F16"/>
      <c r="G16"/>
      <c r="H16"/>
      <c r="I16"/>
    </row>
    <row r="17" spans="1:14" s="12" customFormat="1" ht="15.75" thickBot="1" x14ac:dyDescent="0.3">
      <c r="A17"/>
      <c r="B17"/>
      <c r="C17"/>
      <c r="D17"/>
      <c r="E17"/>
      <c r="F17"/>
      <c r="G17"/>
      <c r="H17"/>
      <c r="I17"/>
    </row>
    <row r="18" spans="1:14" s="12" customFormat="1" x14ac:dyDescent="0.25">
      <c r="A18" s="6" t="s">
        <v>15</v>
      </c>
      <c r="B18" s="6"/>
      <c r="C18"/>
      <c r="D18"/>
      <c r="E18"/>
      <c r="F18"/>
      <c r="G18"/>
      <c r="H18"/>
      <c r="I18"/>
    </row>
    <row r="19" spans="1:14" s="12" customFormat="1" x14ac:dyDescent="0.25">
      <c r="A19" s="3" t="s">
        <v>16</v>
      </c>
      <c r="B19" s="3">
        <v>0.99802616534850974</v>
      </c>
      <c r="C19"/>
      <c r="D19"/>
      <c r="E19"/>
      <c r="F19"/>
      <c r="G19"/>
      <c r="H19"/>
      <c r="I19"/>
    </row>
    <row r="20" spans="1:14" s="12" customFormat="1" x14ac:dyDescent="0.25">
      <c r="A20" s="3" t="s">
        <v>17</v>
      </c>
      <c r="B20" s="3">
        <v>0.99605622672025085</v>
      </c>
      <c r="C20"/>
      <c r="D20"/>
      <c r="E20"/>
      <c r="F20"/>
      <c r="G20"/>
      <c r="H20"/>
      <c r="I20"/>
    </row>
    <row r="21" spans="1:14" s="12" customFormat="1" x14ac:dyDescent="0.25">
      <c r="A21" s="3" t="s">
        <v>18</v>
      </c>
      <c r="B21" s="3">
        <v>0.99436603817178693</v>
      </c>
      <c r="C21"/>
      <c r="D21"/>
      <c r="E21"/>
      <c r="F21"/>
      <c r="G21"/>
      <c r="H21"/>
      <c r="I21"/>
    </row>
    <row r="22" spans="1:14" s="12" customFormat="1" x14ac:dyDescent="0.25">
      <c r="A22" s="3" t="s">
        <v>19</v>
      </c>
      <c r="B22" s="3">
        <v>2.0445524706386977</v>
      </c>
      <c r="C22"/>
      <c r="D22"/>
      <c r="E22"/>
      <c r="F22"/>
      <c r="G22"/>
      <c r="H22"/>
      <c r="I22"/>
    </row>
    <row r="23" spans="1:14" s="12" customFormat="1" ht="15.75" thickBot="1" x14ac:dyDescent="0.3">
      <c r="A23" s="4" t="s">
        <v>20</v>
      </c>
      <c r="B23" s="4">
        <v>11</v>
      </c>
      <c r="C23"/>
      <c r="D23"/>
      <c r="E23"/>
      <c r="F23"/>
      <c r="G23"/>
      <c r="H23"/>
      <c r="I23"/>
    </row>
    <row r="24" spans="1:14" s="12" customFormat="1" x14ac:dyDescent="0.25">
      <c r="A24"/>
      <c r="B24"/>
      <c r="C24"/>
      <c r="D24"/>
      <c r="E24"/>
      <c r="F24"/>
      <c r="G24"/>
      <c r="H24"/>
      <c r="I24"/>
    </row>
    <row r="25" spans="1:14" s="12" customFormat="1" ht="15.75" thickBot="1" x14ac:dyDescent="0.3">
      <c r="A25" t="s">
        <v>21</v>
      </c>
      <c r="B25"/>
      <c r="C25"/>
      <c r="D25"/>
      <c r="E25"/>
      <c r="F25"/>
      <c r="G25"/>
      <c r="H25"/>
    </row>
    <row r="26" spans="1:14" s="12" customFormat="1" x14ac:dyDescent="0.25">
      <c r="A26" s="5"/>
      <c r="B26" s="5" t="s">
        <v>26</v>
      </c>
      <c r="C26" s="5" t="s">
        <v>27</v>
      </c>
      <c r="D26" s="5" t="s">
        <v>28</v>
      </c>
      <c r="E26" s="5" t="s">
        <v>29</v>
      </c>
      <c r="F26" s="5" t="s">
        <v>30</v>
      </c>
      <c r="G26" s="14" t="s">
        <v>195</v>
      </c>
      <c r="H26"/>
      <c r="I26" s="60" t="s">
        <v>147</v>
      </c>
      <c r="J26" s="60"/>
      <c r="L26" s="12" t="s">
        <v>194</v>
      </c>
      <c r="N26" t="s">
        <v>193</v>
      </c>
    </row>
    <row r="27" spans="1:14" s="12" customFormat="1" x14ac:dyDescent="0.25">
      <c r="A27" s="3" t="s">
        <v>22</v>
      </c>
      <c r="B27" s="3">
        <v>3</v>
      </c>
      <c r="C27" s="3">
        <v>7390.3749999999991</v>
      </c>
      <c r="D27" s="3">
        <v>2463.458333333333</v>
      </c>
      <c r="E27" s="3">
        <v>589.31663430420747</v>
      </c>
      <c r="F27" s="3">
        <v>8.9546108231023883E-9</v>
      </c>
      <c r="G27"/>
      <c r="H27"/>
      <c r="I27" s="87" t="s">
        <v>208</v>
      </c>
      <c r="J27" s="60">
        <f>E29</f>
        <v>1.4709864603481573</v>
      </c>
      <c r="K27" s="12" t="s">
        <v>149</v>
      </c>
    </row>
    <row r="28" spans="1:14" s="18" customFormat="1" x14ac:dyDescent="0.25">
      <c r="A28" s="7" t="s">
        <v>23</v>
      </c>
      <c r="B28" s="7">
        <v>7</v>
      </c>
      <c r="C28" s="7">
        <v>29.261363636363615</v>
      </c>
      <c r="D28" s="7">
        <v>4.1801948051948026</v>
      </c>
      <c r="E28" s="7"/>
      <c r="F28" s="7"/>
      <c r="G28" s="17"/>
      <c r="H28" s="17"/>
      <c r="I28" s="88" t="s">
        <v>146</v>
      </c>
      <c r="J28" s="60">
        <f>_xlfn.F.INV(0.95,B29,B30)</f>
        <v>5.9873776072736975</v>
      </c>
      <c r="K28" s="89" t="s">
        <v>148</v>
      </c>
    </row>
    <row r="29" spans="1:14" s="18" customFormat="1" x14ac:dyDescent="0.25">
      <c r="A29" s="7" t="s">
        <v>43</v>
      </c>
      <c r="B29" s="7">
        <f>B28-B30</f>
        <v>1</v>
      </c>
      <c r="C29" s="7">
        <f>C28-C30</f>
        <v>5.7613636363636154</v>
      </c>
      <c r="D29" s="7">
        <f>C29/B29</f>
        <v>5.7613636363636154</v>
      </c>
      <c r="E29" s="7">
        <f>D29/D30</f>
        <v>1.4709864603481573</v>
      </c>
      <c r="F29" s="7">
        <f>1-_xlfn.F.DIST(E29,B29,B30,1)</f>
        <v>0.27077051476300951</v>
      </c>
      <c r="G29" s="17">
        <f>_xlfn.F.INV(0.95,B29,B30)</f>
        <v>5.9873776072736975</v>
      </c>
      <c r="H29" s="17"/>
      <c r="I29" s="61" t="s">
        <v>133</v>
      </c>
      <c r="J29" s="60">
        <f>F29</f>
        <v>0.27077051476300951</v>
      </c>
      <c r="K29" s="89" t="s">
        <v>152</v>
      </c>
    </row>
    <row r="30" spans="1:14" s="18" customFormat="1" x14ac:dyDescent="0.25">
      <c r="A30" s="7" t="s">
        <v>44</v>
      </c>
      <c r="B30" s="7">
        <f>G13</f>
        <v>6</v>
      </c>
      <c r="C30" s="7">
        <f>F13</f>
        <v>23.5</v>
      </c>
      <c r="D30" s="7">
        <f>C30/B30</f>
        <v>3.9166666666666665</v>
      </c>
      <c r="E30" s="7"/>
      <c r="F30" s="7"/>
      <c r="G30" s="17"/>
      <c r="H30" s="17"/>
      <c r="I30" s="60"/>
      <c r="J30" s="60"/>
    </row>
    <row r="31" spans="1:14" s="12" customFormat="1" ht="15.75" thickBot="1" x14ac:dyDescent="0.3">
      <c r="A31" s="4" t="s">
        <v>24</v>
      </c>
      <c r="B31" s="4">
        <v>10</v>
      </c>
      <c r="C31" s="4">
        <v>7419.6363636363631</v>
      </c>
      <c r="D31" s="4"/>
      <c r="E31" s="4"/>
      <c r="F31" s="4"/>
      <c r="G31"/>
      <c r="H31"/>
      <c r="I31" s="62" t="s">
        <v>145</v>
      </c>
      <c r="J31" s="60"/>
    </row>
    <row r="32" spans="1:14" s="12" customFormat="1" ht="15.75" thickBot="1" x14ac:dyDescent="0.3">
      <c r="A32"/>
      <c r="B32"/>
      <c r="C32"/>
      <c r="D32"/>
      <c r="E32"/>
      <c r="F32"/>
      <c r="G32"/>
      <c r="H32"/>
      <c r="I32"/>
    </row>
    <row r="33" spans="1:13" s="12" customFormat="1" x14ac:dyDescent="0.25">
      <c r="A33" s="5"/>
      <c r="B33" s="5" t="s">
        <v>31</v>
      </c>
      <c r="C33" s="5" t="s">
        <v>19</v>
      </c>
      <c r="D33" s="5" t="s">
        <v>32</v>
      </c>
      <c r="E33" s="5" t="s">
        <v>33</v>
      </c>
      <c r="F33" s="5" t="s">
        <v>34</v>
      </c>
      <c r="G33" s="5" t="s">
        <v>35</v>
      </c>
      <c r="H33" s="5" t="s">
        <v>41</v>
      </c>
      <c r="I33" s="5" t="s">
        <v>42</v>
      </c>
    </row>
    <row r="34" spans="1:13" s="12" customFormat="1" x14ac:dyDescent="0.25">
      <c r="A34" s="3" t="s">
        <v>25</v>
      </c>
      <c r="B34" s="3">
        <v>46.81818181818182</v>
      </c>
      <c r="C34" s="3">
        <v>0.6164557644820623</v>
      </c>
      <c r="D34" s="3">
        <v>75.947350184190128</v>
      </c>
      <c r="E34" s="3">
        <v>1.8052945180671664E-11</v>
      </c>
      <c r="F34" s="3">
        <v>45.360495567453363</v>
      </c>
      <c r="G34" s="3">
        <v>48.275868068910277</v>
      </c>
      <c r="H34" s="3">
        <v>45.360495567453363</v>
      </c>
      <c r="I34" s="3">
        <v>48.275868068910277</v>
      </c>
    </row>
    <row r="35" spans="1:13" s="12" customFormat="1" x14ac:dyDescent="0.25">
      <c r="A35" s="3" t="s">
        <v>3</v>
      </c>
      <c r="B35" s="3">
        <v>17.125</v>
      </c>
      <c r="C35" s="3">
        <v>0.72285845824016615</v>
      </c>
      <c r="D35" s="3">
        <v>23.690668352545309</v>
      </c>
      <c r="E35" s="3">
        <v>6.0671460845618272E-8</v>
      </c>
      <c r="F35" s="3">
        <v>15.415711359176333</v>
      </c>
      <c r="G35" s="3">
        <v>18.834288640823669</v>
      </c>
      <c r="H35" s="3">
        <v>15.415711359176333</v>
      </c>
      <c r="I35" s="3">
        <v>18.834288640823669</v>
      </c>
    </row>
    <row r="36" spans="1:13" s="12" customFormat="1" x14ac:dyDescent="0.25">
      <c r="A36" s="3" t="s">
        <v>4</v>
      </c>
      <c r="B36" s="3">
        <v>22.124999999999996</v>
      </c>
      <c r="C36" s="3">
        <v>0.72285845824016615</v>
      </c>
      <c r="D36" s="3">
        <v>30.607651813142475</v>
      </c>
      <c r="E36" s="3">
        <v>1.0254303251460899E-8</v>
      </c>
      <c r="F36" s="3">
        <v>20.415711359176328</v>
      </c>
      <c r="G36" s="3">
        <v>23.834288640823665</v>
      </c>
      <c r="H36" s="3">
        <v>20.415711359176328</v>
      </c>
      <c r="I36" s="3">
        <v>23.834288640823665</v>
      </c>
    </row>
    <row r="37" spans="1:13" s="12" customFormat="1" ht="15.75" thickBot="1" x14ac:dyDescent="0.3">
      <c r="A37" s="4" t="s">
        <v>13</v>
      </c>
      <c r="B37" s="4">
        <v>11.875000000000004</v>
      </c>
      <c r="C37" s="4">
        <v>0.72285845824016648</v>
      </c>
      <c r="D37" s="4">
        <v>16.427835718918278</v>
      </c>
      <c r="E37" s="4">
        <v>7.5527424612011548E-7</v>
      </c>
      <c r="F37" s="4">
        <v>10.165711359176335</v>
      </c>
      <c r="G37" s="4">
        <v>13.584288640823672</v>
      </c>
      <c r="H37" s="4">
        <v>10.165711359176335</v>
      </c>
      <c r="I37" s="4">
        <v>13.584288640823672</v>
      </c>
      <c r="M37"/>
    </row>
    <row r="38" spans="1:13" s="12" customFormat="1" x14ac:dyDescent="0.25">
      <c r="A38"/>
      <c r="B38"/>
      <c r="C38"/>
      <c r="D38"/>
      <c r="E38"/>
      <c r="F38"/>
      <c r="G38"/>
      <c r="H38"/>
      <c r="I38"/>
    </row>
    <row r="39" spans="1:13" s="12" customFormat="1" x14ac:dyDescent="0.25">
      <c r="A39"/>
      <c r="B39"/>
      <c r="C39"/>
      <c r="D39"/>
      <c r="E39"/>
      <c r="F39"/>
      <c r="G39"/>
      <c r="H39"/>
      <c r="I39"/>
    </row>
    <row r="40" spans="1:13" s="12" customFormat="1" x14ac:dyDescent="0.25">
      <c r="A40"/>
      <c r="B40"/>
      <c r="C40"/>
      <c r="D40"/>
      <c r="E40"/>
      <c r="F40"/>
      <c r="G40"/>
      <c r="H40"/>
      <c r="I40"/>
    </row>
    <row r="41" spans="1:13" s="12" customFormat="1" x14ac:dyDescent="0.25">
      <c r="A41" t="s">
        <v>210</v>
      </c>
      <c r="B41"/>
      <c r="C41"/>
      <c r="D41"/>
      <c r="E41"/>
      <c r="F41"/>
      <c r="G41"/>
      <c r="H41"/>
      <c r="I41"/>
    </row>
    <row r="42" spans="1:13" s="12" customFormat="1" x14ac:dyDescent="0.25">
      <c r="A42"/>
      <c r="B42"/>
      <c r="C42"/>
      <c r="D42"/>
      <c r="E42"/>
      <c r="F42"/>
      <c r="G42"/>
      <c r="H42"/>
      <c r="I42"/>
    </row>
    <row r="43" spans="1:13" s="12" customFormat="1" x14ac:dyDescent="0.25">
      <c r="A43"/>
      <c r="B43"/>
      <c r="C43"/>
      <c r="D43"/>
      <c r="E43"/>
      <c r="F43"/>
      <c r="G43"/>
      <c r="H43"/>
      <c r="I43"/>
    </row>
    <row r="44" spans="1:13" s="12" customFormat="1" ht="15.75" x14ac:dyDescent="0.25">
      <c r="A44" s="106" t="s">
        <v>198</v>
      </c>
      <c r="B44"/>
      <c r="C44" s="112" t="s">
        <v>209</v>
      </c>
      <c r="D44"/>
      <c r="E44" s="112" t="s">
        <v>211</v>
      </c>
      <c r="F44"/>
      <c r="G44"/>
      <c r="H44"/>
      <c r="I44"/>
    </row>
    <row r="45" spans="1:13" s="12" customFormat="1" x14ac:dyDescent="0.25">
      <c r="A45" s="59" t="s">
        <v>101</v>
      </c>
      <c r="C45"/>
      <c r="D45"/>
      <c r="E45"/>
      <c r="F45"/>
      <c r="G45"/>
      <c r="H45"/>
      <c r="I45"/>
    </row>
    <row r="46" spans="1:13" s="12" customFormat="1" x14ac:dyDescent="0.25">
      <c r="C46"/>
      <c r="D46"/>
      <c r="E46"/>
      <c r="F46"/>
      <c r="G46"/>
      <c r="H46"/>
      <c r="I46"/>
    </row>
    <row r="47" spans="1:13" s="12" customFormat="1" x14ac:dyDescent="0.25">
      <c r="A47" s="107" t="s">
        <v>200</v>
      </c>
      <c r="B47" s="13"/>
    </row>
    <row r="48" spans="1:13" s="12" customFormat="1" x14ac:dyDescent="0.25">
      <c r="A48" s="3"/>
      <c r="B48"/>
    </row>
    <row r="49" spans="1:9" s="12" customFormat="1" x14ac:dyDescent="0.25">
      <c r="A49" s="3"/>
      <c r="B49" s="3"/>
    </row>
    <row r="50" spans="1:9" s="12" customFormat="1" x14ac:dyDescent="0.25">
      <c r="A50" s="3" t="s">
        <v>201</v>
      </c>
      <c r="B50" s="3"/>
      <c r="E50"/>
    </row>
    <row r="51" spans="1:9" s="12" customFormat="1" x14ac:dyDescent="0.25">
      <c r="A51" s="3"/>
      <c r="B51" s="3"/>
    </row>
    <row r="52" spans="1:9" s="12" customFormat="1" x14ac:dyDescent="0.25">
      <c r="A52" s="3"/>
      <c r="B52" s="3"/>
    </row>
    <row r="53" spans="1:9" s="12" customFormat="1" x14ac:dyDescent="0.25">
      <c r="B53" s="12" t="s">
        <v>202</v>
      </c>
      <c r="C53" s="110">
        <v>8</v>
      </c>
    </row>
    <row r="54" spans="1:9" s="12" customFormat="1" x14ac:dyDescent="0.25">
      <c r="B54" s="12" t="s">
        <v>203</v>
      </c>
      <c r="C54" s="110">
        <v>3</v>
      </c>
    </row>
    <row r="55" spans="1:9" s="12" customFormat="1" x14ac:dyDescent="0.25">
      <c r="A55" s="14"/>
      <c r="B55" s="43" t="s">
        <v>204</v>
      </c>
      <c r="C55" s="109">
        <f>AVERAGE(E2:E9)</f>
        <v>46.375</v>
      </c>
      <c r="D55" s="14"/>
      <c r="E55" s="14"/>
      <c r="F55" s="14"/>
    </row>
    <row r="56" spans="1:9" s="12" customFormat="1" x14ac:dyDescent="0.25">
      <c r="A56" s="3"/>
      <c r="B56" s="43" t="s">
        <v>205</v>
      </c>
      <c r="C56" s="111">
        <f>AVERAGE(E10:E12)</f>
        <v>48</v>
      </c>
      <c r="D56" s="3"/>
      <c r="E56" s="3"/>
      <c r="F56" s="3"/>
    </row>
    <row r="57" spans="1:9" s="12" customFormat="1" x14ac:dyDescent="0.25">
      <c r="A57" s="3"/>
      <c r="B57" s="3" t="s">
        <v>206</v>
      </c>
      <c r="C57" s="3">
        <f>(C53*C54*(C55-C56)^2)/(C53+C54)</f>
        <v>5.7613636363636367</v>
      </c>
      <c r="D57" s="3"/>
      <c r="E57" s="3"/>
      <c r="F57" s="3"/>
    </row>
    <row r="58" spans="1:9" s="12" customFormat="1" x14ac:dyDescent="0.25">
      <c r="A58" s="3"/>
      <c r="B58" s="3"/>
      <c r="C58" s="3"/>
      <c r="D58" s="3"/>
      <c r="E58" s="3"/>
      <c r="F58" s="3"/>
    </row>
    <row r="59" spans="1:9" s="12" customFormat="1" x14ac:dyDescent="0.25">
      <c r="A59" s="12" t="s">
        <v>207</v>
      </c>
      <c r="E59" s="12">
        <f>C57/D30</f>
        <v>1.4709864603481626</v>
      </c>
    </row>
    <row r="60" spans="1:9" s="12" customFormat="1" x14ac:dyDescent="0.25">
      <c r="A60" s="14"/>
      <c r="B60" s="14"/>
      <c r="C60" s="14"/>
      <c r="D60" s="88" t="s">
        <v>146</v>
      </c>
      <c r="E60" s="60">
        <f>_xlfn.F.INV(0.95,1,B30)</f>
        <v>5.9873776072736975</v>
      </c>
      <c r="F60" s="89" t="s">
        <v>148</v>
      </c>
      <c r="G60" s="18"/>
      <c r="H60" s="18"/>
      <c r="I60" s="108" t="s">
        <v>212</v>
      </c>
    </row>
    <row r="61" spans="1:9" s="12" customFormat="1" x14ac:dyDescent="0.25">
      <c r="A61" s="3"/>
      <c r="B61" s="3"/>
      <c r="C61" s="3"/>
      <c r="D61" s="61" t="s">
        <v>133</v>
      </c>
      <c r="E61" s="60">
        <f>1-_xlfn.F.DIST(E59,1,B30,1)</f>
        <v>0.27077051476300873</v>
      </c>
      <c r="F61" s="89" t="s">
        <v>152</v>
      </c>
      <c r="G61" s="18"/>
      <c r="H61" s="18"/>
      <c r="I61" s="3" t="s">
        <v>213</v>
      </c>
    </row>
    <row r="62" spans="1:9" s="12" customFormat="1" x14ac:dyDescent="0.25">
      <c r="A62" s="3"/>
      <c r="B62" s="3"/>
      <c r="C62" s="3"/>
      <c r="D62" s="3"/>
      <c r="E62" s="3"/>
      <c r="F62" s="3"/>
      <c r="G62" s="3"/>
      <c r="H62" s="3"/>
      <c r="I62" s="3"/>
    </row>
  </sheetData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7"/>
  <sheetViews>
    <sheetView topLeftCell="A16" zoomScale="115" zoomScaleNormal="115" workbookViewId="0">
      <selection activeCell="K29" sqref="K29"/>
    </sheetView>
  </sheetViews>
  <sheetFormatPr defaultRowHeight="15" x14ac:dyDescent="0.25"/>
  <cols>
    <col min="3" max="3" width="10.5703125" customWidth="1"/>
    <col min="9" max="9" width="11.85546875" bestFit="1" customWidth="1"/>
  </cols>
  <sheetData>
    <row r="1" spans="1:9" x14ac:dyDescent="0.25">
      <c r="A1" t="s">
        <v>46</v>
      </c>
    </row>
    <row r="2" spans="1:9" x14ac:dyDescent="0.25">
      <c r="A2" s="1" t="s">
        <v>5</v>
      </c>
      <c r="B2">
        <f>(1+51)/2</f>
        <v>26</v>
      </c>
    </row>
    <row r="3" spans="1:9" x14ac:dyDescent="0.25">
      <c r="A3" s="1" t="s">
        <v>6</v>
      </c>
      <c r="B3">
        <f>(51-1)/2</f>
        <v>25</v>
      </c>
    </row>
    <row r="4" spans="1:9" x14ac:dyDescent="0.25">
      <c r="A4" t="s">
        <v>47</v>
      </c>
    </row>
    <row r="5" spans="1:9" x14ac:dyDescent="0.25">
      <c r="A5" s="1" t="s">
        <v>7</v>
      </c>
      <c r="B5">
        <f>(0+12)/2</f>
        <v>6</v>
      </c>
    </row>
    <row r="6" spans="1:9" x14ac:dyDescent="0.25">
      <c r="A6" s="1" t="s">
        <v>8</v>
      </c>
      <c r="B6">
        <f>(12-0)/2</f>
        <v>6</v>
      </c>
    </row>
    <row r="7" spans="1:9" ht="15.75" thickBot="1" x14ac:dyDescent="0.3"/>
    <row r="8" spans="1:9" x14ac:dyDescent="0.25">
      <c r="A8" s="5"/>
      <c r="B8" s="5" t="s">
        <v>31</v>
      </c>
      <c r="C8" s="5" t="s">
        <v>19</v>
      </c>
      <c r="D8" s="5" t="s">
        <v>32</v>
      </c>
      <c r="E8" s="5" t="s">
        <v>33</v>
      </c>
      <c r="F8" s="5" t="s">
        <v>34</v>
      </c>
      <c r="G8" s="5" t="s">
        <v>35</v>
      </c>
      <c r="H8" s="5" t="s">
        <v>36</v>
      </c>
      <c r="I8" s="5" t="s">
        <v>37</v>
      </c>
    </row>
    <row r="9" spans="1:9" x14ac:dyDescent="0.25">
      <c r="A9" s="3" t="s">
        <v>25</v>
      </c>
      <c r="B9" s="7">
        <v>46.375</v>
      </c>
      <c r="C9" s="3">
        <v>0.69597054535375313</v>
      </c>
      <c r="D9" s="3">
        <v>66.633567051933454</v>
      </c>
      <c r="E9" s="3">
        <v>3.0389754509938751E-7</v>
      </c>
      <c r="F9" s="3">
        <v>44.442675985990732</v>
      </c>
      <c r="G9" s="3">
        <v>48.307324014009268</v>
      </c>
      <c r="H9" s="3">
        <v>43.170685581526129</v>
      </c>
      <c r="I9" s="3">
        <v>49.579314418473871</v>
      </c>
    </row>
    <row r="10" spans="1:9" x14ac:dyDescent="0.25">
      <c r="A10" s="3" t="s">
        <v>3</v>
      </c>
      <c r="B10" s="7">
        <v>17.124999999999996</v>
      </c>
      <c r="C10" s="3">
        <v>0.69597054535375313</v>
      </c>
      <c r="D10" s="3">
        <v>24.605926377668144</v>
      </c>
      <c r="E10" s="9">
        <v>1.6189200370291709E-5</v>
      </c>
      <c r="F10" s="10">
        <v>15.19267598599073</v>
      </c>
      <c r="G10" s="11">
        <v>19.057324014009264</v>
      </c>
      <c r="H10" s="3">
        <v>13.920685581526124</v>
      </c>
      <c r="I10" s="3">
        <v>20.329314418473871</v>
      </c>
    </row>
    <row r="11" spans="1:9" x14ac:dyDescent="0.25">
      <c r="A11" s="3" t="s">
        <v>4</v>
      </c>
      <c r="B11" s="7">
        <v>22.125000000000004</v>
      </c>
      <c r="C11" s="3">
        <v>0.69597054535375313</v>
      </c>
      <c r="D11" s="3">
        <v>31.790138458739143</v>
      </c>
      <c r="E11" s="3">
        <v>5.8360916069153362E-6</v>
      </c>
      <c r="F11" s="3">
        <v>20.192675985990736</v>
      </c>
      <c r="G11" s="3">
        <v>24.057324014009271</v>
      </c>
      <c r="H11" s="3">
        <v>18.920685581526129</v>
      </c>
      <c r="I11" s="3">
        <v>25.329314418473878</v>
      </c>
    </row>
    <row r="12" spans="1:9" ht="15.75" thickBot="1" x14ac:dyDescent="0.3">
      <c r="A12" s="4" t="s">
        <v>13</v>
      </c>
      <c r="B12" s="8">
        <v>11.874999999999998</v>
      </c>
      <c r="C12" s="4">
        <v>0.69597054535375324</v>
      </c>
      <c r="D12" s="4">
        <v>17.062503692543601</v>
      </c>
      <c r="E12" s="4">
        <v>6.9199036162705181E-5</v>
      </c>
      <c r="F12" s="4">
        <v>9.9426759859907321</v>
      </c>
      <c r="G12" s="4">
        <v>13.807324014009264</v>
      </c>
      <c r="H12" s="4">
        <v>8.6706855815261257</v>
      </c>
      <c r="I12" s="4">
        <v>15.079314418473871</v>
      </c>
    </row>
    <row r="13" spans="1:9" s="17" customFormat="1" x14ac:dyDescent="0.25">
      <c r="A13" s="7" t="s">
        <v>56</v>
      </c>
      <c r="B13" s="17">
        <f>B9</f>
        <v>46.375</v>
      </c>
      <c r="C13" s="17" t="s">
        <v>57</v>
      </c>
      <c r="D13" s="17">
        <f>B10</f>
        <v>17.124999999999996</v>
      </c>
      <c r="E13" s="17" t="s">
        <v>58</v>
      </c>
      <c r="F13" s="17">
        <f>B11</f>
        <v>22.125000000000004</v>
      </c>
      <c r="G13" s="17" t="s">
        <v>59</v>
      </c>
      <c r="H13" s="17">
        <f>B12</f>
        <v>11.874999999999998</v>
      </c>
      <c r="I13" s="17" t="s">
        <v>60</v>
      </c>
    </row>
    <row r="14" spans="1:9" s="17" customFormat="1" x14ac:dyDescent="0.25">
      <c r="A14" s="7"/>
    </row>
    <row r="15" spans="1:9" ht="33.75" customHeight="1" x14ac:dyDescent="0.25">
      <c r="A15" s="82" t="s">
        <v>116</v>
      </c>
      <c r="C15" s="83" t="s">
        <v>117</v>
      </c>
    </row>
    <row r="16" spans="1:9" x14ac:dyDescent="0.25">
      <c r="A16" s="1" t="s">
        <v>61</v>
      </c>
      <c r="C16" s="1" t="s">
        <v>63</v>
      </c>
      <c r="D16" s="33">
        <f>(15-B2)/B3</f>
        <v>-0.44</v>
      </c>
    </row>
    <row r="17" spans="1:11" x14ac:dyDescent="0.25">
      <c r="A17" s="1" t="s">
        <v>62</v>
      </c>
      <c r="C17" s="1" t="s">
        <v>64</v>
      </c>
      <c r="D17" s="33">
        <f>(6-B5)/B6</f>
        <v>0</v>
      </c>
      <c r="E17" s="33"/>
      <c r="H17" s="1" t="s">
        <v>118</v>
      </c>
      <c r="I17" s="34">
        <f>B13+D13*D16+F13*D17+H13*D16*D17</f>
        <v>38.840000000000003</v>
      </c>
    </row>
    <row r="18" spans="1:11" x14ac:dyDescent="0.25">
      <c r="I18" s="33">
        <f>B9+B10*D16+B11*D17+B12*D16*D17</f>
        <v>38.840000000000003</v>
      </c>
    </row>
    <row r="19" spans="1:11" x14ac:dyDescent="0.25">
      <c r="A19" s="92" t="s">
        <v>170</v>
      </c>
      <c r="B19" s="92"/>
      <c r="C19" s="92"/>
      <c r="D19" s="92"/>
      <c r="E19" s="92"/>
      <c r="F19" s="92"/>
    </row>
    <row r="20" spans="1:11" x14ac:dyDescent="0.25">
      <c r="A20" s="92" t="s">
        <v>78</v>
      </c>
      <c r="B20" s="92">
        <v>18.79</v>
      </c>
      <c r="C20" s="92" t="s">
        <v>74</v>
      </c>
      <c r="D20" s="92">
        <v>0.21</v>
      </c>
      <c r="E20" s="92" t="s">
        <v>75</v>
      </c>
      <c r="F20" s="92">
        <v>1.6291666666666669</v>
      </c>
      <c r="G20" s="92" t="s">
        <v>76</v>
      </c>
      <c r="H20" s="92">
        <v>7.9166666666666663E-2</v>
      </c>
      <c r="I20" s="92" t="s">
        <v>77</v>
      </c>
    </row>
    <row r="21" spans="1:11" x14ac:dyDescent="0.25">
      <c r="A21" s="92"/>
      <c r="B21" s="92">
        <f>B9+B10*(-B2/B3)+B11*(-B5/B6)+B12*(B2/B3)*(B5/B6)</f>
        <v>18.79</v>
      </c>
      <c r="C21" s="92"/>
      <c r="D21" s="92">
        <f>B10/B3+(B12/B3)*(-B5/B6)</f>
        <v>0.20999999999999991</v>
      </c>
      <c r="E21" s="92"/>
      <c r="F21" s="92">
        <f>B11/B6+B12/B6*(-B2/B3)</f>
        <v>1.6291666666666673</v>
      </c>
      <c r="G21" s="92"/>
      <c r="H21" s="92">
        <f>B12/(B3*B6)</f>
        <v>7.9166666666666649E-2</v>
      </c>
      <c r="I21" s="92"/>
    </row>
    <row r="22" spans="1:11" ht="30" x14ac:dyDescent="0.25">
      <c r="A22" s="82" t="s">
        <v>116</v>
      </c>
    </row>
    <row r="23" spans="1:11" x14ac:dyDescent="0.25">
      <c r="A23" s="1" t="s">
        <v>119</v>
      </c>
      <c r="B23" s="33">
        <v>15</v>
      </c>
      <c r="H23" s="1" t="s">
        <v>118</v>
      </c>
      <c r="I23" s="33">
        <f>B20+D20*B23+F20*B24+H20*B23*B24</f>
        <v>38.840000000000003</v>
      </c>
    </row>
    <row r="24" spans="1:11" x14ac:dyDescent="0.25">
      <c r="A24" s="1" t="s">
        <v>120</v>
      </c>
      <c r="B24" s="33">
        <v>6</v>
      </c>
    </row>
    <row r="27" spans="1:11" x14ac:dyDescent="0.25">
      <c r="A27" t="s">
        <v>197</v>
      </c>
    </row>
    <row r="31" spans="1:11" ht="15.75" thickBot="1" x14ac:dyDescent="0.3"/>
    <row r="32" spans="1:11" x14ac:dyDescent="0.25">
      <c r="K32" s="5" t="s">
        <v>31</v>
      </c>
    </row>
    <row r="33" spans="11:12" x14ac:dyDescent="0.25">
      <c r="K33" s="7">
        <v>46.375</v>
      </c>
      <c r="L33">
        <v>1</v>
      </c>
    </row>
    <row r="34" spans="11:12" x14ac:dyDescent="0.25">
      <c r="K34" s="7">
        <v>17.124999999999996</v>
      </c>
      <c r="L34" s="105">
        <v>1</v>
      </c>
    </row>
    <row r="35" spans="11:12" x14ac:dyDescent="0.25">
      <c r="K35" s="7">
        <v>22.125000000000004</v>
      </c>
      <c r="L35" s="105">
        <v>1</v>
      </c>
    </row>
    <row r="36" spans="11:12" ht="15.75" thickBot="1" x14ac:dyDescent="0.3">
      <c r="K36" s="8">
        <v>11.874999999999998</v>
      </c>
      <c r="L36">
        <f>L34*L35</f>
        <v>1</v>
      </c>
    </row>
    <row r="37" spans="11:12" x14ac:dyDescent="0.25">
      <c r="L37">
        <f>SUMPRODUCT(K33:K36,L33:L36)</f>
        <v>97.5</v>
      </c>
    </row>
  </sheetData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topLeftCell="A13" workbookViewId="0">
      <selection activeCell="H32" sqref="H32"/>
    </sheetView>
  </sheetViews>
  <sheetFormatPr defaultRowHeight="15" x14ac:dyDescent="0.25"/>
  <cols>
    <col min="10" max="10" width="14.7109375" customWidth="1"/>
  </cols>
  <sheetData>
    <row r="1" spans="1:15" x14ac:dyDescent="0.25">
      <c r="B1" s="2" t="s">
        <v>3</v>
      </c>
      <c r="C1" s="2" t="s">
        <v>4</v>
      </c>
      <c r="D1" s="2" t="s">
        <v>13</v>
      </c>
      <c r="E1" s="2" t="s">
        <v>2</v>
      </c>
    </row>
    <row r="2" spans="1:15" x14ac:dyDescent="0.25">
      <c r="A2" t="s">
        <v>9</v>
      </c>
      <c r="B2" s="2">
        <v>-1</v>
      </c>
      <c r="C2" s="2">
        <v>-1</v>
      </c>
      <c r="D2" s="2">
        <f>B2*C2</f>
        <v>1</v>
      </c>
      <c r="E2" s="2">
        <v>18</v>
      </c>
    </row>
    <row r="3" spans="1:15" x14ac:dyDescent="0.25">
      <c r="B3" s="2">
        <v>-1</v>
      </c>
      <c r="C3" s="2">
        <v>-1</v>
      </c>
      <c r="D3" s="2">
        <f t="shared" ref="D3:D9" si="0">B3*C3</f>
        <v>1</v>
      </c>
      <c r="E3" s="2">
        <v>20</v>
      </c>
    </row>
    <row r="4" spans="1:15" x14ac:dyDescent="0.25">
      <c r="A4" t="s">
        <v>10</v>
      </c>
      <c r="B4" s="2">
        <v>-1</v>
      </c>
      <c r="C4" s="2">
        <v>1</v>
      </c>
      <c r="D4" s="2">
        <f t="shared" si="0"/>
        <v>-1</v>
      </c>
      <c r="E4" s="2">
        <v>40</v>
      </c>
    </row>
    <row r="5" spans="1:15" x14ac:dyDescent="0.25">
      <c r="B5" s="2">
        <v>-1</v>
      </c>
      <c r="C5" s="2">
        <v>1</v>
      </c>
      <c r="D5" s="2">
        <f t="shared" si="0"/>
        <v>-1</v>
      </c>
      <c r="E5" s="2">
        <v>39</v>
      </c>
    </row>
    <row r="6" spans="1:15" x14ac:dyDescent="0.25">
      <c r="A6" t="s">
        <v>11</v>
      </c>
      <c r="B6" s="2">
        <v>1</v>
      </c>
      <c r="C6" s="2">
        <v>-1</v>
      </c>
      <c r="D6" s="2">
        <f t="shared" si="0"/>
        <v>-1</v>
      </c>
      <c r="E6" s="2">
        <v>29</v>
      </c>
    </row>
    <row r="7" spans="1:15" x14ac:dyDescent="0.25">
      <c r="B7" s="2">
        <v>1</v>
      </c>
      <c r="C7" s="2">
        <v>-1</v>
      </c>
      <c r="D7" s="2">
        <f t="shared" si="0"/>
        <v>-1</v>
      </c>
      <c r="E7" s="2">
        <v>30</v>
      </c>
    </row>
    <row r="8" spans="1:15" x14ac:dyDescent="0.25">
      <c r="A8" t="s">
        <v>12</v>
      </c>
      <c r="B8" s="2">
        <v>1</v>
      </c>
      <c r="C8" s="2">
        <v>1</v>
      </c>
      <c r="D8" s="2">
        <f t="shared" si="0"/>
        <v>1</v>
      </c>
      <c r="E8" s="2">
        <v>100</v>
      </c>
    </row>
    <row r="9" spans="1:15" x14ac:dyDescent="0.25">
      <c r="B9" s="2">
        <v>1</v>
      </c>
      <c r="C9" s="2">
        <v>1</v>
      </c>
      <c r="D9" s="2">
        <f t="shared" si="0"/>
        <v>1</v>
      </c>
      <c r="E9" s="2">
        <v>95</v>
      </c>
    </row>
    <row r="10" spans="1:15" x14ac:dyDescent="0.25">
      <c r="B10" s="2"/>
      <c r="C10" s="2"/>
      <c r="D10" s="2"/>
      <c r="E10" s="2"/>
    </row>
    <row r="11" spans="1:15" x14ac:dyDescent="0.25">
      <c r="B11" s="90" t="s">
        <v>158</v>
      </c>
      <c r="C11" s="2"/>
      <c r="D11" s="2"/>
      <c r="E11" s="2"/>
    </row>
    <row r="12" spans="1:15" x14ac:dyDescent="0.25">
      <c r="B12" s="2"/>
      <c r="C12" s="33" t="s">
        <v>154</v>
      </c>
      <c r="D12" s="2"/>
      <c r="E12" s="2"/>
      <c r="H12" s="2"/>
      <c r="I12" s="33" t="s">
        <v>155</v>
      </c>
      <c r="J12" s="2"/>
      <c r="N12" t="s">
        <v>159</v>
      </c>
    </row>
    <row r="13" spans="1:15" x14ac:dyDescent="0.25">
      <c r="C13" s="2">
        <v>-1</v>
      </c>
      <c r="D13" s="2">
        <v>1</v>
      </c>
      <c r="I13" s="2">
        <v>-1</v>
      </c>
      <c r="J13" s="2">
        <v>1</v>
      </c>
      <c r="N13" s="2">
        <v>-1</v>
      </c>
      <c r="O13" s="2">
        <v>1</v>
      </c>
    </row>
    <row r="14" spans="1:15" x14ac:dyDescent="0.25">
      <c r="C14" s="2">
        <f>AVERAGE(E2:E5)</f>
        <v>29.25</v>
      </c>
      <c r="D14" s="2">
        <f>AVERAGE(E6:E9)</f>
        <v>63.5</v>
      </c>
      <c r="I14" s="2">
        <f>AVERAGE(E2:E3,E6:E7)</f>
        <v>24.25</v>
      </c>
      <c r="J14" s="2">
        <f>AVERAGE(E4:E5,E8:E9)</f>
        <v>68.5</v>
      </c>
      <c r="N14" s="2">
        <f>AVERAGE(E4:E7)</f>
        <v>34.5</v>
      </c>
      <c r="O14" s="2">
        <f>AVERAGE(E2:E3,E8:E9)</f>
        <v>58.25</v>
      </c>
    </row>
    <row r="15" spans="1:15" x14ac:dyDescent="0.25">
      <c r="B15" s="1" t="s">
        <v>153</v>
      </c>
      <c r="C15" s="2">
        <f>D14-C14</f>
        <v>34.25</v>
      </c>
      <c r="D15" s="2"/>
      <c r="H15" s="1" t="s">
        <v>156</v>
      </c>
      <c r="I15" s="2">
        <f>J14-I14</f>
        <v>44.25</v>
      </c>
      <c r="J15" s="2"/>
      <c r="M15" s="1" t="s">
        <v>157</v>
      </c>
      <c r="N15" s="2">
        <f>O14-N14</f>
        <v>23.75</v>
      </c>
    </row>
    <row r="28" spans="2:5" x14ac:dyDescent="0.25">
      <c r="B28" s="91" t="s">
        <v>160</v>
      </c>
    </row>
    <row r="29" spans="2:5" x14ac:dyDescent="0.25">
      <c r="D29" t="s">
        <v>1</v>
      </c>
      <c r="E29" t="s">
        <v>1</v>
      </c>
    </row>
    <row r="30" spans="2:5" x14ac:dyDescent="0.25">
      <c r="D30" s="2">
        <v>-1</v>
      </c>
      <c r="E30" s="2">
        <v>1</v>
      </c>
    </row>
    <row r="31" spans="2:5" x14ac:dyDescent="0.25">
      <c r="B31" s="1" t="s">
        <v>0</v>
      </c>
      <c r="C31" s="2">
        <v>-1</v>
      </c>
      <c r="D31" s="2">
        <f>AVERAGE(E2:E3)</f>
        <v>19</v>
      </c>
      <c r="E31" s="2">
        <f>AVERAGE(E4:E5)</f>
        <v>39.5</v>
      </c>
    </row>
    <row r="32" spans="2:5" x14ac:dyDescent="0.25">
      <c r="C32" s="2">
        <v>1</v>
      </c>
      <c r="D32" s="2">
        <f>AVERAGE(E6:E7)</f>
        <v>29.5</v>
      </c>
      <c r="E32" s="2">
        <f>AVERAGE(E8:E9)</f>
        <v>97.5</v>
      </c>
    </row>
    <row r="45" spans="2:12" x14ac:dyDescent="0.25">
      <c r="B45" t="s">
        <v>161</v>
      </c>
      <c r="L45" t="s">
        <v>161</v>
      </c>
    </row>
    <row r="46" spans="2:12" x14ac:dyDescent="0.25">
      <c r="B46" t="s">
        <v>162</v>
      </c>
      <c r="L46" t="s">
        <v>165</v>
      </c>
    </row>
    <row r="47" spans="2:12" x14ac:dyDescent="0.25">
      <c r="B47" t="s">
        <v>163</v>
      </c>
      <c r="L47" t="s">
        <v>166</v>
      </c>
    </row>
    <row r="48" spans="2:12" x14ac:dyDescent="0.25">
      <c r="B48" t="s">
        <v>164</v>
      </c>
      <c r="L48" t="s">
        <v>167</v>
      </c>
    </row>
    <row r="49" spans="12:12" x14ac:dyDescent="0.25">
      <c r="L49" t="s">
        <v>168</v>
      </c>
    </row>
    <row r="50" spans="12:12" x14ac:dyDescent="0.25">
      <c r="L50" t="s">
        <v>169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1"/>
  <sheetViews>
    <sheetView zoomScale="130" zoomScaleNormal="130" workbookViewId="0">
      <selection activeCell="H22" sqref="H22"/>
    </sheetView>
  </sheetViews>
  <sheetFormatPr defaultRowHeight="15" x14ac:dyDescent="0.25"/>
  <cols>
    <col min="12" max="12" width="9.42578125" bestFit="1" customWidth="1"/>
  </cols>
  <sheetData>
    <row r="2" spans="1:12" x14ac:dyDescent="0.25">
      <c r="A2" s="1" t="s">
        <v>48</v>
      </c>
      <c r="B2" s="35">
        <v>1</v>
      </c>
      <c r="C2" s="36">
        <v>-1</v>
      </c>
      <c r="D2" s="36">
        <v>-1</v>
      </c>
      <c r="E2" s="37">
        <v>1</v>
      </c>
      <c r="G2" s="1" t="s">
        <v>49</v>
      </c>
      <c r="H2" s="19">
        <f t="array" ref="H2:K5">TRANSPOSE(B2:E5)</f>
        <v>1</v>
      </c>
      <c r="I2" s="20">
        <v>1</v>
      </c>
      <c r="J2" s="20">
        <v>1</v>
      </c>
      <c r="K2" s="21">
        <v>1</v>
      </c>
    </row>
    <row r="3" spans="1:12" x14ac:dyDescent="0.25">
      <c r="B3" s="38">
        <v>1</v>
      </c>
      <c r="C3" s="12">
        <v>-1</v>
      </c>
      <c r="D3" s="12">
        <v>1</v>
      </c>
      <c r="E3" s="39">
        <v>-1</v>
      </c>
      <c r="H3" s="22">
        <v>-1</v>
      </c>
      <c r="I3" s="15">
        <v>-1</v>
      </c>
      <c r="J3" s="15">
        <v>1</v>
      </c>
      <c r="K3" s="23">
        <v>1</v>
      </c>
    </row>
    <row r="4" spans="1:12" x14ac:dyDescent="0.25">
      <c r="B4" s="38">
        <v>1</v>
      </c>
      <c r="C4" s="12">
        <v>1</v>
      </c>
      <c r="D4" s="12">
        <v>-1</v>
      </c>
      <c r="E4" s="39">
        <v>-1</v>
      </c>
      <c r="H4" s="22">
        <v>-1</v>
      </c>
      <c r="I4" s="15">
        <v>1</v>
      </c>
      <c r="J4" s="15">
        <v>-1</v>
      </c>
      <c r="K4" s="23">
        <v>1</v>
      </c>
    </row>
    <row r="5" spans="1:12" x14ac:dyDescent="0.25">
      <c r="B5" s="40">
        <v>1</v>
      </c>
      <c r="C5" s="41">
        <v>1</v>
      </c>
      <c r="D5" s="41">
        <v>1</v>
      </c>
      <c r="E5" s="42">
        <v>1</v>
      </c>
      <c r="H5" s="24">
        <v>1</v>
      </c>
      <c r="I5" s="25">
        <v>-1</v>
      </c>
      <c r="J5" s="25">
        <v>-1</v>
      </c>
      <c r="K5" s="26">
        <v>1</v>
      </c>
    </row>
    <row r="8" spans="1:12" x14ac:dyDescent="0.25">
      <c r="A8" s="1" t="s">
        <v>66</v>
      </c>
      <c r="B8" s="19">
        <f t="array" ref="B8:E11">MMULT(H2:K5,B2:E5)</f>
        <v>4</v>
      </c>
      <c r="C8" s="20">
        <v>0</v>
      </c>
      <c r="D8" s="20">
        <v>0</v>
      </c>
      <c r="E8" s="21">
        <v>0</v>
      </c>
      <c r="G8" s="1" t="s">
        <v>67</v>
      </c>
      <c r="H8" s="19">
        <f t="array" ref="H8:K11">MINVERSE(B8:E11)</f>
        <v>0.25</v>
      </c>
      <c r="I8" s="20">
        <v>0</v>
      </c>
      <c r="J8" s="20">
        <v>0</v>
      </c>
      <c r="K8" s="21">
        <v>0</v>
      </c>
      <c r="L8" t="s">
        <v>65</v>
      </c>
    </row>
    <row r="9" spans="1:12" x14ac:dyDescent="0.25">
      <c r="B9" s="22">
        <v>0</v>
      </c>
      <c r="C9" s="15">
        <v>4</v>
      </c>
      <c r="D9" s="15">
        <v>0</v>
      </c>
      <c r="E9" s="23">
        <v>0</v>
      </c>
      <c r="H9" s="22">
        <v>0</v>
      </c>
      <c r="I9" s="15">
        <v>0.25</v>
      </c>
      <c r="J9" s="15">
        <v>0</v>
      </c>
      <c r="K9" s="23">
        <v>0</v>
      </c>
    </row>
    <row r="10" spans="1:12" x14ac:dyDescent="0.25">
      <c r="B10" s="22">
        <v>0</v>
      </c>
      <c r="C10" s="15">
        <v>0</v>
      </c>
      <c r="D10" s="15">
        <v>4</v>
      </c>
      <c r="E10" s="23">
        <v>0</v>
      </c>
      <c r="H10" s="22">
        <v>0</v>
      </c>
      <c r="I10" s="15">
        <v>0</v>
      </c>
      <c r="J10" s="15">
        <v>0.25</v>
      </c>
      <c r="K10" s="23">
        <v>0</v>
      </c>
    </row>
    <row r="11" spans="1:12" x14ac:dyDescent="0.25">
      <c r="B11" s="24">
        <v>0</v>
      </c>
      <c r="C11" s="25">
        <v>0</v>
      </c>
      <c r="D11" s="25">
        <v>0</v>
      </c>
      <c r="E11" s="26">
        <v>4</v>
      </c>
      <c r="H11" s="24">
        <v>0</v>
      </c>
      <c r="I11" s="25">
        <v>0</v>
      </c>
      <c r="J11" s="25">
        <v>0</v>
      </c>
      <c r="K11" s="26">
        <v>0.25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R81"/>
  <sheetViews>
    <sheetView zoomScale="85" zoomScaleNormal="85" workbookViewId="0">
      <selection activeCell="H64" sqref="H64"/>
    </sheetView>
  </sheetViews>
  <sheetFormatPr defaultRowHeight="15" x14ac:dyDescent="0.25"/>
  <cols>
    <col min="2" max="4" width="9.140625" style="2"/>
    <col min="6" max="6" width="10.140625" customWidth="1"/>
    <col min="7" max="7" width="13" customWidth="1"/>
    <col min="8" max="8" width="13.5703125" style="2" customWidth="1"/>
    <col min="9" max="10" width="9.140625" style="2"/>
  </cols>
  <sheetData>
    <row r="1" spans="2:16" x14ac:dyDescent="0.25">
      <c r="B1" s="2" t="s">
        <v>3</v>
      </c>
      <c r="C1" s="2" t="s">
        <v>4</v>
      </c>
      <c r="D1" s="2" t="s">
        <v>2</v>
      </c>
      <c r="F1" s="2" t="s">
        <v>3</v>
      </c>
      <c r="G1" s="2" t="s">
        <v>4</v>
      </c>
      <c r="H1" s="2" t="s">
        <v>13</v>
      </c>
      <c r="I1" s="2" t="s">
        <v>171</v>
      </c>
      <c r="J1" s="2" t="s">
        <v>172</v>
      </c>
      <c r="K1" s="27" t="s">
        <v>2</v>
      </c>
    </row>
    <row r="2" spans="2:16" x14ac:dyDescent="0.25">
      <c r="B2" s="2">
        <v>-1</v>
      </c>
      <c r="C2" s="2">
        <v>-1</v>
      </c>
      <c r="D2" s="2">
        <v>43</v>
      </c>
      <c r="F2">
        <f>B2</f>
        <v>-1</v>
      </c>
      <c r="G2">
        <f>C2</f>
        <v>-1</v>
      </c>
      <c r="H2" s="2">
        <f>F2*G2</f>
        <v>1</v>
      </c>
      <c r="I2" s="2">
        <f>F2^2</f>
        <v>1</v>
      </c>
      <c r="J2" s="2">
        <f>G2^2</f>
        <v>1</v>
      </c>
      <c r="K2" s="28">
        <f>D2</f>
        <v>43</v>
      </c>
    </row>
    <row r="3" spans="2:16" x14ac:dyDescent="0.25">
      <c r="B3" s="2">
        <v>1</v>
      </c>
      <c r="C3" s="2">
        <v>-1</v>
      </c>
      <c r="D3" s="2">
        <v>78</v>
      </c>
      <c r="F3">
        <f t="shared" ref="F3:F13" si="0">B3</f>
        <v>1</v>
      </c>
      <c r="G3">
        <f t="shared" ref="G3:G13" si="1">C3</f>
        <v>-1</v>
      </c>
      <c r="H3" s="2">
        <f t="shared" ref="H3:H13" si="2">F3*G3</f>
        <v>-1</v>
      </c>
      <c r="I3" s="2">
        <f t="shared" ref="I3:I13" si="3">F3^2</f>
        <v>1</v>
      </c>
      <c r="J3" s="2">
        <f t="shared" ref="J3:J13" si="4">G3^2</f>
        <v>1</v>
      </c>
      <c r="K3" s="28">
        <f t="shared" ref="K3:K13" si="5">D3</f>
        <v>78</v>
      </c>
    </row>
    <row r="4" spans="2:16" x14ac:dyDescent="0.25">
      <c r="B4" s="2">
        <v>-1</v>
      </c>
      <c r="C4" s="2">
        <v>1</v>
      </c>
      <c r="D4" s="2">
        <v>69</v>
      </c>
      <c r="F4">
        <f t="shared" si="0"/>
        <v>-1</v>
      </c>
      <c r="G4">
        <f t="shared" si="1"/>
        <v>1</v>
      </c>
      <c r="H4" s="2">
        <f t="shared" si="2"/>
        <v>-1</v>
      </c>
      <c r="I4" s="2">
        <f t="shared" si="3"/>
        <v>1</v>
      </c>
      <c r="J4" s="2">
        <f t="shared" si="4"/>
        <v>1</v>
      </c>
      <c r="K4" s="28">
        <f t="shared" si="5"/>
        <v>69</v>
      </c>
    </row>
    <row r="5" spans="2:16" x14ac:dyDescent="0.25">
      <c r="B5" s="2">
        <v>1</v>
      </c>
      <c r="C5" s="2">
        <v>1</v>
      </c>
      <c r="D5" s="2">
        <v>73</v>
      </c>
      <c r="F5">
        <f t="shared" si="0"/>
        <v>1</v>
      </c>
      <c r="G5">
        <f t="shared" si="1"/>
        <v>1</v>
      </c>
      <c r="H5" s="2">
        <f t="shared" si="2"/>
        <v>1</v>
      </c>
      <c r="I5" s="2">
        <f t="shared" si="3"/>
        <v>1</v>
      </c>
      <c r="J5" s="2">
        <f t="shared" si="4"/>
        <v>1</v>
      </c>
      <c r="K5" s="28">
        <f t="shared" si="5"/>
        <v>73</v>
      </c>
      <c r="P5" t="s">
        <v>196</v>
      </c>
    </row>
    <row r="6" spans="2:16" x14ac:dyDescent="0.25">
      <c r="B6" s="2">
        <f>-SQRT(2)</f>
        <v>-1.4142135623730951</v>
      </c>
      <c r="C6" s="2">
        <v>0</v>
      </c>
      <c r="D6" s="2">
        <v>48</v>
      </c>
      <c r="F6">
        <f t="shared" si="0"/>
        <v>-1.4142135623730951</v>
      </c>
      <c r="G6">
        <f t="shared" si="1"/>
        <v>0</v>
      </c>
      <c r="H6" s="2">
        <f t="shared" si="2"/>
        <v>0</v>
      </c>
      <c r="I6" s="2">
        <f t="shared" si="3"/>
        <v>2.0000000000000004</v>
      </c>
      <c r="J6" s="2">
        <f t="shared" si="4"/>
        <v>0</v>
      </c>
      <c r="K6" s="28">
        <f t="shared" si="5"/>
        <v>48</v>
      </c>
    </row>
    <row r="7" spans="2:16" x14ac:dyDescent="0.25">
      <c r="B7" s="2">
        <f>SQRT(2)</f>
        <v>1.4142135623730951</v>
      </c>
      <c r="C7" s="2">
        <v>0</v>
      </c>
      <c r="D7" s="2">
        <v>76</v>
      </c>
      <c r="F7">
        <f t="shared" si="0"/>
        <v>1.4142135623730951</v>
      </c>
      <c r="G7">
        <f t="shared" si="1"/>
        <v>0</v>
      </c>
      <c r="H7" s="2">
        <f t="shared" si="2"/>
        <v>0</v>
      </c>
      <c r="I7" s="2">
        <f t="shared" si="3"/>
        <v>2.0000000000000004</v>
      </c>
      <c r="J7" s="2">
        <f t="shared" si="4"/>
        <v>0</v>
      </c>
      <c r="K7" s="28">
        <f t="shared" si="5"/>
        <v>76</v>
      </c>
    </row>
    <row r="8" spans="2:16" x14ac:dyDescent="0.25">
      <c r="B8" s="2">
        <v>0</v>
      </c>
      <c r="C8" s="2">
        <f>-SQRT(2)</f>
        <v>-1.4142135623730951</v>
      </c>
      <c r="D8" s="2">
        <v>65</v>
      </c>
      <c r="F8">
        <f t="shared" si="0"/>
        <v>0</v>
      </c>
      <c r="G8">
        <f t="shared" si="1"/>
        <v>-1.4142135623730951</v>
      </c>
      <c r="H8" s="2">
        <f t="shared" si="2"/>
        <v>0</v>
      </c>
      <c r="I8" s="2">
        <f t="shared" si="3"/>
        <v>0</v>
      </c>
      <c r="J8" s="2">
        <f t="shared" si="4"/>
        <v>2.0000000000000004</v>
      </c>
      <c r="K8" s="28">
        <f t="shared" si="5"/>
        <v>65</v>
      </c>
    </row>
    <row r="9" spans="2:16" x14ac:dyDescent="0.25">
      <c r="B9" s="2">
        <v>0</v>
      </c>
      <c r="C9" s="2">
        <f>SQRT(2)</f>
        <v>1.4142135623730951</v>
      </c>
      <c r="D9" s="2">
        <v>74</v>
      </c>
      <c r="F9">
        <f t="shared" si="0"/>
        <v>0</v>
      </c>
      <c r="G9">
        <f t="shared" si="1"/>
        <v>1.4142135623730951</v>
      </c>
      <c r="H9" s="2">
        <f t="shared" si="2"/>
        <v>0</v>
      </c>
      <c r="I9" s="2">
        <f t="shared" si="3"/>
        <v>0</v>
      </c>
      <c r="J9" s="2">
        <f t="shared" si="4"/>
        <v>2.0000000000000004</v>
      </c>
      <c r="K9" s="28">
        <f t="shared" si="5"/>
        <v>74</v>
      </c>
    </row>
    <row r="10" spans="2:16" x14ac:dyDescent="0.25">
      <c r="B10" s="2">
        <v>0</v>
      </c>
      <c r="C10" s="2">
        <v>0</v>
      </c>
      <c r="D10" s="2">
        <v>76</v>
      </c>
      <c r="F10">
        <f t="shared" si="0"/>
        <v>0</v>
      </c>
      <c r="G10">
        <f t="shared" si="1"/>
        <v>0</v>
      </c>
      <c r="H10" s="2">
        <f t="shared" si="2"/>
        <v>0</v>
      </c>
      <c r="I10" s="2">
        <f t="shared" si="3"/>
        <v>0</v>
      </c>
      <c r="J10" s="2">
        <f t="shared" si="4"/>
        <v>0</v>
      </c>
      <c r="K10" s="28">
        <f t="shared" si="5"/>
        <v>76</v>
      </c>
    </row>
    <row r="11" spans="2:16" x14ac:dyDescent="0.25">
      <c r="B11" s="2">
        <v>0</v>
      </c>
      <c r="C11" s="2">
        <v>0</v>
      </c>
      <c r="D11" s="2">
        <v>79</v>
      </c>
      <c r="F11">
        <f t="shared" si="0"/>
        <v>0</v>
      </c>
      <c r="G11">
        <f t="shared" si="1"/>
        <v>0</v>
      </c>
      <c r="H11" s="2">
        <f t="shared" si="2"/>
        <v>0</v>
      </c>
      <c r="I11" s="2">
        <f t="shared" si="3"/>
        <v>0</v>
      </c>
      <c r="J11" s="2">
        <f t="shared" si="4"/>
        <v>0</v>
      </c>
      <c r="K11" s="28">
        <f t="shared" si="5"/>
        <v>79</v>
      </c>
    </row>
    <row r="12" spans="2:16" x14ac:dyDescent="0.25">
      <c r="B12" s="2">
        <v>0</v>
      </c>
      <c r="C12" s="2">
        <v>0</v>
      </c>
      <c r="D12" s="2">
        <v>83</v>
      </c>
      <c r="F12">
        <f t="shared" si="0"/>
        <v>0</v>
      </c>
      <c r="G12">
        <f t="shared" si="1"/>
        <v>0</v>
      </c>
      <c r="H12" s="2">
        <f t="shared" si="2"/>
        <v>0</v>
      </c>
      <c r="I12" s="2">
        <f t="shared" si="3"/>
        <v>0</v>
      </c>
      <c r="J12" s="2">
        <f t="shared" si="4"/>
        <v>0</v>
      </c>
      <c r="K12" s="28">
        <f t="shared" si="5"/>
        <v>83</v>
      </c>
    </row>
    <row r="13" spans="2:16" x14ac:dyDescent="0.25">
      <c r="B13" s="2">
        <v>0</v>
      </c>
      <c r="C13" s="2">
        <v>0</v>
      </c>
      <c r="D13" s="2">
        <v>81</v>
      </c>
      <c r="F13">
        <f t="shared" si="0"/>
        <v>0</v>
      </c>
      <c r="G13">
        <f t="shared" si="1"/>
        <v>0</v>
      </c>
      <c r="H13" s="2">
        <f t="shared" si="2"/>
        <v>0</v>
      </c>
      <c r="I13" s="2">
        <f t="shared" si="3"/>
        <v>0</v>
      </c>
      <c r="J13" s="2">
        <f t="shared" si="4"/>
        <v>0</v>
      </c>
      <c r="K13" s="29">
        <f t="shared" si="5"/>
        <v>81</v>
      </c>
    </row>
    <row r="16" spans="2:16" x14ac:dyDescent="0.25">
      <c r="F16" t="s">
        <v>14</v>
      </c>
      <c r="H16"/>
      <c r="I16"/>
      <c r="J16"/>
    </row>
    <row r="17" spans="6:14" ht="15.75" thickBot="1" x14ac:dyDescent="0.3">
      <c r="H17"/>
      <c r="I17"/>
      <c r="J17"/>
    </row>
    <row r="18" spans="6:14" x14ac:dyDescent="0.25">
      <c r="F18" s="6" t="s">
        <v>15</v>
      </c>
      <c r="G18" s="6"/>
      <c r="H18"/>
      <c r="I18"/>
      <c r="J18"/>
    </row>
    <row r="19" spans="6:14" x14ac:dyDescent="0.25">
      <c r="F19" s="3" t="s">
        <v>16</v>
      </c>
      <c r="G19" s="3">
        <v>0.98995812420565288</v>
      </c>
      <c r="H19"/>
      <c r="I19"/>
      <c r="J19"/>
    </row>
    <row r="20" spans="6:14" x14ac:dyDescent="0.25">
      <c r="F20" s="3" t="s">
        <v>17</v>
      </c>
      <c r="G20" s="3">
        <v>0.98001708768077478</v>
      </c>
      <c r="H20"/>
      <c r="I20"/>
      <c r="J20"/>
    </row>
    <row r="21" spans="6:14" x14ac:dyDescent="0.25">
      <c r="F21" s="3" t="s">
        <v>18</v>
      </c>
      <c r="G21" s="3">
        <v>0.96336466074808713</v>
      </c>
      <c r="H21"/>
      <c r="I21"/>
      <c r="J21"/>
    </row>
    <row r="22" spans="6:14" x14ac:dyDescent="0.25">
      <c r="F22" s="3" t="s">
        <v>19</v>
      </c>
      <c r="G22" s="3">
        <v>2.4272105611866586</v>
      </c>
      <c r="H22"/>
      <c r="I22"/>
      <c r="J22"/>
    </row>
    <row r="23" spans="6:14" ht="15.75" thickBot="1" x14ac:dyDescent="0.3">
      <c r="F23" s="4" t="s">
        <v>20</v>
      </c>
      <c r="G23" s="4">
        <v>12</v>
      </c>
      <c r="H23"/>
      <c r="I23"/>
      <c r="J23"/>
    </row>
    <row r="24" spans="6:14" x14ac:dyDescent="0.25">
      <c r="H24"/>
      <c r="I24"/>
      <c r="J24"/>
    </row>
    <row r="25" spans="6:14" ht="15.75" thickBot="1" x14ac:dyDescent="0.3">
      <c r="F25" t="s">
        <v>21</v>
      </c>
      <c r="H25"/>
      <c r="I25"/>
      <c r="J25"/>
    </row>
    <row r="26" spans="6:14" x14ac:dyDescent="0.25">
      <c r="F26" s="5"/>
      <c r="G26" s="5" t="s">
        <v>26</v>
      </c>
      <c r="H26" s="5" t="s">
        <v>27</v>
      </c>
      <c r="I26" s="5" t="s">
        <v>28</v>
      </c>
      <c r="J26" s="5" t="s">
        <v>29</v>
      </c>
      <c r="K26" s="5" t="s">
        <v>30</v>
      </c>
    </row>
    <row r="27" spans="6:14" x14ac:dyDescent="0.25">
      <c r="F27" s="3" t="s">
        <v>22</v>
      </c>
      <c r="G27" s="3">
        <v>5</v>
      </c>
      <c r="H27" s="3">
        <v>1733.5685600166507</v>
      </c>
      <c r="I27" s="3">
        <v>346.71371200333016</v>
      </c>
      <c r="J27" s="3">
        <v>58.851306878101781</v>
      </c>
      <c r="K27" s="3">
        <v>5.1193049237724117E-5</v>
      </c>
    </row>
    <row r="28" spans="6:14" x14ac:dyDescent="0.25">
      <c r="F28" s="3" t="s">
        <v>23</v>
      </c>
      <c r="G28" s="3">
        <v>6</v>
      </c>
      <c r="H28" s="3">
        <v>35.348106650016327</v>
      </c>
      <c r="I28" s="3">
        <v>5.8913511083360541</v>
      </c>
      <c r="J28" s="3"/>
      <c r="K28" s="3"/>
    </row>
    <row r="29" spans="6:14" ht="15.75" thickBot="1" x14ac:dyDescent="0.3">
      <c r="F29" s="4" t="s">
        <v>24</v>
      </c>
      <c r="G29" s="4">
        <v>11</v>
      </c>
      <c r="H29" s="4">
        <v>1768.916666666667</v>
      </c>
      <c r="I29" s="4"/>
      <c r="J29" s="4"/>
      <c r="K29" s="4"/>
    </row>
    <row r="30" spans="6:14" ht="15.75" thickBot="1" x14ac:dyDescent="0.3">
      <c r="H30"/>
      <c r="I30"/>
      <c r="J30"/>
    </row>
    <row r="31" spans="6:14" x14ac:dyDescent="0.25">
      <c r="F31" s="5"/>
      <c r="G31" s="5" t="s">
        <v>31</v>
      </c>
      <c r="H31" s="5" t="s">
        <v>19</v>
      </c>
      <c r="I31" s="5" t="s">
        <v>32</v>
      </c>
      <c r="J31" s="5" t="s">
        <v>33</v>
      </c>
      <c r="K31" s="5" t="s">
        <v>34</v>
      </c>
      <c r="L31" s="5" t="s">
        <v>35</v>
      </c>
      <c r="M31" s="5" t="s">
        <v>41</v>
      </c>
      <c r="N31" s="5" t="s">
        <v>42</v>
      </c>
    </row>
    <row r="32" spans="6:14" x14ac:dyDescent="0.25">
      <c r="F32" s="3" t="s">
        <v>25</v>
      </c>
      <c r="G32" s="7">
        <v>79.750000000000014</v>
      </c>
      <c r="H32" s="3">
        <v>1.2136052805933293</v>
      </c>
      <c r="I32" s="3">
        <v>65.713293502653841</v>
      </c>
      <c r="J32" s="3">
        <v>8.352210426749585E-10</v>
      </c>
      <c r="K32" s="3">
        <v>76.780414856304077</v>
      </c>
      <c r="L32" s="3">
        <v>82.719585143695952</v>
      </c>
      <c r="M32" s="3">
        <v>76.780414856304077</v>
      </c>
      <c r="N32" s="3">
        <v>82.719585143695952</v>
      </c>
    </row>
    <row r="33" spans="5:18" x14ac:dyDescent="0.25">
      <c r="F33" s="3" t="s">
        <v>3</v>
      </c>
      <c r="G33" s="7">
        <v>9.8247474683058353</v>
      </c>
      <c r="H33" s="3">
        <v>0.85814852359134586</v>
      </c>
      <c r="I33" s="3">
        <v>11.448772791904753</v>
      </c>
      <c r="J33" s="63">
        <v>2.6649894935568257E-5</v>
      </c>
      <c r="K33" s="3">
        <v>7.7249336758876126</v>
      </c>
      <c r="L33" s="3">
        <v>11.924561260724058</v>
      </c>
      <c r="M33" s="3">
        <v>7.7249336758876126</v>
      </c>
      <c r="N33" s="3">
        <v>11.924561260724058</v>
      </c>
    </row>
    <row r="34" spans="5:18" x14ac:dyDescent="0.25">
      <c r="F34" s="3" t="s">
        <v>4</v>
      </c>
      <c r="G34" s="7">
        <v>4.2159902576697315</v>
      </c>
      <c r="H34" s="3">
        <v>0.85814852359134586</v>
      </c>
      <c r="I34" s="3">
        <v>4.9128911158942978</v>
      </c>
      <c r="J34" s="63">
        <v>2.6758846248307556E-3</v>
      </c>
      <c r="K34" s="3">
        <v>2.1161764652515087</v>
      </c>
      <c r="L34" s="3">
        <v>6.3158040500879542</v>
      </c>
      <c r="M34" s="3">
        <v>2.1161764652515087</v>
      </c>
      <c r="N34" s="3">
        <v>6.3158040500879542</v>
      </c>
    </row>
    <row r="35" spans="5:18" x14ac:dyDescent="0.25">
      <c r="F35" s="3" t="s">
        <v>13</v>
      </c>
      <c r="G35" s="7">
        <v>-7.7500000000000036</v>
      </c>
      <c r="H35" s="3">
        <v>1.2136052805933293</v>
      </c>
      <c r="I35" s="3">
        <v>-6.3859313435180862</v>
      </c>
      <c r="J35" s="63">
        <v>6.9375018881222186E-4</v>
      </c>
      <c r="K35" s="3">
        <v>-10.719585143695937</v>
      </c>
      <c r="L35" s="3">
        <v>-4.7804148563040698</v>
      </c>
      <c r="M35" s="3">
        <v>-10.719585143695937</v>
      </c>
      <c r="N35" s="3">
        <v>-4.7804148563040698</v>
      </c>
    </row>
    <row r="36" spans="5:18" x14ac:dyDescent="0.25">
      <c r="F36" s="3" t="s">
        <v>171</v>
      </c>
      <c r="G36" s="7">
        <v>-8.8749999999999964</v>
      </c>
      <c r="H36" s="3">
        <v>0.95943921677066546</v>
      </c>
      <c r="I36" s="3">
        <v>-9.2501951607439725</v>
      </c>
      <c r="J36" s="63">
        <v>9.0171858347771103E-5</v>
      </c>
      <c r="K36" s="3">
        <v>-11.222663189969385</v>
      </c>
      <c r="L36" s="3">
        <v>-6.5273368100306079</v>
      </c>
      <c r="M36" s="3">
        <v>-11.222663189969385</v>
      </c>
      <c r="N36" s="3">
        <v>-6.5273368100306079</v>
      </c>
    </row>
    <row r="37" spans="5:18" ht="15.75" thickBot="1" x14ac:dyDescent="0.3">
      <c r="F37" s="4" t="s">
        <v>172</v>
      </c>
      <c r="G37" s="8">
        <v>-5.125</v>
      </c>
      <c r="H37" s="4">
        <v>0.95943921677066557</v>
      </c>
      <c r="I37" s="4">
        <v>-5.3416619942324362</v>
      </c>
      <c r="J37" s="93">
        <v>1.7585012831137312E-3</v>
      </c>
      <c r="K37" s="4">
        <v>-7.4726631899693885</v>
      </c>
      <c r="L37" s="4">
        <v>-2.7773368100306111</v>
      </c>
      <c r="M37" s="4">
        <v>-7.4726631899693885</v>
      </c>
      <c r="N37" s="4">
        <v>-2.7773368100306111</v>
      </c>
    </row>
    <row r="38" spans="5:18" x14ac:dyDescent="0.25">
      <c r="F38" s="7" t="s">
        <v>56</v>
      </c>
      <c r="G38" s="17">
        <f>G32</f>
        <v>79.750000000000014</v>
      </c>
      <c r="H38" s="17" t="s">
        <v>57</v>
      </c>
      <c r="I38" s="17">
        <f>G33</f>
        <v>9.8247474683058353</v>
      </c>
      <c r="J38" s="17" t="s">
        <v>58</v>
      </c>
      <c r="K38" s="17">
        <f>G34</f>
        <v>4.2159902576697315</v>
      </c>
      <c r="L38" s="17" t="s">
        <v>173</v>
      </c>
      <c r="M38" s="17">
        <f>G35</f>
        <v>-7.7500000000000036</v>
      </c>
      <c r="N38" s="17" t="s">
        <v>60</v>
      </c>
      <c r="O38" s="17">
        <f>G36</f>
        <v>-8.8749999999999964</v>
      </c>
      <c r="P38" s="17" t="s">
        <v>174</v>
      </c>
      <c r="Q38" s="17">
        <f>G37</f>
        <v>-5.125</v>
      </c>
      <c r="R38" s="17" t="s">
        <v>175</v>
      </c>
    </row>
    <row r="39" spans="5:18" x14ac:dyDescent="0.25">
      <c r="H39"/>
      <c r="I39"/>
      <c r="J39"/>
    </row>
    <row r="40" spans="5:18" x14ac:dyDescent="0.25">
      <c r="H40"/>
      <c r="I40"/>
      <c r="J40"/>
    </row>
    <row r="41" spans="5:18" x14ac:dyDescent="0.25">
      <c r="E41" t="s">
        <v>178</v>
      </c>
      <c r="F41" t="s">
        <v>177</v>
      </c>
    </row>
    <row r="42" spans="5:18" x14ac:dyDescent="0.25">
      <c r="F42" s="3" t="s">
        <v>25</v>
      </c>
      <c r="G42">
        <f>G32</f>
        <v>79.750000000000014</v>
      </c>
      <c r="H42" s="2">
        <v>1</v>
      </c>
    </row>
    <row r="43" spans="5:18" x14ac:dyDescent="0.25">
      <c r="F43" s="3" t="s">
        <v>3</v>
      </c>
      <c r="G43">
        <f t="shared" ref="G43:G47" si="6">G33</f>
        <v>9.8247474683058353</v>
      </c>
      <c r="H43" s="94">
        <v>0.5581927093671466</v>
      </c>
    </row>
    <row r="44" spans="5:18" x14ac:dyDescent="0.25">
      <c r="F44" s="3" t="s">
        <v>4</v>
      </c>
      <c r="G44">
        <f t="shared" si="6"/>
        <v>4.2159902576697315</v>
      </c>
      <c r="H44" s="95">
        <v>-1.0732034629142398E-2</v>
      </c>
    </row>
    <row r="45" spans="5:18" x14ac:dyDescent="0.25">
      <c r="F45" s="3" t="s">
        <v>13</v>
      </c>
      <c r="G45">
        <f t="shared" si="6"/>
        <v>-7.7500000000000036</v>
      </c>
      <c r="H45" s="2">
        <f>H43*H44</f>
        <v>-5.9905434866630355E-3</v>
      </c>
    </row>
    <row r="46" spans="5:18" x14ac:dyDescent="0.25">
      <c r="F46" s="3" t="s">
        <v>171</v>
      </c>
      <c r="G46">
        <f t="shared" si="6"/>
        <v>-8.8749999999999964</v>
      </c>
      <c r="H46" s="2">
        <f>H43^2</f>
        <v>0.31157910079063578</v>
      </c>
    </row>
    <row r="47" spans="5:18" ht="15.75" thickBot="1" x14ac:dyDescent="0.3">
      <c r="F47" s="4" t="s">
        <v>172</v>
      </c>
      <c r="G47">
        <f t="shared" si="6"/>
        <v>-5.125</v>
      </c>
      <c r="H47" s="2">
        <f>H44^2</f>
        <v>1.1517656728111159E-4</v>
      </c>
    </row>
    <row r="48" spans="5:18" x14ac:dyDescent="0.25">
      <c r="F48" s="3" t="s">
        <v>176</v>
      </c>
      <c r="H48" s="2">
        <f>SUMPRODUCT(G42:G47,H42:H47)</f>
        <v>82.469428167337654</v>
      </c>
      <c r="I48" s="33" t="s">
        <v>179</v>
      </c>
    </row>
    <row r="50" spans="5:12" x14ac:dyDescent="0.25">
      <c r="E50" t="s">
        <v>180</v>
      </c>
      <c r="F50" t="s">
        <v>181</v>
      </c>
    </row>
    <row r="52" spans="5:12" x14ac:dyDescent="0.25">
      <c r="J52"/>
    </row>
    <row r="56" spans="5:12" x14ac:dyDescent="0.25">
      <c r="F56" s="103" t="s">
        <v>182</v>
      </c>
    </row>
    <row r="57" spans="5:12" ht="18.75" x14ac:dyDescent="0.25">
      <c r="F57" s="96"/>
    </row>
    <row r="58" spans="5:12" ht="18.75" x14ac:dyDescent="0.25">
      <c r="F58" s="96"/>
    </row>
    <row r="60" spans="5:12" x14ac:dyDescent="0.25">
      <c r="F60" s="1" t="s">
        <v>183</v>
      </c>
      <c r="G60" s="97">
        <f>G43</f>
        <v>9.8247474683058353</v>
      </c>
    </row>
    <row r="61" spans="5:12" x14ac:dyDescent="0.25">
      <c r="G61" s="98">
        <f>G44</f>
        <v>4.2159902576697315</v>
      </c>
    </row>
    <row r="63" spans="5:12" x14ac:dyDescent="0.25">
      <c r="F63" s="1" t="s">
        <v>50</v>
      </c>
      <c r="G63" s="99">
        <f>G46</f>
        <v>-8.8749999999999964</v>
      </c>
      <c r="H63" s="100">
        <f>G45/2</f>
        <v>-3.8750000000000018</v>
      </c>
      <c r="J63" s="1" t="s">
        <v>184</v>
      </c>
      <c r="K63" s="35">
        <f t="array" ref="K63:L64">MINVERSE(G63:H64)</f>
        <v>-0.1682051282051284</v>
      </c>
      <c r="L63" s="37">
        <v>0.12717948717948738</v>
      </c>
    </row>
    <row r="64" spans="5:12" x14ac:dyDescent="0.25">
      <c r="G64" s="101">
        <f>G45/2</f>
        <v>-3.8750000000000018</v>
      </c>
      <c r="H64" s="102">
        <f>G47</f>
        <v>-5.125</v>
      </c>
      <c r="K64" s="40">
        <v>0.12717948717948738</v>
      </c>
      <c r="L64" s="42">
        <v>-0.29128205128205148</v>
      </c>
    </row>
    <row r="66" spans="6:9" x14ac:dyDescent="0.25">
      <c r="F66" s="1" t="s">
        <v>185</v>
      </c>
      <c r="G66" s="97">
        <f t="array" ref="G66:G67">MMULT(K63:L64,G60:G61)</f>
        <v>-1.1163854285652421</v>
      </c>
    </row>
    <row r="67" spans="6:9" x14ac:dyDescent="0.25">
      <c r="G67" s="98">
        <v>2.1464054247918973E-2</v>
      </c>
    </row>
    <row r="69" spans="6:9" x14ac:dyDescent="0.25">
      <c r="F69" s="1" t="s">
        <v>186</v>
      </c>
      <c r="G69" s="97">
        <f>-0.5*G66</f>
        <v>0.55819271428262107</v>
      </c>
    </row>
    <row r="70" spans="6:9" x14ac:dyDescent="0.25">
      <c r="G70" s="98">
        <f>-0.5*G67</f>
        <v>-1.0732027123959487E-2</v>
      </c>
    </row>
    <row r="71" spans="6:9" x14ac:dyDescent="0.25">
      <c r="F71" s="1"/>
    </row>
    <row r="72" spans="6:9" x14ac:dyDescent="0.25">
      <c r="F72" t="s">
        <v>187</v>
      </c>
    </row>
    <row r="75" spans="6:9" x14ac:dyDescent="0.25">
      <c r="F75" s="1" t="s">
        <v>190</v>
      </c>
      <c r="G75" s="104" t="s">
        <v>188</v>
      </c>
      <c r="H75" s="21">
        <v>-3.8750000000000018</v>
      </c>
      <c r="I75" s="33" t="s">
        <v>191</v>
      </c>
    </row>
    <row r="76" spans="6:9" x14ac:dyDescent="0.25">
      <c r="G76" s="40">
        <v>-3.8750000000000018</v>
      </c>
      <c r="H76" s="26" t="s">
        <v>189</v>
      </c>
    </row>
    <row r="77" spans="6:9" x14ac:dyDescent="0.25">
      <c r="G77" s="12"/>
      <c r="H77" s="15"/>
    </row>
    <row r="78" spans="6:9" x14ac:dyDescent="0.25">
      <c r="G78" s="12"/>
      <c r="H78" s="15"/>
    </row>
    <row r="80" spans="6:9" x14ac:dyDescent="0.25">
      <c r="F80" t="s">
        <v>192</v>
      </c>
      <c r="G80" s="97"/>
    </row>
    <row r="81" spans="7:7" x14ac:dyDescent="0.25">
      <c r="G81" s="98"/>
    </row>
  </sheetData>
  <pageMargins left="0.23622047244094491" right="0.23622047244094491" top="0" bottom="0" header="0.31496062992125984" footer="0.31496062992125984"/>
  <pageSetup paperSize="9" scale="32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zadanie</vt:lpstr>
      <vt:lpstr>MNŠ</vt:lpstr>
      <vt:lpstr>indiv.t-test+celkovy F-test+R^2</vt:lpstr>
      <vt:lpstr>LOF+test krivosti</vt:lpstr>
      <vt:lpstr>predikcia</vt:lpstr>
      <vt:lpstr>efekty</vt:lpstr>
      <vt:lpstr>Hárok5</vt:lpstr>
      <vt:lpstr>optimalizacia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Janette Kotianová</dc:creator>
  <cp:lastModifiedBy>Janette Kotianová</cp:lastModifiedBy>
  <cp:lastPrinted>2022-11-21T11:07:42Z</cp:lastPrinted>
  <dcterms:created xsi:type="dcterms:W3CDTF">2018-12-11T08:59:02Z</dcterms:created>
  <dcterms:modified xsi:type="dcterms:W3CDTF">2024-11-25T13:42:57Z</dcterms:modified>
</cp:coreProperties>
</file>