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charts/chart1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harts/chart1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2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2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23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24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5335" windowHeight="12300"/>
  </bookViews>
  <sheets>
    <sheet name="Hárok1" sheetId="6" r:id="rId1"/>
    <sheet name="MNŠ" sheetId="4" r:id="rId2"/>
    <sheet name="hierarchicky model" sheetId="5" r:id="rId3"/>
    <sheet name="nitridove leptanie_testy" sheetId="3" r:id="rId4"/>
    <sheet name="R squared_R pred" sheetId="8" r:id="rId5"/>
    <sheet name="hlavne efekty" sheetId="9" r:id="rId6"/>
    <sheet name="efekty interakcií" sheetId="10" r:id="rId7"/>
    <sheet name="Pareto graf" sheetId="11" r:id="rId8"/>
    <sheet name="validacia modelu" sheetId="14" r:id="rId9"/>
    <sheet name="predikcia_optimalizacia" sheetId="7" r:id="rId10"/>
  </sheets>
  <definedNames>
    <definedName name="_xlnm._FilterDatabase" localSheetId="6" hidden="1">'efekty interakcií'!$A$1:$D$17</definedName>
    <definedName name="_xlchart.0" hidden="1">'validacia modelu'!$F$7</definedName>
    <definedName name="_xlchart.1" hidden="1">'validacia modelu'!$F$8:$F$22</definedName>
    <definedName name="_xlchart.2" hidden="1">'validacia modelu'!$L$7</definedName>
    <definedName name="_xlchart.3" hidden="1">'validacia modelu'!$L$8:$L$22</definedName>
    <definedName name="solver_adj" localSheetId="3" hidden="1">predikcia_optimalizacia!$C$20:$C$21</definedName>
    <definedName name="solver_adj" localSheetId="9" hidden="1">predikcia_optimalizacia!$C$20:$C$21</definedName>
    <definedName name="solver_cvg" localSheetId="3" hidden="1">0.0001</definedName>
    <definedName name="solver_cvg" localSheetId="9" hidden="1">0.0001</definedName>
    <definedName name="solver_drv" localSheetId="3" hidden="1">1</definedName>
    <definedName name="solver_drv" localSheetId="9" hidden="1">2</definedName>
    <definedName name="solver_eng" localSheetId="3" hidden="1">1</definedName>
    <definedName name="solver_eng" localSheetId="9" hidden="1">1</definedName>
    <definedName name="solver_est" localSheetId="3" hidden="1">1</definedName>
    <definedName name="solver_est" localSheetId="9" hidden="1">1</definedName>
    <definedName name="solver_itr" localSheetId="3" hidden="1">2147483647</definedName>
    <definedName name="solver_itr" localSheetId="9" hidden="1">2147483647</definedName>
    <definedName name="solver_lhs1" localSheetId="3" hidden="1">predikcia_optimalizacia!$C$20</definedName>
    <definedName name="solver_lhs1" localSheetId="9" hidden="1">predikcia_optimalizacia!$C$20</definedName>
    <definedName name="solver_lhs2" localSheetId="3" hidden="1">predikcia_optimalizacia!$C$20</definedName>
    <definedName name="solver_lhs2" localSheetId="9" hidden="1">predikcia_optimalizacia!$C$20</definedName>
    <definedName name="solver_lhs3" localSheetId="3" hidden="1">predikcia_optimalizacia!$C$21</definedName>
    <definedName name="solver_lhs3" localSheetId="9" hidden="1">predikcia_optimalizacia!$C$21</definedName>
    <definedName name="solver_lhs4" localSheetId="3" hidden="1">predikcia_optimalizacia!$C$21</definedName>
    <definedName name="solver_lhs4" localSheetId="9" hidden="1">predikcia_optimalizacia!$C$21</definedName>
    <definedName name="solver_mip" localSheetId="3" hidden="1">2147483647</definedName>
    <definedName name="solver_mip" localSheetId="9" hidden="1">2147483647</definedName>
    <definedName name="solver_mni" localSheetId="3" hidden="1">30</definedName>
    <definedName name="solver_mni" localSheetId="9" hidden="1">30</definedName>
    <definedName name="solver_mrt" localSheetId="3" hidden="1">0.075</definedName>
    <definedName name="solver_mrt" localSheetId="9" hidden="1">0.075</definedName>
    <definedName name="solver_msl" localSheetId="3" hidden="1">2</definedName>
    <definedName name="solver_msl" localSheetId="9" hidden="1">2</definedName>
    <definedName name="solver_neg" localSheetId="3" hidden="1">1</definedName>
    <definedName name="solver_neg" localSheetId="9" hidden="1">1</definedName>
    <definedName name="solver_nod" localSheetId="3" hidden="1">2147483647</definedName>
    <definedName name="solver_nod" localSheetId="9" hidden="1">2147483647</definedName>
    <definedName name="solver_num" localSheetId="3" hidden="1">4</definedName>
    <definedName name="solver_num" localSheetId="9" hidden="1">4</definedName>
    <definedName name="solver_nwt" localSheetId="3" hidden="1">1</definedName>
    <definedName name="solver_nwt" localSheetId="9" hidden="1">1</definedName>
    <definedName name="solver_opt" localSheetId="3" hidden="1">predikcia_optimalizacia!$C$23</definedName>
    <definedName name="solver_opt" localSheetId="9" hidden="1">predikcia_optimalizacia!$C$23</definedName>
    <definedName name="solver_pre" localSheetId="3" hidden="1">0.000001</definedName>
    <definedName name="solver_pre" localSheetId="9" hidden="1">0.000001</definedName>
    <definedName name="solver_rbv" localSheetId="3" hidden="1">1</definedName>
    <definedName name="solver_rbv" localSheetId="9" hidden="1">2</definedName>
    <definedName name="solver_rel1" localSheetId="3" hidden="1">1</definedName>
    <definedName name="solver_rel1" localSheetId="9" hidden="1">1</definedName>
    <definedName name="solver_rel2" localSheetId="3" hidden="1">3</definedName>
    <definedName name="solver_rel2" localSheetId="9" hidden="1">3</definedName>
    <definedName name="solver_rel3" localSheetId="3" hidden="1">1</definedName>
    <definedName name="solver_rel3" localSheetId="9" hidden="1">1</definedName>
    <definedName name="solver_rel4" localSheetId="3" hidden="1">3</definedName>
    <definedName name="solver_rel4" localSheetId="9" hidden="1">3</definedName>
    <definedName name="solver_rhs1" localSheetId="3" hidden="1">1</definedName>
    <definedName name="solver_rhs1" localSheetId="9" hidden="1">1</definedName>
    <definedName name="solver_rhs2" localSheetId="3" hidden="1">-1</definedName>
    <definedName name="solver_rhs2" localSheetId="9" hidden="1">-1</definedName>
    <definedName name="solver_rhs3" localSheetId="3" hidden="1">1</definedName>
    <definedName name="solver_rhs3" localSheetId="9" hidden="1">1</definedName>
    <definedName name="solver_rhs4" localSheetId="3" hidden="1">-1</definedName>
    <definedName name="solver_rhs4" localSheetId="9" hidden="1">-1</definedName>
    <definedName name="solver_rlx" localSheetId="3" hidden="1">2</definedName>
    <definedName name="solver_rlx" localSheetId="9" hidden="1">2</definedName>
    <definedName name="solver_rsd" localSheetId="3" hidden="1">0</definedName>
    <definedName name="solver_rsd" localSheetId="9" hidden="1">0</definedName>
    <definedName name="solver_scl" localSheetId="3" hidden="1">1</definedName>
    <definedName name="solver_scl" localSheetId="9" hidden="1">2</definedName>
    <definedName name="solver_sho" localSheetId="3" hidden="1">2</definedName>
    <definedName name="solver_sho" localSheetId="9" hidden="1">2</definedName>
    <definedName name="solver_ssz" localSheetId="3" hidden="1">100</definedName>
    <definedName name="solver_ssz" localSheetId="9" hidden="1">100</definedName>
    <definedName name="solver_tim" localSheetId="3" hidden="1">2147483647</definedName>
    <definedName name="solver_tim" localSheetId="9" hidden="1">2147483647</definedName>
    <definedName name="solver_tol" localSheetId="3" hidden="1">0.01</definedName>
    <definedName name="solver_tol" localSheetId="9" hidden="1">0.01</definedName>
    <definedName name="solver_typ" localSheetId="3" hidden="1">3</definedName>
    <definedName name="solver_typ" localSheetId="9" hidden="1">3</definedName>
    <definedName name="solver_val" localSheetId="3" hidden="1">800</definedName>
    <definedName name="solver_val" localSheetId="9" hidden="1">800</definedName>
    <definedName name="solver_ver" localSheetId="3" hidden="1">3</definedName>
    <definedName name="solver_ver" localSheetId="9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7" l="1"/>
  <c r="F26" i="7"/>
  <c r="C27" i="7" l="1"/>
  <c r="C26" i="7"/>
  <c r="C22" i="7"/>
  <c r="B10" i="7"/>
  <c r="B6" i="7"/>
  <c r="B5" i="7"/>
  <c r="B4" i="7"/>
  <c r="D67" i="14"/>
  <c r="C67" i="14"/>
  <c r="D65" i="14"/>
  <c r="D63" i="14"/>
  <c r="D62" i="14"/>
  <c r="D64" i="14" s="1"/>
  <c r="D75" i="14"/>
  <c r="C75" i="14"/>
  <c r="D72" i="14"/>
  <c r="D73" i="14"/>
  <c r="D70" i="14"/>
  <c r="D71" i="14"/>
  <c r="C24" i="14" l="1"/>
  <c r="L22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8" i="14"/>
  <c r="N21" i="14"/>
  <c r="N22" i="14"/>
  <c r="N12" i="14"/>
  <c r="N16" i="14"/>
  <c r="Q16" i="14" s="1"/>
  <c r="N17" i="14"/>
  <c r="O4" i="14"/>
  <c r="N4" i="14"/>
  <c r="P16" i="14" s="1"/>
  <c r="O3" i="14"/>
  <c r="O9" i="14" s="1"/>
  <c r="N3" i="14"/>
  <c r="O21" i="14" s="1"/>
  <c r="O2" i="14"/>
  <c r="N2" i="14"/>
  <c r="N9" i="14" s="1"/>
  <c r="Q17" i="14" l="1"/>
  <c r="N18" i="14"/>
  <c r="Q18" i="14" s="1"/>
  <c r="N20" i="14"/>
  <c r="N10" i="14"/>
  <c r="N19" i="14"/>
  <c r="P20" i="14"/>
  <c r="N8" i="14"/>
  <c r="O12" i="14"/>
  <c r="O20" i="14"/>
  <c r="P19" i="14"/>
  <c r="O18" i="14"/>
  <c r="P11" i="14"/>
  <c r="N15" i="14"/>
  <c r="Q15" i="14" s="1"/>
  <c r="P8" i="14"/>
  <c r="P17" i="14"/>
  <c r="O11" i="14"/>
  <c r="N14" i="14"/>
  <c r="O8" i="14"/>
  <c r="O17" i="14"/>
  <c r="P10" i="14"/>
  <c r="P13" i="14"/>
  <c r="P22" i="14"/>
  <c r="Q22" i="14" s="1"/>
  <c r="O16" i="14"/>
  <c r="O10" i="14"/>
  <c r="P12" i="14"/>
  <c r="Q12" i="14" s="1"/>
  <c r="N13" i="14"/>
  <c r="Q13" i="14" s="1"/>
  <c r="N11" i="14"/>
  <c r="O22" i="14"/>
  <c r="P15" i="14"/>
  <c r="P9" i="14"/>
  <c r="Q9" i="14" s="1"/>
  <c r="O14" i="14"/>
  <c r="O13" i="14"/>
  <c r="O19" i="14"/>
  <c r="P18" i="14"/>
  <c r="P21" i="14"/>
  <c r="Q21" i="14" s="1"/>
  <c r="O15" i="14"/>
  <c r="P14" i="14"/>
  <c r="Q8" i="14" l="1"/>
  <c r="Q19" i="14"/>
  <c r="Q10" i="14"/>
  <c r="Q14" i="14"/>
  <c r="Q11" i="14"/>
  <c r="Q20" i="14"/>
  <c r="C42" i="11"/>
  <c r="C25" i="11" l="1"/>
  <c r="C20" i="11"/>
  <c r="C21" i="11" l="1"/>
  <c r="C22" i="11"/>
  <c r="C23" i="11"/>
  <c r="C24" i="11"/>
  <c r="C26" i="11"/>
  <c r="E42" i="10" l="1"/>
  <c r="D43" i="10"/>
  <c r="E43" i="10"/>
  <c r="D42" i="10"/>
  <c r="D34" i="10" l="1"/>
  <c r="E33" i="10"/>
  <c r="E34" i="10"/>
  <c r="D33" i="10"/>
  <c r="D25" i="10"/>
  <c r="E25" i="10"/>
  <c r="E24" i="10"/>
  <c r="D24" i="10"/>
  <c r="F34" i="10" l="1"/>
  <c r="F33" i="10"/>
  <c r="F43" i="10"/>
  <c r="F24" i="10"/>
  <c r="F25" i="10"/>
  <c r="F26" i="10" l="1"/>
  <c r="F42" i="10"/>
  <c r="F44" i="10" s="1"/>
  <c r="F35" i="10"/>
  <c r="L4" i="9" l="1"/>
  <c r="L5" i="9" s="1"/>
  <c r="L3" i="9"/>
  <c r="L16" i="9"/>
  <c r="L15" i="9"/>
  <c r="L10" i="9"/>
  <c r="L9" i="9"/>
  <c r="S10" i="5"/>
  <c r="S11" i="5" s="1"/>
  <c r="S9" i="5"/>
  <c r="S3" i="5"/>
  <c r="G17" i="9"/>
  <c r="F17" i="9"/>
  <c r="E17" i="9"/>
  <c r="D17" i="9"/>
  <c r="G16" i="9"/>
  <c r="F16" i="9"/>
  <c r="E16" i="9"/>
  <c r="D16" i="9"/>
  <c r="G15" i="9"/>
  <c r="F15" i="9"/>
  <c r="E15" i="9"/>
  <c r="D15" i="9"/>
  <c r="G14" i="9"/>
  <c r="F14" i="9"/>
  <c r="E14" i="9"/>
  <c r="D14" i="9"/>
  <c r="G13" i="9"/>
  <c r="F13" i="9"/>
  <c r="E13" i="9"/>
  <c r="D13" i="9"/>
  <c r="G12" i="9"/>
  <c r="F12" i="9"/>
  <c r="E12" i="9"/>
  <c r="D12" i="9"/>
  <c r="G11" i="9"/>
  <c r="F11" i="9"/>
  <c r="E11" i="9"/>
  <c r="D11" i="9"/>
  <c r="G10" i="9"/>
  <c r="F10" i="9"/>
  <c r="E10" i="9"/>
  <c r="D10" i="9"/>
  <c r="G9" i="9"/>
  <c r="F9" i="9"/>
  <c r="E9" i="9"/>
  <c r="D9" i="9"/>
  <c r="G8" i="9"/>
  <c r="F8" i="9"/>
  <c r="E8" i="9"/>
  <c r="D8" i="9"/>
  <c r="G7" i="9"/>
  <c r="F7" i="9"/>
  <c r="E7" i="9"/>
  <c r="D7" i="9"/>
  <c r="G6" i="9"/>
  <c r="F6" i="9"/>
  <c r="E6" i="9"/>
  <c r="D6" i="9"/>
  <c r="G5" i="9"/>
  <c r="F5" i="9"/>
  <c r="E5" i="9"/>
  <c r="D5" i="9"/>
  <c r="G4" i="9"/>
  <c r="F4" i="9"/>
  <c r="E4" i="9"/>
  <c r="D4" i="9"/>
  <c r="G3" i="9"/>
  <c r="F3" i="9"/>
  <c r="E3" i="9"/>
  <c r="D3" i="9"/>
  <c r="G2" i="9"/>
  <c r="F2" i="9"/>
  <c r="E2" i="9"/>
  <c r="D2" i="9"/>
  <c r="L11" i="9" l="1"/>
  <c r="L17" i="9"/>
  <c r="B7" i="8"/>
  <c r="B3" i="8"/>
  <c r="B117" i="3"/>
  <c r="M12" i="7" l="1"/>
  <c r="L12" i="7"/>
  <c r="L11" i="7"/>
  <c r="L10" i="7"/>
  <c r="L9" i="7"/>
  <c r="M13" i="7" l="1"/>
  <c r="C23" i="7"/>
  <c r="V4" i="6"/>
  <c r="V3" i="6"/>
  <c r="V2" i="6"/>
  <c r="U4" i="6"/>
  <c r="U3" i="6"/>
  <c r="U2" i="6"/>
  <c r="O69" i="5" l="1"/>
  <c r="M71" i="5" s="1"/>
  <c r="L69" i="5"/>
  <c r="I69" i="5"/>
  <c r="G69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G71" i="5" l="1"/>
  <c r="I71" i="5"/>
  <c r="K71" i="5"/>
  <c r="O78" i="5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3" i="4"/>
  <c r="R3" i="6"/>
  <c r="Q3" i="6"/>
  <c r="P3" i="6"/>
  <c r="R3" i="4"/>
  <c r="N2" i="3" l="1"/>
  <c r="F24" i="3"/>
  <c r="B125" i="3"/>
  <c r="B124" i="3"/>
  <c r="B97" i="3"/>
  <c r="B74" i="3"/>
  <c r="N11" i="5" l="1"/>
  <c r="O10" i="5"/>
  <c r="N10" i="5"/>
  <c r="S4" i="5"/>
  <c r="S5" i="5" s="1"/>
  <c r="E19" i="3"/>
  <c r="E13" i="3"/>
  <c r="E11" i="3"/>
  <c r="E5" i="3"/>
  <c r="E3" i="3"/>
  <c r="M68" i="5"/>
  <c r="K68" i="5"/>
  <c r="I68" i="5"/>
  <c r="G68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E24" i="3" l="1"/>
  <c r="O11" i="5"/>
  <c r="C149" i="3" l="1"/>
  <c r="C148" i="3" s="1"/>
  <c r="B52" i="3"/>
  <c r="B51" i="3"/>
  <c r="F3" i="5" l="1"/>
  <c r="E3" i="5"/>
  <c r="D3" i="5"/>
  <c r="Z20" i="4" a="1"/>
  <c r="I3" i="4"/>
  <c r="H3" i="4"/>
  <c r="G3" i="4"/>
  <c r="F3" i="4"/>
  <c r="S19" i="6"/>
  <c r="R11" i="6"/>
  <c r="Q7" i="6"/>
  <c r="P7" i="6"/>
  <c r="P4" i="6"/>
  <c r="Q4" i="6"/>
  <c r="R4" i="6"/>
  <c r="P5" i="6"/>
  <c r="Q5" i="6"/>
  <c r="R5" i="6"/>
  <c r="P6" i="6"/>
  <c r="Q6" i="6"/>
  <c r="R6" i="6"/>
  <c r="R7" i="6"/>
  <c r="P8" i="6"/>
  <c r="Q8" i="6"/>
  <c r="R8" i="6"/>
  <c r="P9" i="6"/>
  <c r="Q9" i="6"/>
  <c r="R9" i="6"/>
  <c r="P10" i="6"/>
  <c r="Q10" i="6"/>
  <c r="R10" i="6"/>
  <c r="P11" i="6"/>
  <c r="Q11" i="6"/>
  <c r="P12" i="6"/>
  <c r="Q12" i="6"/>
  <c r="R12" i="6"/>
  <c r="P13" i="6"/>
  <c r="Q13" i="6"/>
  <c r="R13" i="6"/>
  <c r="P14" i="6"/>
  <c r="Q14" i="6"/>
  <c r="R14" i="6"/>
  <c r="P15" i="6"/>
  <c r="Q15" i="6"/>
  <c r="R15" i="6"/>
  <c r="P16" i="6"/>
  <c r="Q16" i="6"/>
  <c r="R16" i="6"/>
  <c r="P17" i="6"/>
  <c r="Q17" i="6"/>
  <c r="R17" i="6"/>
  <c r="P18" i="6"/>
  <c r="Q18" i="6"/>
  <c r="R18" i="6"/>
  <c r="Z20" i="4" l="1"/>
  <c r="AD20" i="4"/>
  <c r="AH20" i="4"/>
  <c r="AL20" i="4"/>
  <c r="Z21" i="4"/>
  <c r="AD21" i="4"/>
  <c r="AH21" i="4"/>
  <c r="AL21" i="4"/>
  <c r="Z22" i="4"/>
  <c r="AD22" i="4"/>
  <c r="AH22" i="4"/>
  <c r="AL22" i="4"/>
  <c r="Z23" i="4"/>
  <c r="AD23" i="4"/>
  <c r="AH23" i="4"/>
  <c r="AL23" i="4"/>
  <c r="Z24" i="4"/>
  <c r="AD24" i="4"/>
  <c r="AH24" i="4"/>
  <c r="AL24" i="4"/>
  <c r="Z25" i="4"/>
  <c r="AD25" i="4"/>
  <c r="AH25" i="4"/>
  <c r="AL25" i="4"/>
  <c r="Z26" i="4"/>
  <c r="AD26" i="4"/>
  <c r="AH26" i="4"/>
  <c r="AL26" i="4"/>
  <c r="Z27" i="4"/>
  <c r="AD27" i="4"/>
  <c r="AH27" i="4"/>
  <c r="AL27" i="4"/>
  <c r="AA20" i="4"/>
  <c r="AE20" i="4"/>
  <c r="AI20" i="4"/>
  <c r="AM20" i="4"/>
  <c r="AA21" i="4"/>
  <c r="AE21" i="4"/>
  <c r="AI21" i="4"/>
  <c r="AM21" i="4"/>
  <c r="AA22" i="4"/>
  <c r="AE22" i="4"/>
  <c r="AI22" i="4"/>
  <c r="AM22" i="4"/>
  <c r="AA23" i="4"/>
  <c r="AE23" i="4"/>
  <c r="AI23" i="4"/>
  <c r="AM23" i="4"/>
  <c r="AA24" i="4"/>
  <c r="AE24" i="4"/>
  <c r="AI24" i="4"/>
  <c r="AM24" i="4"/>
  <c r="AA25" i="4"/>
  <c r="AE25" i="4"/>
  <c r="AI25" i="4"/>
  <c r="AM25" i="4"/>
  <c r="AA26" i="4"/>
  <c r="AE26" i="4"/>
  <c r="AI26" i="4"/>
  <c r="AM26" i="4"/>
  <c r="AA27" i="4"/>
  <c r="AE27" i="4"/>
  <c r="AI27" i="4"/>
  <c r="AM27" i="4"/>
  <c r="AB20" i="4"/>
  <c r="AF20" i="4"/>
  <c r="AJ20" i="4"/>
  <c r="AN20" i="4"/>
  <c r="AB21" i="4"/>
  <c r="AF21" i="4"/>
  <c r="AJ21" i="4"/>
  <c r="AN21" i="4"/>
  <c r="AB22" i="4"/>
  <c r="AF22" i="4"/>
  <c r="AJ22" i="4"/>
  <c r="AN22" i="4"/>
  <c r="AB23" i="4"/>
  <c r="AF23" i="4"/>
  <c r="AJ23" i="4"/>
  <c r="AN23" i="4"/>
  <c r="AB24" i="4"/>
  <c r="AF24" i="4"/>
  <c r="AJ24" i="4"/>
  <c r="AN24" i="4"/>
  <c r="AB25" i="4"/>
  <c r="AO27" i="4"/>
  <c r="AO26" i="4"/>
  <c r="AO25" i="4"/>
  <c r="AK24" i="4"/>
  <c r="AK22" i="4"/>
  <c r="AK20" i="4"/>
  <c r="AN27" i="4"/>
  <c r="AF27" i="4"/>
  <c r="AN26" i="4"/>
  <c r="AF26" i="4"/>
  <c r="AN25" i="4"/>
  <c r="AF25" i="4"/>
  <c r="AG24" i="4"/>
  <c r="AG23" i="4"/>
  <c r="AG22" i="4"/>
  <c r="AG21" i="4"/>
  <c r="AG20" i="4"/>
  <c r="AJ27" i="4"/>
  <c r="AB27" i="4"/>
  <c r="AJ26" i="4"/>
  <c r="AB26" i="4"/>
  <c r="AJ25" i="4"/>
  <c r="AO24" i="4"/>
  <c r="AO23" i="4"/>
  <c r="AO22" i="4"/>
  <c r="AO21" i="4"/>
  <c r="AO20" i="4"/>
  <c r="AG27" i="4"/>
  <c r="AG26" i="4"/>
  <c r="AG25" i="4"/>
  <c r="AK23" i="4"/>
  <c r="AK21" i="4"/>
  <c r="AK27" i="4"/>
  <c r="AC27" i="4"/>
  <c r="AK26" i="4"/>
  <c r="AC26" i="4"/>
  <c r="AK25" i="4"/>
  <c r="AC25" i="4"/>
  <c r="AC24" i="4"/>
  <c r="AC23" i="4"/>
  <c r="AC22" i="4"/>
  <c r="AC21" i="4"/>
  <c r="AC20" i="4"/>
  <c r="Z30" i="4" l="1" a="1"/>
  <c r="AL40" i="5"/>
  <c r="AM39" i="5"/>
  <c r="AM40" i="5"/>
  <c r="AL39" i="5"/>
  <c r="Z30" i="4" l="1"/>
  <c r="AB30" i="4" s="1"/>
  <c r="Z36" i="4"/>
  <c r="AB36" i="4" s="1"/>
  <c r="Z35" i="4"/>
  <c r="AB35" i="4" s="1"/>
  <c r="Z31" i="4"/>
  <c r="AB31" i="4" s="1"/>
  <c r="Z32" i="4"/>
  <c r="AB32" i="4" s="1"/>
  <c r="Z33" i="4"/>
  <c r="AB33" i="4" s="1"/>
  <c r="Z37" i="4"/>
  <c r="AB37" i="4" s="1"/>
  <c r="Z34" i="4"/>
  <c r="AB34" i="4" s="1"/>
  <c r="AN40" i="5"/>
  <c r="AN39" i="5"/>
  <c r="I56" i="4"/>
  <c r="H56" i="4"/>
  <c r="G56" i="4"/>
  <c r="F56" i="4"/>
  <c r="E56" i="4"/>
  <c r="D56" i="4"/>
  <c r="C56" i="4"/>
  <c r="B56" i="4"/>
  <c r="I55" i="4"/>
  <c r="H55" i="4"/>
  <c r="G55" i="4"/>
  <c r="F55" i="4"/>
  <c r="E55" i="4"/>
  <c r="D55" i="4"/>
  <c r="C55" i="4"/>
  <c r="B55" i="4"/>
  <c r="I54" i="4"/>
  <c r="H54" i="4"/>
  <c r="G54" i="4"/>
  <c r="F54" i="4"/>
  <c r="E54" i="4"/>
  <c r="D54" i="4"/>
  <c r="C54" i="4"/>
  <c r="B54" i="4"/>
  <c r="I53" i="4"/>
  <c r="H53" i="4"/>
  <c r="G53" i="4"/>
  <c r="F53" i="4"/>
  <c r="E53" i="4"/>
  <c r="D53" i="4"/>
  <c r="C53" i="4"/>
  <c r="B53" i="4"/>
  <c r="F41" i="4"/>
  <c r="G41" i="4"/>
  <c r="H41" i="4"/>
  <c r="I41" i="4"/>
  <c r="F42" i="4"/>
  <c r="G42" i="4"/>
  <c r="H42" i="4"/>
  <c r="I42" i="4"/>
  <c r="F43" i="4"/>
  <c r="G43" i="4"/>
  <c r="H43" i="4"/>
  <c r="I43" i="4"/>
  <c r="F44" i="4"/>
  <c r="G44" i="4"/>
  <c r="H44" i="4"/>
  <c r="I44" i="4"/>
  <c r="F45" i="4"/>
  <c r="G45" i="4"/>
  <c r="H45" i="4"/>
  <c r="I45" i="4"/>
  <c r="F46" i="4"/>
  <c r="G46" i="4"/>
  <c r="H46" i="4"/>
  <c r="I46" i="4"/>
  <c r="F47" i="4"/>
  <c r="G47" i="4"/>
  <c r="H47" i="4"/>
  <c r="I47" i="4"/>
  <c r="I40" i="4"/>
  <c r="H40" i="4"/>
  <c r="G40" i="4"/>
  <c r="F40" i="4"/>
  <c r="AN41" i="5" l="1"/>
  <c r="B58" i="4" a="1"/>
  <c r="B60" i="4" s="1"/>
  <c r="E60" i="4" s="1"/>
  <c r="H60" i="4" s="1"/>
  <c r="B61" i="4" l="1"/>
  <c r="E61" i="4" s="1"/>
  <c r="H61" i="4" s="1"/>
  <c r="B62" i="4"/>
  <c r="E62" i="4" s="1"/>
  <c r="H62" i="4" s="1"/>
  <c r="B63" i="4"/>
  <c r="E63" i="4" s="1"/>
  <c r="H63" i="4" s="1"/>
  <c r="B64" i="4"/>
  <c r="E64" i="4" s="1"/>
  <c r="H64" i="4" s="1"/>
  <c r="B65" i="4"/>
  <c r="E65" i="4" s="1"/>
  <c r="H65" i="4" s="1"/>
  <c r="B59" i="4"/>
  <c r="E59" i="4" s="1"/>
  <c r="H59" i="4" s="1"/>
  <c r="B58" i="4"/>
  <c r="E58" i="4" s="1"/>
  <c r="H58" i="4" s="1"/>
  <c r="F146" i="3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3" i="5"/>
  <c r="F18" i="5"/>
  <c r="E18" i="5"/>
  <c r="D18" i="5"/>
  <c r="F17" i="5"/>
  <c r="E17" i="5"/>
  <c r="D17" i="5"/>
  <c r="F16" i="5"/>
  <c r="E16" i="5"/>
  <c r="D16" i="5"/>
  <c r="F15" i="5"/>
  <c r="E15" i="5"/>
  <c r="D15" i="5"/>
  <c r="F14" i="5"/>
  <c r="E14" i="5"/>
  <c r="D14" i="5"/>
  <c r="F13" i="5"/>
  <c r="E13" i="5"/>
  <c r="D13" i="5"/>
  <c r="F12" i="5"/>
  <c r="E12" i="5"/>
  <c r="D12" i="5"/>
  <c r="F11" i="5"/>
  <c r="E11" i="5"/>
  <c r="D11" i="5"/>
  <c r="F10" i="5"/>
  <c r="E10" i="5"/>
  <c r="D10" i="5"/>
  <c r="F9" i="5"/>
  <c r="E9" i="5"/>
  <c r="D9" i="5"/>
  <c r="F8" i="5"/>
  <c r="E8" i="5"/>
  <c r="D8" i="5"/>
  <c r="F7" i="5"/>
  <c r="E7" i="5"/>
  <c r="D7" i="5"/>
  <c r="F6" i="5"/>
  <c r="E6" i="5"/>
  <c r="D6" i="5"/>
  <c r="F5" i="5"/>
  <c r="E5" i="5"/>
  <c r="D5" i="5"/>
  <c r="P4" i="5"/>
  <c r="O4" i="5"/>
  <c r="F4" i="5"/>
  <c r="E4" i="5"/>
  <c r="D4" i="5"/>
  <c r="P3" i="5"/>
  <c r="O3" i="5"/>
  <c r="P2" i="5"/>
  <c r="O2" i="5"/>
  <c r="H18" i="4" l="1"/>
  <c r="G18" i="4"/>
  <c r="F18" i="4"/>
  <c r="H17" i="4"/>
  <c r="G17" i="4"/>
  <c r="F17" i="4"/>
  <c r="H16" i="4"/>
  <c r="G16" i="4"/>
  <c r="F16" i="4"/>
  <c r="H15" i="4"/>
  <c r="G15" i="4"/>
  <c r="F15" i="4"/>
  <c r="H14" i="4"/>
  <c r="G14" i="4"/>
  <c r="F14" i="4"/>
  <c r="H13" i="4"/>
  <c r="G13" i="4"/>
  <c r="F13" i="4"/>
  <c r="H12" i="4"/>
  <c r="G12" i="4"/>
  <c r="F12" i="4"/>
  <c r="H11" i="4"/>
  <c r="G11" i="4"/>
  <c r="F11" i="4"/>
  <c r="H10" i="4"/>
  <c r="G10" i="4"/>
  <c r="F10" i="4"/>
  <c r="H9" i="4"/>
  <c r="G9" i="4"/>
  <c r="F9" i="4"/>
  <c r="H8" i="4"/>
  <c r="G8" i="4"/>
  <c r="F8" i="4"/>
  <c r="H7" i="4"/>
  <c r="G7" i="4"/>
  <c r="F7" i="4"/>
  <c r="H6" i="4"/>
  <c r="G6" i="4"/>
  <c r="F6" i="4"/>
  <c r="H5" i="4"/>
  <c r="G5" i="4"/>
  <c r="F5" i="4"/>
  <c r="H4" i="4"/>
  <c r="G4" i="4"/>
  <c r="F4" i="4"/>
  <c r="C99" i="3"/>
  <c r="B99" i="3"/>
  <c r="C76" i="3"/>
  <c r="B76" i="3"/>
  <c r="C54" i="3"/>
  <c r="B54" i="3"/>
  <c r="B126" i="3"/>
  <c r="B98" i="3"/>
  <c r="B96" i="3"/>
  <c r="B75" i="3"/>
  <c r="B73" i="3"/>
  <c r="B53" i="3"/>
  <c r="O4" i="3"/>
  <c r="N4" i="3"/>
  <c r="E6" i="7" s="1"/>
  <c r="O3" i="3"/>
  <c r="N3" i="3"/>
  <c r="O2" i="3"/>
  <c r="J46" i="3"/>
  <c r="G46" i="3"/>
  <c r="D46" i="3"/>
  <c r="B46" i="3"/>
  <c r="J45" i="3"/>
  <c r="G45" i="3"/>
  <c r="D45" i="3"/>
  <c r="B45" i="3"/>
  <c r="B149" i="3"/>
  <c r="C21" i="3"/>
  <c r="C22" i="3"/>
  <c r="C23" i="3"/>
  <c r="B7" i="7" l="1"/>
  <c r="E5" i="7"/>
  <c r="E7" i="7"/>
  <c r="B148" i="3"/>
  <c r="D149" i="3"/>
  <c r="B20" i="4" a="1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E8" i="7" l="1"/>
  <c r="F148" i="3"/>
  <c r="J146" i="3" s="1"/>
  <c r="D148" i="3"/>
  <c r="E148" i="3" s="1"/>
  <c r="D20" i="4"/>
  <c r="I27" i="4"/>
  <c r="K21" i="4"/>
  <c r="I23" i="4"/>
  <c r="P25" i="4"/>
  <c r="H20" i="4"/>
  <c r="B25" i="4"/>
  <c r="F23" i="4"/>
  <c r="E20" i="4"/>
  <c r="G27" i="4"/>
  <c r="J22" i="4"/>
  <c r="P20" i="4"/>
  <c r="I24" i="4"/>
  <c r="J27" i="4"/>
  <c r="M22" i="4"/>
  <c r="L23" i="4"/>
  <c r="O27" i="4"/>
  <c r="B22" i="4"/>
  <c r="B21" i="4"/>
  <c r="O26" i="4"/>
  <c r="G24" i="4"/>
  <c r="N21" i="4"/>
  <c r="M20" i="4"/>
  <c r="J24" i="4"/>
  <c r="Q21" i="4"/>
  <c r="H21" i="4"/>
  <c r="C27" i="4"/>
  <c r="Q27" i="4"/>
  <c r="M27" i="4"/>
  <c r="K24" i="4"/>
  <c r="K20" i="4"/>
  <c r="F20" i="4"/>
  <c r="K26" i="4"/>
  <c r="Q24" i="4"/>
  <c r="Q26" i="4"/>
  <c r="O20" i="4"/>
  <c r="F27" i="4"/>
  <c r="L20" i="4"/>
  <c r="Q25" i="4"/>
  <c r="I20" i="4"/>
  <c r="K23" i="4"/>
  <c r="P27" i="4"/>
  <c r="E26" i="4"/>
  <c r="J23" i="4"/>
  <c r="P26" i="4"/>
  <c r="E22" i="4"/>
  <c r="O24" i="4"/>
  <c r="H26" i="4"/>
  <c r="B23" i="4"/>
  <c r="E27" i="4"/>
  <c r="L22" i="4"/>
  <c r="N22" i="4"/>
  <c r="K22" i="4"/>
  <c r="P23" i="4"/>
  <c r="B26" i="4"/>
  <c r="I22" i="4"/>
  <c r="N23" i="4"/>
  <c r="C21" i="4"/>
  <c r="H22" i="4"/>
  <c r="G25" i="4"/>
  <c r="N24" i="4"/>
  <c r="H24" i="4"/>
  <c r="F22" i="4"/>
  <c r="E21" i="4"/>
  <c r="G26" i="4"/>
  <c r="L27" i="4"/>
  <c r="K25" i="4"/>
  <c r="F25" i="4"/>
  <c r="C26" i="4"/>
  <c r="I25" i="4"/>
  <c r="D26" i="4"/>
  <c r="C23" i="4"/>
  <c r="C22" i="4"/>
  <c r="L26" i="4"/>
  <c r="N25" i="4"/>
  <c r="C24" i="4"/>
  <c r="M24" i="4"/>
  <c r="E24" i="4"/>
  <c r="F24" i="4"/>
  <c r="N26" i="4"/>
  <c r="G23" i="4"/>
  <c r="E25" i="4"/>
  <c r="L24" i="4"/>
  <c r="O25" i="4"/>
  <c r="I26" i="4"/>
  <c r="E23" i="4"/>
  <c r="O22" i="4"/>
  <c r="O21" i="4"/>
  <c r="B27" i="4"/>
  <c r="M23" i="4"/>
  <c r="F26" i="4"/>
  <c r="N20" i="4"/>
  <c r="P21" i="4"/>
  <c r="B24" i="4"/>
  <c r="C25" i="4"/>
  <c r="G21" i="4"/>
  <c r="G22" i="4"/>
  <c r="P24" i="4"/>
  <c r="J21" i="4"/>
  <c r="H25" i="4"/>
  <c r="O23" i="4"/>
  <c r="P22" i="4"/>
  <c r="F21" i="4"/>
  <c r="Q23" i="4"/>
  <c r="D27" i="4"/>
  <c r="C20" i="4"/>
  <c r="B20" i="4"/>
  <c r="D21" i="4"/>
  <c r="Q22" i="4"/>
  <c r="J20" i="4"/>
  <c r="N27" i="4"/>
  <c r="D23" i="4"/>
  <c r="J26" i="4"/>
  <c r="D25" i="4"/>
  <c r="M25" i="4"/>
  <c r="Q20" i="4"/>
  <c r="H23" i="4"/>
  <c r="L25" i="4"/>
  <c r="H27" i="4"/>
  <c r="K27" i="4"/>
  <c r="D24" i="4"/>
  <c r="J25" i="4"/>
  <c r="I21" i="4"/>
  <c r="D22" i="4"/>
  <c r="M26" i="4"/>
  <c r="M21" i="4"/>
  <c r="G20" i="4"/>
  <c r="L21" i="4"/>
  <c r="B29" i="4" l="1" a="1"/>
  <c r="J145" i="3"/>
  <c r="G148" i="3"/>
  <c r="J147" i="3" s="1"/>
  <c r="B36" i="4" l="1"/>
  <c r="E36" i="4" s="1"/>
  <c r="B35" i="4"/>
  <c r="E35" i="4" s="1"/>
  <c r="B34" i="4"/>
  <c r="E34" i="4" s="1"/>
  <c r="H34" i="4" s="1"/>
  <c r="B33" i="4"/>
  <c r="E33" i="4" s="1"/>
  <c r="B32" i="4"/>
  <c r="E32" i="4" s="1"/>
  <c r="H32" i="4" s="1"/>
  <c r="B31" i="4"/>
  <c r="E31" i="4" s="1"/>
  <c r="H31" i="4" s="1"/>
  <c r="B29" i="4"/>
  <c r="E29" i="4" s="1"/>
  <c r="B30" i="4"/>
  <c r="E30" i="4" s="1"/>
  <c r="H30" i="4" s="1"/>
  <c r="H36" i="4"/>
  <c r="H35" i="4"/>
  <c r="H33" i="4"/>
  <c r="H29" i="4" l="1"/>
</calcChain>
</file>

<file path=xl/comments1.xml><?xml version="1.0" encoding="utf-8"?>
<comments xmlns="http://schemas.openxmlformats.org/spreadsheetml/2006/main">
  <authors>
    <author>Janette Kotianová</author>
  </authors>
  <commentList>
    <comment ref="A3" authorId="0" shapeId="0">
      <text>
        <r>
          <rPr>
            <b/>
            <sz val="9"/>
            <color indexed="81"/>
            <rFont val="Segoe UI"/>
            <family val="2"/>
            <charset val="238"/>
          </rPr>
          <t>tranformovana matica planu experimentu</t>
        </r>
      </text>
    </comment>
    <comment ref="P3" authorId="0" shapeId="0">
      <text>
        <r>
          <rPr>
            <b/>
            <sz val="9"/>
            <color indexed="81"/>
            <rFont val="Segoe UI"/>
            <family val="2"/>
            <charset val="238"/>
          </rPr>
          <t>matica nameranych hodnot</t>
        </r>
      </text>
    </comment>
    <comment ref="A20" authorId="0" shapeId="0">
      <text>
        <r>
          <rPr>
            <b/>
            <sz val="9"/>
            <color indexed="81"/>
            <rFont val="Segoe UI"/>
            <family val="2"/>
            <charset val="238"/>
          </rPr>
          <t>transponovana matica k matici X</t>
        </r>
      </text>
    </comment>
    <comment ref="D29" authorId="0" shapeId="0">
      <text>
        <r>
          <rPr>
            <b/>
            <sz val="9"/>
            <color indexed="81"/>
            <rFont val="Segoe UI"/>
            <family val="2"/>
            <charset val="238"/>
          </rPr>
          <t>vektor odhadov parametrov bi</t>
        </r>
      </text>
    </comment>
    <comment ref="G29" authorId="0" shapeId="0">
      <text>
        <r>
          <rPr>
            <b/>
            <sz val="9"/>
            <color indexed="81"/>
            <rFont val="Segoe UI"/>
            <family val="2"/>
            <charset val="238"/>
          </rPr>
          <t>bodove odhady koeficientov</t>
        </r>
      </text>
    </comment>
    <comment ref="A40" authorId="0" shapeId="0">
      <text>
        <r>
          <rPr>
            <b/>
            <sz val="9"/>
            <color indexed="81"/>
            <rFont val="Segoe UI"/>
            <family val="2"/>
            <charset val="238"/>
          </rPr>
          <t>tranformovana matica planu experimentu</t>
        </r>
      </text>
    </comment>
    <comment ref="P40" authorId="0" shapeId="0">
      <text>
        <r>
          <rPr>
            <b/>
            <sz val="9"/>
            <color indexed="81"/>
            <rFont val="Segoe UI"/>
            <family val="2"/>
            <charset val="238"/>
          </rPr>
          <t>matica nameranych priemernych hodnot</t>
        </r>
      </text>
    </comment>
    <comment ref="A49" authorId="0" shapeId="0">
      <text>
        <r>
          <rPr>
            <b/>
            <sz val="9"/>
            <color indexed="81"/>
            <rFont val="Segoe UI"/>
            <family val="2"/>
            <charset val="238"/>
          </rPr>
          <t>transponovana matica k matici X</t>
        </r>
      </text>
    </comment>
    <comment ref="D58" authorId="0" shapeId="0">
      <text>
        <r>
          <rPr>
            <b/>
            <sz val="9"/>
            <color indexed="81"/>
            <rFont val="Segoe UI"/>
            <family val="2"/>
            <charset val="238"/>
          </rPr>
          <t>vektor odhadov parametrov bi</t>
        </r>
      </text>
    </comment>
    <comment ref="G58" authorId="0" shapeId="0">
      <text>
        <r>
          <rPr>
            <b/>
            <sz val="9"/>
            <color indexed="81"/>
            <rFont val="Segoe UI"/>
            <family val="2"/>
            <charset val="238"/>
          </rPr>
          <t>bodove odhady koeficentov</t>
        </r>
      </text>
    </comment>
  </commentList>
</comments>
</file>

<file path=xl/comments2.xml><?xml version="1.0" encoding="utf-8"?>
<comments xmlns="http://schemas.openxmlformats.org/spreadsheetml/2006/main">
  <authors>
    <author>Janette Kotianová</author>
  </authors>
  <commentList>
    <comment ref="H2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udaje o rychlosti leptania </t>
        </r>
      </text>
    </comment>
    <comment ref="AG35" authorId="0" shapeId="0">
      <text>
        <r>
          <rPr>
            <sz val="9"/>
            <color indexed="81"/>
            <rFont val="Segoe UI"/>
            <family val="2"/>
            <charset val="238"/>
          </rPr>
          <t>t3</t>
        </r>
      </text>
    </comment>
    <comment ref="D48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udaje o rychlosti leptania </t>
        </r>
      </text>
    </comment>
    <comment ref="D74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udaje o rychlosti leptania </t>
        </r>
      </text>
    </comment>
  </commentList>
</comments>
</file>

<file path=xl/comments3.xml><?xml version="1.0" encoding="utf-8"?>
<comments xmlns="http://schemas.openxmlformats.org/spreadsheetml/2006/main">
  <authors>
    <author>Janette Kotianová</author>
  </authors>
  <commentList>
    <comment ref="E3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(-1;-1)</t>
        </r>
      </text>
    </comment>
    <comment ref="E5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(1;-1)</t>
        </r>
      </text>
    </comment>
    <comment ref="E11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(-1;1)</t>
        </r>
      </text>
    </comment>
    <comment ref="E13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(1;1)</t>
        </r>
      </text>
    </comment>
    <comment ref="E19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(0;0)</t>
        </r>
      </text>
    </comment>
    <comment ref="E24" authorId="0" shapeId="0">
      <text>
        <r>
          <rPr>
            <b/>
            <sz val="9"/>
            <color indexed="81"/>
            <rFont val="Segoe UI"/>
            <family val="2"/>
            <charset val="238"/>
          </rPr>
          <t>pure error</t>
        </r>
      </text>
    </comment>
    <comment ref="F24" authorId="0" shapeId="0">
      <text>
        <r>
          <rPr>
            <b/>
            <sz val="9"/>
            <color indexed="81"/>
            <rFont val="Segoe UI"/>
            <family val="2"/>
            <charset val="238"/>
          </rPr>
          <t>stupne volnosti pre pure error</t>
        </r>
      </text>
    </comment>
    <comment ref="A117" authorId="0" shapeId="0">
      <text>
        <r>
          <rPr>
            <b/>
            <sz val="9"/>
            <color indexed="81"/>
            <rFont val="Segoe UI"/>
            <family val="2"/>
            <charset val="238"/>
          </rPr>
          <t>index determinacie 
R squared</t>
        </r>
      </text>
    </comment>
  </commentList>
</comments>
</file>

<file path=xl/comments4.xml><?xml version="1.0" encoding="utf-8"?>
<comments xmlns="http://schemas.openxmlformats.org/spreadsheetml/2006/main">
  <authors>
    <author>Janette Kotianová</author>
  </authors>
  <commentList>
    <comment ref="A3" authorId="0" shapeId="0">
      <text>
        <r>
          <rPr>
            <b/>
            <sz val="9"/>
            <color indexed="81"/>
            <rFont val="Segoe UI"/>
            <family val="2"/>
            <charset val="238"/>
          </rPr>
          <t>index determinacie 
R squared</t>
        </r>
      </text>
    </comment>
    <comment ref="A7" authorId="0" shapeId="0">
      <text>
        <r>
          <rPr>
            <b/>
            <sz val="9"/>
            <color indexed="81"/>
            <rFont val="Segoe UI"/>
            <family val="2"/>
            <charset val="238"/>
          </rPr>
          <t>adjusted R squared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  <charset val="238"/>
          </rPr>
          <t>R squared predicted</t>
        </r>
      </text>
    </comment>
  </commentList>
</comments>
</file>

<file path=xl/comments5.xml><?xml version="1.0" encoding="utf-8"?>
<comments xmlns="http://schemas.openxmlformats.org/spreadsheetml/2006/main">
  <authors>
    <author>Janette Kotianová</author>
  </authors>
  <commentList>
    <comment ref="H1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udaje o rychlosti leptania </t>
        </r>
      </text>
    </comment>
  </commentList>
</comments>
</file>

<file path=xl/comments6.xml><?xml version="1.0" encoding="utf-8"?>
<comments xmlns="http://schemas.openxmlformats.org/spreadsheetml/2006/main">
  <authors>
    <author>Janette Kotianová</author>
  </authors>
  <commentList>
    <comment ref="D1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udaje o rychlosti leptania </t>
        </r>
      </text>
    </comment>
  </commentList>
</comments>
</file>

<file path=xl/comments7.xml><?xml version="1.0" encoding="utf-8"?>
<comments xmlns="http://schemas.openxmlformats.org/spreadsheetml/2006/main">
  <authors>
    <author>Janette Kotianová</author>
  </authors>
  <commentList>
    <comment ref="A5" authorId="0" shapeId="0">
      <text>
        <r>
          <rPr>
            <b/>
            <sz val="9"/>
            <color indexed="81"/>
            <rFont val="Segoe UI"/>
            <family val="2"/>
            <charset val="238"/>
          </rPr>
          <t>nemusime uvazovat - z modelu bol faktor x2 vyluceny ako nevyznamny</t>
        </r>
      </text>
    </comment>
  </commentList>
</comments>
</file>

<file path=xl/sharedStrings.xml><?xml version="1.0" encoding="utf-8"?>
<sst xmlns="http://schemas.openxmlformats.org/spreadsheetml/2006/main" count="553" uniqueCount="241">
  <si>
    <t>s</t>
  </si>
  <si>
    <t>lambda</t>
  </si>
  <si>
    <t>t1</t>
  </si>
  <si>
    <t>t2</t>
  </si>
  <si>
    <t>t1*t2</t>
  </si>
  <si>
    <t>yi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</si>
  <si>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</si>
  <si>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</si>
  <si>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</si>
  <si>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</si>
  <si>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</si>
  <si>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</si>
  <si>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</si>
  <si>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</si>
  <si>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</si>
  <si>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</si>
  <si>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</si>
  <si>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</si>
  <si>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</si>
  <si>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</si>
  <si>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</si>
  <si>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</si>
  <si>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</si>
  <si>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</si>
  <si>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</si>
  <si>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</si>
  <si>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</si>
  <si>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Lower 97,0%</t>
  </si>
  <si>
    <t>Upper 97,0%</t>
  </si>
  <si>
    <t>Lower 99,0%</t>
  </si>
  <si>
    <t>Upper 99,0%</t>
  </si>
  <si>
    <t>Lower 98,0%</t>
  </si>
  <si>
    <t>Upper 98,0%</t>
  </si>
  <si>
    <t>Intercept</t>
  </si>
  <si>
    <t>+</t>
  </si>
  <si>
    <t>*t1</t>
  </si>
  <si>
    <t>α = 0,03</t>
  </si>
  <si>
    <t>samostatny vplyv faktora t1 na hodnotu regresnej funkcie fLT</t>
  </si>
  <si>
    <t>H0: b1=0 &gt;&lt; H1:b1=0</t>
  </si>
  <si>
    <t>Na hladine vyznamnosti alfa=0,03 mozno konstatovat, ze</t>
  </si>
  <si>
    <t>t stat(b1)=</t>
  </si>
  <si>
    <t>patri do W</t>
  </si>
  <si>
    <t>H0:b1=0 zamietame</t>
  </si>
  <si>
    <t>koeficient b1 je statisticky vyznamny, t.j.</t>
  </si>
  <si>
    <t>H1:b1=0 prijimame</t>
  </si>
  <si>
    <t>p(b1)=</t>
  </si>
  <si>
    <t>&lt;0,03</t>
  </si>
  <si>
    <t xml:space="preserve"> vyznamny, t.j. nemozno ho zanedbat.</t>
  </si>
  <si>
    <t xml:space="preserve">0 nepatri </t>
  </si>
  <si>
    <t>α = 0,02</t>
  </si>
  <si>
    <t>Na hladine vyznamnosti alfa=0,02 mozno konstatovat, ze</t>
  </si>
  <si>
    <t>p(b2)=</t>
  </si>
  <si>
    <t>&lt;0,02</t>
  </si>
  <si>
    <t>vyznamny, t.j. nemozno ho zanedbat.</t>
  </si>
  <si>
    <t>α = 0,01</t>
  </si>
  <si>
    <t>koeficient b12 je statisticky vyznamny, t.j.</t>
  </si>
  <si>
    <t>p(b12)=</t>
  </si>
  <si>
    <t>&lt;0,01</t>
  </si>
  <si>
    <t>R^2=</t>
  </si>
  <si>
    <t>testovanie statistickej vyznamnosti regresneho modelu</t>
  </si>
  <si>
    <t>F=</t>
  </si>
  <si>
    <t>H1: aspon jedno bi=0 prijimame</t>
  </si>
  <si>
    <t>Na hladine vyznamnosti 0,03 mozno konstatovat, ze regresny model je statisticky vyznamny.</t>
  </si>
  <si>
    <t>p=</t>
  </si>
  <si>
    <t>predikcia:</t>
  </si>
  <si>
    <t>F krit</t>
  </si>
  <si>
    <t>nepatri do W</t>
  </si>
  <si>
    <t>Lack of fit</t>
  </si>
  <si>
    <t>Pure error</t>
  </si>
  <si>
    <t>t3</t>
  </si>
  <si>
    <t>t1*t3</t>
  </si>
  <si>
    <t>t2*t3</t>
  </si>
  <si>
    <t>Lower 95,0%</t>
  </si>
  <si>
    <t>Upper 95,0%</t>
  </si>
  <si>
    <t xml:space="preserve">je medzera v cm </t>
  </si>
  <si>
    <t>A patri &lt;0,8;1,2&gt;</t>
  </si>
  <si>
    <t>B patri &lt;125; 200&gt;</t>
  </si>
  <si>
    <t>C patri &lt;275; 325&gt;</t>
  </si>
  <si>
    <t>je vykon vo W</t>
  </si>
  <si>
    <t xml:space="preserve">je prietok plynu </t>
  </si>
  <si>
    <t>df pre PE</t>
  </si>
  <si>
    <t>PE</t>
  </si>
  <si>
    <t>*t3</t>
  </si>
  <si>
    <t>*t1*t3</t>
  </si>
  <si>
    <t>*(x1-1)/0,2 +</t>
  </si>
  <si>
    <t>*(x3-300)/25 +</t>
  </si>
  <si>
    <t>*(x1-1)/0,2*(x3-300)/25</t>
  </si>
  <si>
    <t>samostatny vplyv faktora t3 na hodnotu regresnej funkcie fLT</t>
  </si>
  <si>
    <t>spolocny vplyv faktorov t1 a t3 na hodnotu regresnej funkcie fLT</t>
  </si>
  <si>
    <t>Vykon je dolezity faktor pre proces nitridoveho leptania.</t>
  </si>
  <si>
    <t>koeficient b3 je statisticky vyznamny, t.j.</t>
  </si>
  <si>
    <t xml:space="preserve">samostatny vplyv faktora t1 na hodnotu transformovanej regresnej funkcie fLT(t1, t2, t3) je statisticky </t>
  </si>
  <si>
    <t>samostatny vplyv faktora t3 na hodnotu transformovanej regresnej funkcie fLT(t1, t2, t3) je statisticky</t>
  </si>
  <si>
    <t xml:space="preserve">spolocny vplyv faktorov t1 a t3 na hodnotu transformovanej regresnej funkcie fLT(t1, t2, t3) je statisticky </t>
  </si>
  <si>
    <t>po vyluceni statisticky nevyznamnych faktorov:</t>
  </si>
  <si>
    <t>fLT(t1,t2,t3)=</t>
  </si>
  <si>
    <t>fL(x1,x2,x3)=</t>
  </si>
  <si>
    <t>Vzajomne posobenie medzery a vykonu je dolezite pri procese nitridoveho leptania.</t>
  </si>
  <si>
    <t>H0: b3=0 &gt;&lt; H1:b3=0</t>
  </si>
  <si>
    <t>t stat(b3)=</t>
  </si>
  <si>
    <t>H0: b13=0 &gt;&lt; H1:b13=0</t>
  </si>
  <si>
    <t>t stat(b13)=</t>
  </si>
  <si>
    <t>H0:b3=0 zamietame</t>
  </si>
  <si>
    <t>H1:b3=0 prijimame</t>
  </si>
  <si>
    <t>H0:b13=0 zamietame</t>
  </si>
  <si>
    <t>H1:b13=0 prijimame</t>
  </si>
  <si>
    <t>Na hladine vyznamnosi 0,05 mozno vylucit faktor prietok plynu + vsetky interakcie s tymto faktorom.</t>
  </si>
  <si>
    <t>, t.j. 96,1 % variability nameranych hodnot pri nitridovom leptani vieme vysvetlit regresnym modelom (regresnou funkciou linearneho typu)</t>
  </si>
  <si>
    <t>H0: b1=b3=b13=0&gt;&lt;H1: aspon jeden z uvedenych koeficientov je nenulovy</t>
  </si>
  <si>
    <t>iba 3,9 % variability nameranych hodnot zostalo modelom nevysvetlenej</t>
  </si>
  <si>
    <r>
      <t xml:space="preserve">x1=0,9  </t>
    </r>
    <r>
      <rPr>
        <sz val="11"/>
        <color theme="1"/>
        <rFont val="Calibri"/>
        <family val="2"/>
        <charset val="238"/>
      </rPr>
      <t>→t1=</t>
    </r>
    <r>
      <rPr>
        <sz val="11"/>
        <color theme="1"/>
        <rFont val="Calibri"/>
        <family val="2"/>
        <charset val="238"/>
        <scheme val="minor"/>
      </rPr>
      <t xml:space="preserve">      </t>
    </r>
  </si>
  <si>
    <r>
      <t xml:space="preserve">x2=150  </t>
    </r>
    <r>
      <rPr>
        <sz val="11"/>
        <color theme="1"/>
        <rFont val="Calibri"/>
        <family val="2"/>
        <charset val="238"/>
      </rPr>
      <t>→t2=</t>
    </r>
    <r>
      <rPr>
        <sz val="11"/>
        <color theme="1"/>
        <rFont val="Calibri"/>
        <family val="2"/>
        <charset val="238"/>
        <scheme val="minor"/>
      </rPr>
      <t xml:space="preserve">      </t>
    </r>
  </si>
  <si>
    <t>α = 0,05</t>
  </si>
  <si>
    <t>XT=</t>
  </si>
  <si>
    <t>X=</t>
  </si>
  <si>
    <t>Y=</t>
  </si>
  <si>
    <t>XT*Y=</t>
  </si>
  <si>
    <t>b=</t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</si>
  <si>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0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</si>
  <si>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1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</si>
  <si>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2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</si>
  <si>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12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</si>
  <si>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3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</si>
  <si>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13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</si>
  <si>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23</t>
    </r>
    <r>
      <rPr>
        <sz val="11"/>
        <color rgb="FFC00000"/>
        <rFont val="Calibri"/>
        <family val="2"/>
        <charset val="238"/>
        <scheme val="minor"/>
      </rPr>
      <t>=</t>
    </r>
  </si>
  <si>
    <t>t1*t2*t3</t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</si>
  <si>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123</t>
    </r>
    <r>
      <rPr>
        <sz val="11"/>
        <color rgb="FFC00000"/>
        <rFont val="Calibri"/>
        <family val="2"/>
        <charset val="238"/>
        <scheme val="minor"/>
      </rPr>
      <t>=</t>
    </r>
  </si>
  <si>
    <t>test Lack of fit (LOF)</t>
  </si>
  <si>
    <t>yLt(t1,t2,t3)=</t>
  </si>
  <si>
    <r>
      <t xml:space="preserve">x3=280  </t>
    </r>
    <r>
      <rPr>
        <sz val="11"/>
        <color theme="1"/>
        <rFont val="Calibri"/>
        <family val="2"/>
        <charset val="238"/>
      </rPr>
      <t>→t3=</t>
    </r>
    <r>
      <rPr>
        <sz val="11"/>
        <color theme="1"/>
        <rFont val="Calibri"/>
        <family val="2"/>
        <charset val="238"/>
        <scheme val="minor"/>
      </rPr>
      <t xml:space="preserve">      </t>
    </r>
  </si>
  <si>
    <t>Medzera medzi elektrodami je dolezity faktor pre proces nitridoveho leptania.</t>
  </si>
  <si>
    <t>H0: b1=b2=b13=0  zamietame</t>
  </si>
  <si>
    <t>C</t>
  </si>
  <si>
    <t>A</t>
  </si>
  <si>
    <t>hlavny efekt faktora medzera</t>
  </si>
  <si>
    <t>efekt interakcie faktora A a C - pocitame efekt faktora C pri konstantnej urovni faktora A alebo naopak</t>
  </si>
  <si>
    <t>x1</t>
  </si>
  <si>
    <t>x2</t>
  </si>
  <si>
    <t>x3</t>
  </si>
  <si>
    <t>Y</t>
  </si>
  <si>
    <t>skratena verzia (pocitame s priemernymi hodnotami):</t>
  </si>
  <si>
    <t>Transformacia:</t>
  </si>
  <si>
    <t>F kv 1,16(0,95)=</t>
  </si>
  <si>
    <t>Na hladine vyznamnosti 0,05 mozno konstatovat, ze linearny model nie je nedostatocny (je dostatocny).</t>
  </si>
  <si>
    <t>t kv 12 (0,985)=</t>
  </si>
  <si>
    <t>t kv 12(0,99)=</t>
  </si>
  <si>
    <t>t kv 12 (0,995)=</t>
  </si>
  <si>
    <t>b0</t>
  </si>
  <si>
    <t>b1</t>
  </si>
  <si>
    <t>b2</t>
  </si>
  <si>
    <t>b3</t>
  </si>
  <si>
    <t>b12</t>
  </si>
  <si>
    <t>b13</t>
  </si>
  <si>
    <t>b23</t>
  </si>
  <si>
    <t>b123</t>
  </si>
  <si>
    <t>Grafy interakcie efektov</t>
  </si>
  <si>
    <t>yL(t1, t3)=</t>
  </si>
  <si>
    <t>*t1+</t>
  </si>
  <si>
    <t>*t3+</t>
  </si>
  <si>
    <t>ef(A)=</t>
  </si>
  <si>
    <t>F kv3,12 (0,97)=</t>
  </si>
  <si>
    <t>&gt;0,05</t>
  </si>
  <si>
    <t>8x16</t>
  </si>
  <si>
    <t>16x1</t>
  </si>
  <si>
    <t>8x8</t>
  </si>
  <si>
    <t>8x1</t>
  </si>
  <si>
    <t>4 merania v kazdom bode 2^2</t>
  </si>
  <si>
    <t>*x1+</t>
  </si>
  <si>
    <t>*x3+</t>
  </si>
  <si>
    <t>*x1*x3</t>
  </si>
  <si>
    <t>fL(x1,x3)=</t>
  </si>
  <si>
    <t xml:space="preserve">x1=0,9  →t1=      </t>
  </si>
  <si>
    <t xml:space="preserve">x2=150  →t2=      </t>
  </si>
  <si>
    <t xml:space="preserve">x3=280  →t3=      </t>
  </si>
  <si>
    <t>H0:SSLF=SSPE &gt;&lt;H1:SSLF=SSPE (alebo zapis H0: No LOF &gt;&lt;H1:LOF)</t>
  </si>
  <si>
    <t>Nie je potrebne do modelu zaradovat kvadraticke cleny.</t>
  </si>
  <si>
    <t>y modelovane=</t>
  </si>
  <si>
    <t>Predikcia odozvy pre zvolene hodnoty vstupov:</t>
  </si>
  <si>
    <t xml:space="preserve"> -  je pozadovana hodnota odozvy </t>
  </si>
  <si>
    <t>Optimalizacia v Exceli - hladame pozadovanu hodnotu odozvy, napr. 800*10^(-10) m/min - riesenie cez Solver</t>
  </si>
  <si>
    <t>yLt(-0,5;-0,8)=</t>
  </si>
  <si>
    <t>yL(x1,x3)=</t>
  </si>
  <si>
    <t>yL(0,9;280)=</t>
  </si>
  <si>
    <t>Predikovany vysledok musi vyjst rovnaky bez ohladu na to, ci ho pocitame z modelu s transformovanymi premennymi alebo v povodnych jednotkach!</t>
  </si>
  <si>
    <t xml:space="preserve"> upravene R^2=</t>
  </si>
  <si>
    <t>povodny model (pred vylucenim)</t>
  </si>
  <si>
    <t>tiez vyjadruje mieru zhody nameranych dat a predikovanych hodnot (95,1%), ale zohladnuje pritom pocet clenov (prediktorov) v modeli</t>
  </si>
  <si>
    <t>hierarchicky model (po vyluceni)</t>
  </si>
  <si>
    <t>Kvalitu regresneho modelu urcujeme aj podla indexu determinacie. Pre hierarchicky model plati:</t>
  </si>
  <si>
    <t>(penalizuje model za cleny, ktore su v nom navyse), preto po vyluceni nevyznamnych faktorov a interakcii R^2 adj narastie</t>
  </si>
  <si>
    <t>predikovane R^2=</t>
  </si>
  <si>
    <t xml:space="preserve">  - hodnotit kvalitu modelu iba podla indexu determinacie nie je spravne, pretoze pridanim prediktorov (clenov v regresnom modeli) R^2 vzdy narastie </t>
  </si>
  <si>
    <t>velky rozdiel medzi R^2 a R^2 predicted naznacuje, ze v regresnom modeli je zbytocne vela clenov v pomere k mnozstvu dat</t>
  </si>
  <si>
    <t>(mozne zdovodnenie: bud su zle data, alebo boli zvolene nespravne nezavisle premenne)</t>
  </si>
  <si>
    <t>Excel hodnotu R^2 pred nepocita</t>
  </si>
  <si>
    <t>Vystup z Minitabu:</t>
  </si>
  <si>
    <t>urcuje ako presne vie model predikovat spravnu hodnotu po odstraneni daneho udaju zo suboru dat (93,02%)</t>
  </si>
  <si>
    <t>Čerpané z Montgomery: Design and analysis of experiments</t>
  </si>
  <si>
    <t>hlavny efekt faktora prietok</t>
  </si>
  <si>
    <t>hlavny efekt faktora A_ medzera</t>
  </si>
  <si>
    <t>hlavny efekt faktora B_prietok</t>
  </si>
  <si>
    <t>hlavny efekt faktora C_vykon na katode</t>
  </si>
  <si>
    <t>A_t1</t>
  </si>
  <si>
    <t>B_t2</t>
  </si>
  <si>
    <t>C_t3</t>
  </si>
  <si>
    <t>ef(B)=</t>
  </si>
  <si>
    <t>ef(C)=</t>
  </si>
  <si>
    <t>ef(AC)=</t>
  </si>
  <si>
    <t>efekt interakcie faktora A a B - pocitame efekt faktora B pri konstantnej urovni faktora A alebo naopak</t>
  </si>
  <si>
    <t>efekt interakcie faktora B a C - pocitame efekt faktora C pri konstantnej urovni faktora B alebo naopak</t>
  </si>
  <si>
    <t>B</t>
  </si>
  <si>
    <t>ef(AB)=</t>
  </si>
  <si>
    <t>ef(BC)=</t>
  </si>
  <si>
    <t>Vypocitane velkosti efektov faktorov a ich interakcii:</t>
  </si>
  <si>
    <t>AC</t>
  </si>
  <si>
    <t>AB</t>
  </si>
  <si>
    <t>BC</t>
  </si>
  <si>
    <t>ABC</t>
  </si>
  <si>
    <t>absolutne hodnoty testovacich statistik t:</t>
  </si>
  <si>
    <r>
      <t xml:space="preserve">t </t>
    </r>
    <r>
      <rPr>
        <vertAlign val="subscript"/>
        <sz val="11"/>
        <color theme="1"/>
        <rFont val="Calibri"/>
        <family val="2"/>
        <charset val="238"/>
        <scheme val="minor"/>
      </rPr>
      <t>7</t>
    </r>
    <r>
      <rPr>
        <vertAlign val="superscript"/>
        <sz val="11"/>
        <color theme="1"/>
        <rFont val="Calibri"/>
        <family val="2"/>
        <charset val="238"/>
        <scheme val="minor"/>
      </rPr>
      <t>kv</t>
    </r>
    <r>
      <rPr>
        <sz val="11"/>
        <color theme="1"/>
        <rFont val="Calibri"/>
        <family val="2"/>
        <charset val="238"/>
        <scheme val="minor"/>
      </rPr>
      <t>(0,975)=</t>
    </r>
  </si>
  <si>
    <t>Kontrolne meranie:</t>
  </si>
  <si>
    <t>yLt(t1, t3)=</t>
  </si>
  <si>
    <t>y predik</t>
  </si>
  <si>
    <t>predikcia_transformovane</t>
  </si>
  <si>
    <t>predikcia_povodne jednotky</t>
  </si>
  <si>
    <t>p.c.</t>
  </si>
  <si>
    <t>r=</t>
  </si>
  <si>
    <t>y kontrol meranie</t>
  </si>
  <si>
    <t>y predikovane</t>
  </si>
  <si>
    <t>X Variable 1</t>
  </si>
  <si>
    <t>t0=</t>
  </si>
  <si>
    <r>
      <t>t</t>
    </r>
    <r>
      <rPr>
        <vertAlign val="subscript"/>
        <sz val="11"/>
        <color theme="1"/>
        <rFont val="Calibri"/>
        <family val="2"/>
        <charset val="238"/>
        <scheme val="minor"/>
      </rPr>
      <t>13</t>
    </r>
    <r>
      <rPr>
        <vertAlign val="superscript"/>
        <sz val="11"/>
        <color theme="1"/>
        <rFont val="Calibri"/>
        <family val="2"/>
        <charset val="238"/>
        <scheme val="minor"/>
      </rPr>
      <t xml:space="preserve"> kv</t>
    </r>
    <r>
      <rPr>
        <sz val="11"/>
        <color theme="1"/>
        <rFont val="Calibri"/>
        <family val="2"/>
        <charset val="238"/>
        <scheme val="minor"/>
      </rPr>
      <t xml:space="preserve"> (0,975)=</t>
    </r>
  </si>
  <si>
    <t>H0: b1=1 &gt;&lt;H1: b1 = 1</t>
  </si>
  <si>
    <t xml:space="preserve">delta= </t>
  </si>
  <si>
    <t>95%IS pre b1:</t>
  </si>
  <si>
    <t>H0: b0=0 &gt;&lt;H1: b0 =0</t>
  </si>
  <si>
    <t>uroven faktora v povodnych jednotkach</t>
  </si>
  <si>
    <t>uroven faktora v kodovanych jednotkach</t>
  </si>
  <si>
    <t>Standardizovane efekty_vypocitane testovacie statistiky pri t teste o nulovosti regresneho koeficientu:</t>
  </si>
  <si>
    <t>kriticka hodnota:</t>
  </si>
  <si>
    <t>vzostupne usporiadane absolutne hodnoty testovacich statistik 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</si>
</sst>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00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color rgb="FFC00000"/>
      <name val="Calibri"/>
      <family val="2"/>
      <charset val="238"/>
      <scheme val="minor"/>
    </font>
    <font>
      <vertAlign val="subscript"/>
      <sz val="11"/>
      <color rgb="FFC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center"/>
    </xf>
    <xf numFmtId="0" fontId="5" fillId="0" borderId="0" xfId="0" applyFont="1" applyAlignment="1">
      <alignment horizontal="centerContinuous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5" fillId="0" borderId="5" xfId="0" applyFont="1" applyBorder="1" applyAlignment="1">
      <alignment horizontal="centerContinuous"/>
    </xf>
    <xf numFmtId="0" fontId="0" fillId="0" borderId="6" xfId="0" applyBorder="1"/>
    <xf numFmtId="0" fontId="5" fillId="0" borderId="5" xfId="0" applyFont="1" applyBorder="1" applyAlignment="1">
      <alignment horizontal="center"/>
    </xf>
    <xf numFmtId="0" fontId="2" fillId="0" borderId="0" xfId="0" applyFont="1"/>
    <xf numFmtId="0" fontId="6" fillId="0" borderId="0" xfId="0" applyFont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left"/>
    </xf>
    <xf numFmtId="0" fontId="7" fillId="0" borderId="0" xfId="0" applyFont="1"/>
    <xf numFmtId="0" fontId="7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left"/>
    </xf>
    <xf numFmtId="164" fontId="3" fillId="0" borderId="0" xfId="0" applyNumberFormat="1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4" xfId="0" applyBorder="1"/>
    <xf numFmtId="0" fontId="0" fillId="0" borderId="9" xfId="0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0" fillId="0" borderId="0" xfId="0" applyFont="1" applyAlignment="1">
      <alignment horizontal="right"/>
    </xf>
    <xf numFmtId="0" fontId="0" fillId="0" borderId="16" xfId="0" applyBorder="1" applyAlignment="1">
      <alignment horizontal="center"/>
    </xf>
    <xf numFmtId="0" fontId="0" fillId="0" borderId="16" xfId="0" applyBorder="1"/>
    <xf numFmtId="0" fontId="0" fillId="0" borderId="7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2" fillId="0" borderId="0" xfId="0" applyFont="1"/>
    <xf numFmtId="0" fontId="12" fillId="0" borderId="6" xfId="0" applyFont="1" applyBorder="1"/>
    <xf numFmtId="0" fontId="0" fillId="2" borderId="4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0" fillId="2" borderId="9" xfId="0" applyFill="1" applyBorder="1"/>
    <xf numFmtId="0" fontId="0" fillId="2" borderId="4" xfId="0" applyFill="1" applyBorder="1"/>
    <xf numFmtId="0" fontId="0" fillId="2" borderId="11" xfId="0" applyFill="1" applyBorder="1"/>
    <xf numFmtId="0" fontId="0" fillId="2" borderId="0" xfId="0" applyFill="1"/>
    <xf numFmtId="0" fontId="1" fillId="0" borderId="6" xfId="0" applyFont="1" applyBorder="1"/>
    <xf numFmtId="0" fontId="2" fillId="0" borderId="11" xfId="0" applyFont="1" applyBorder="1" applyAlignment="1">
      <alignment horizontal="center"/>
    </xf>
    <xf numFmtId="0" fontId="0" fillId="0" borderId="9" xfId="0" applyBorder="1" applyAlignment="1">
      <alignment horizontal="left"/>
    </xf>
    <xf numFmtId="165" fontId="0" fillId="0" borderId="8" xfId="0" applyNumberFormat="1" applyBorder="1"/>
    <xf numFmtId="0" fontId="13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7" fillId="0" borderId="6" xfId="0" applyFont="1" applyBorder="1"/>
    <xf numFmtId="0" fontId="0" fillId="0" borderId="4" xfId="0" applyBorder="1" applyAlignment="1">
      <alignment horizontal="right"/>
    </xf>
    <xf numFmtId="0" fontId="0" fillId="0" borderId="16" xfId="0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Font="1"/>
    <xf numFmtId="0" fontId="0" fillId="0" borderId="0" xfId="0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6" xfId="0" applyFill="1" applyBorder="1" applyAlignment="1"/>
    <xf numFmtId="0" fontId="5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Continuous"/>
    </xf>
    <xf numFmtId="0" fontId="0" fillId="0" borderId="0" xfId="0" applyAlignment="1"/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Main</a:t>
            </a:r>
            <a:r>
              <a:rPr lang="sk-SK" baseline="0"/>
              <a:t> ef</a:t>
            </a:r>
            <a:r>
              <a:rPr lang="sk-SK"/>
              <a:t>fect</a:t>
            </a:r>
            <a:r>
              <a:rPr lang="sk-SK" baseline="0"/>
              <a:t> of medzera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'hierarchicky model'!$R$3:$R$4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'hierarchicky model'!$S$3:$S$4</c:f>
              <c:numCache>
                <c:formatCode>General</c:formatCode>
                <c:ptCount val="2"/>
                <c:pt idx="0">
                  <c:v>826.875</c:v>
                </c:pt>
                <c:pt idx="1">
                  <c:v>725.25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F0-464C-9F3A-654539117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522368"/>
        <c:axId val="179522944"/>
      </c:scatterChart>
      <c:valAx>
        <c:axId val="179522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medzera (</a:t>
                </a:r>
                <a:r>
                  <a:rPr lang="en-US"/>
                  <a:t>A</a:t>
                </a:r>
                <a:r>
                  <a:rPr lang="sk-SK"/>
                  <a:t>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944"/>
        <c:crosses val="autoZero"/>
        <c:crossBetween val="midCat"/>
      </c:valAx>
      <c:valAx>
        <c:axId val="17952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t3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yi</c:v>
          </c:tx>
          <c:spPr>
            <a:ln w="19050">
              <a:noFill/>
            </a:ln>
          </c:spPr>
          <c:xVal>
            <c:numRef>
              <c:f>'nitridove leptanie_testy'!$B$3:$B$18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-1</c:v>
                </c:pt>
                <c:pt idx="5">
                  <c:v>-1</c:v>
                </c:pt>
                <c:pt idx="6">
                  <c:v>-1</c:v>
                </c:pt>
                <c:pt idx="7">
                  <c:v>-1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leptanie_testy'!$D$3:$D$18</c:f>
              <c:numCache>
                <c:formatCode>General</c:formatCode>
                <c:ptCount val="16"/>
                <c:pt idx="0">
                  <c:v>550</c:v>
                </c:pt>
                <c:pt idx="1">
                  <c:v>604</c:v>
                </c:pt>
                <c:pt idx="2">
                  <c:v>669</c:v>
                </c:pt>
                <c:pt idx="3">
                  <c:v>650</c:v>
                </c:pt>
                <c:pt idx="4">
                  <c:v>633</c:v>
                </c:pt>
                <c:pt idx="5">
                  <c:v>601</c:v>
                </c:pt>
                <c:pt idx="6">
                  <c:v>642</c:v>
                </c:pt>
                <c:pt idx="7">
                  <c:v>635</c:v>
                </c:pt>
                <c:pt idx="8">
                  <c:v>1037</c:v>
                </c:pt>
                <c:pt idx="9">
                  <c:v>1052</c:v>
                </c:pt>
                <c:pt idx="10">
                  <c:v>749</c:v>
                </c:pt>
                <c:pt idx="11">
                  <c:v>868</c:v>
                </c:pt>
                <c:pt idx="12">
                  <c:v>1075</c:v>
                </c:pt>
                <c:pt idx="13">
                  <c:v>1063</c:v>
                </c:pt>
                <c:pt idx="14">
                  <c:v>729</c:v>
                </c:pt>
                <c:pt idx="15">
                  <c:v>860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7D-445C-B3E0-D5E3B9575E93}"/>
            </c:ext>
          </c:extLst>
        </c:ser>
        <c:ser>
          <c:idx val="1"/>
          <c:order val="1"/>
          <c:tx>
            <c:v>Predicted yi</c:v>
          </c:tx>
          <c:spPr>
            <a:ln w="19050">
              <a:noFill/>
            </a:ln>
          </c:spPr>
          <c:xVal>
            <c:numRef>
              <c:f>'nitridove leptanie_testy'!$B$3:$B$18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-1</c:v>
                </c:pt>
                <c:pt idx="5">
                  <c:v>-1</c:v>
                </c:pt>
                <c:pt idx="6">
                  <c:v>-1</c:v>
                </c:pt>
                <c:pt idx="7">
                  <c:v>-1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leptanie_testy'!$V$51:$V$95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7D-445C-B3E0-D5E3B9575E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001856"/>
        <c:axId val="48267264"/>
      </c:scatterChart>
      <c:valAx>
        <c:axId val="152001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67264"/>
        <c:crosses val="autoZero"/>
        <c:crossBetween val="midCat"/>
      </c:valAx>
      <c:valAx>
        <c:axId val="482672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yi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20018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t1*t3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yi</c:v>
          </c:tx>
          <c:spPr>
            <a:ln w="19050">
              <a:noFill/>
            </a:ln>
          </c:spPr>
          <c:xVal>
            <c:numRef>
              <c:f>'nitridove leptanie_testy'!$C$3:$C$18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-1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leptanie_testy'!$D$3:$D$18</c:f>
              <c:numCache>
                <c:formatCode>General</c:formatCode>
                <c:ptCount val="16"/>
                <c:pt idx="0">
                  <c:v>550</c:v>
                </c:pt>
                <c:pt idx="1">
                  <c:v>604</c:v>
                </c:pt>
                <c:pt idx="2">
                  <c:v>669</c:v>
                </c:pt>
                <c:pt idx="3">
                  <c:v>650</c:v>
                </c:pt>
                <c:pt idx="4">
                  <c:v>633</c:v>
                </c:pt>
                <c:pt idx="5">
                  <c:v>601</c:v>
                </c:pt>
                <c:pt idx="6">
                  <c:v>642</c:v>
                </c:pt>
                <c:pt idx="7">
                  <c:v>635</c:v>
                </c:pt>
                <c:pt idx="8">
                  <c:v>1037</c:v>
                </c:pt>
                <c:pt idx="9">
                  <c:v>1052</c:v>
                </c:pt>
                <c:pt idx="10">
                  <c:v>749</c:v>
                </c:pt>
                <c:pt idx="11">
                  <c:v>868</c:v>
                </c:pt>
                <c:pt idx="12">
                  <c:v>1075</c:v>
                </c:pt>
                <c:pt idx="13">
                  <c:v>1063</c:v>
                </c:pt>
                <c:pt idx="14">
                  <c:v>729</c:v>
                </c:pt>
                <c:pt idx="15">
                  <c:v>860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F4E-4DA1-A9A6-4257591694A4}"/>
            </c:ext>
          </c:extLst>
        </c:ser>
        <c:ser>
          <c:idx val="1"/>
          <c:order val="1"/>
          <c:tx>
            <c:v>Predicted yi</c:v>
          </c:tx>
          <c:spPr>
            <a:ln w="19050">
              <a:noFill/>
            </a:ln>
          </c:spPr>
          <c:xVal>
            <c:numRef>
              <c:f>'nitridove leptanie_testy'!$C$3:$C$18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-1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leptanie_testy'!$V$51:$V$95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F4E-4DA1-A9A6-425759169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68992"/>
        <c:axId val="48269568"/>
      </c:scatterChart>
      <c:valAx>
        <c:axId val="48268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t1*t3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69568"/>
        <c:crosses val="autoZero"/>
        <c:crossBetween val="midCat"/>
      </c:valAx>
      <c:valAx>
        <c:axId val="482695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yi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6899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'nitridove leptanie_testy'!$Z$51:$Z$95</c:f>
              <c:numCache>
                <c:formatCode>General</c:formatCode>
                <c:ptCount val="45"/>
              </c:numCache>
            </c:numRef>
          </c:xVal>
          <c:yVal>
            <c:numRef>
              <c:f>'nitridove leptanie_testy'!$AA$51:$AA$95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1-4053-A11A-4215F9E4D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71296"/>
        <c:axId val="48271872"/>
      </c:scatterChart>
      <c:valAx>
        <c:axId val="48271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71872"/>
        <c:crosses val="autoZero"/>
        <c:crossBetween val="midCat"/>
      </c:valAx>
      <c:valAx>
        <c:axId val="482718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yi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712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Hlavny</a:t>
            </a:r>
            <a:r>
              <a:rPr lang="sk-SK" baseline="0"/>
              <a:t> efekt faktora prietok plynu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'hlavne efekty'!$K$9:$K$10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'hlavne efekty'!$L$9:$L$10</c:f>
              <c:numCache>
                <c:formatCode>General</c:formatCode>
                <c:ptCount val="2"/>
                <c:pt idx="0">
                  <c:v>772.375</c:v>
                </c:pt>
                <c:pt idx="1">
                  <c:v>779.75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53-45F3-8F61-D82107548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522368"/>
        <c:axId val="179522944"/>
      </c:scatterChart>
      <c:valAx>
        <c:axId val="179522368"/>
        <c:scaling>
          <c:orientation val="minMax"/>
          <c:max val="1"/>
          <c:min val="-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B_prietok</a:t>
                </a:r>
                <a:r>
                  <a:rPr lang="sk-SK" baseline="0"/>
                  <a:t> plynu</a:t>
                </a:r>
                <a:r>
                  <a:rPr lang="sk-SK"/>
                  <a:t> 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944"/>
        <c:crosses val="autoZero"/>
        <c:crossBetween val="midCat"/>
        <c:majorUnit val="1"/>
        <c:minorUnit val="1"/>
      </c:valAx>
      <c:valAx>
        <c:axId val="17952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Hlavny</a:t>
            </a:r>
            <a:r>
              <a:rPr lang="sk-SK" baseline="0"/>
              <a:t> efekt faktora medzera medzi elektrodami</a:t>
            </a:r>
            <a:endParaRPr lang="sk-SK"/>
          </a:p>
        </c:rich>
      </c:tx>
      <c:layout>
        <c:manualLayout>
          <c:xMode val="edge"/>
          <c:yMode val="edge"/>
          <c:x val="0.1559661026414251"/>
          <c:y val="4.66527279907184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'hlavne efekty'!$K$3:$K$4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'hlavne efekty'!$L$3:$L$4</c:f>
              <c:numCache>
                <c:formatCode>General</c:formatCode>
                <c:ptCount val="2"/>
                <c:pt idx="0">
                  <c:v>826.875</c:v>
                </c:pt>
                <c:pt idx="1">
                  <c:v>725.25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54-4196-AFEE-F16150370B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522368"/>
        <c:axId val="179522944"/>
      </c:scatterChart>
      <c:valAx>
        <c:axId val="179522368"/>
        <c:scaling>
          <c:orientation val="minMax"/>
          <c:max val="1"/>
          <c:min val="-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A_medzera</a:t>
                </a:r>
                <a:r>
                  <a:rPr lang="sk-SK" baseline="0"/>
                  <a:t> medzi elektrodami</a:t>
                </a:r>
                <a:r>
                  <a:rPr lang="sk-SK"/>
                  <a:t> 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944"/>
        <c:crosses val="autoZero"/>
        <c:crossBetween val="midCat"/>
        <c:majorUnit val="1"/>
        <c:minorUnit val="1"/>
      </c:valAx>
      <c:valAx>
        <c:axId val="17952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Hlavny</a:t>
            </a:r>
            <a:r>
              <a:rPr lang="sk-SK" baseline="0"/>
              <a:t> efekt faktora vykon na katode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'hlavne efekty'!$K$15:$K$16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'hlavne efekty'!$L$15:$L$16</c:f>
              <c:numCache>
                <c:formatCode>General</c:formatCode>
                <c:ptCount val="2"/>
                <c:pt idx="0">
                  <c:v>623</c:v>
                </c:pt>
                <c:pt idx="1">
                  <c:v>929.125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D9F-4F73-8C8F-0A2539146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522368"/>
        <c:axId val="179522944"/>
      </c:scatterChart>
      <c:valAx>
        <c:axId val="179522368"/>
        <c:scaling>
          <c:orientation val="minMax"/>
          <c:max val="1"/>
          <c:min val="-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C_vykon</a:t>
                </a:r>
                <a:r>
                  <a:rPr lang="sk-SK" baseline="0"/>
                  <a:t> na katode</a:t>
                </a:r>
                <a:r>
                  <a:rPr lang="sk-SK"/>
                  <a:t> 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944"/>
        <c:crosses val="autoZero"/>
        <c:crossBetween val="midCat"/>
        <c:majorUnit val="1"/>
        <c:minorUnit val="1"/>
      </c:valAx>
      <c:valAx>
        <c:axId val="179522944"/>
        <c:scaling>
          <c:orientation val="minMax"/>
          <c:min val="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Interakcia</a:t>
            </a:r>
            <a:r>
              <a:rPr lang="sk-SK" baseline="0"/>
              <a:t> faktorov A a C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'efekty interakcií'!$C$24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'efekty interakcií'!$D$23:$E$23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interakcií'!$D$24:$E$24</c:f>
              <c:numCache>
                <c:formatCode>General</c:formatCode>
                <c:ptCount val="2"/>
                <c:pt idx="0">
                  <c:v>597</c:v>
                </c:pt>
                <c:pt idx="1">
                  <c:v>649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18-4E45-B99E-0C3CEFFD0183}"/>
            </c:ext>
          </c:extLst>
        </c:ser>
        <c:ser>
          <c:idx val="1"/>
          <c:order val="1"/>
          <c:tx>
            <c:strRef>
              <c:f>'efekty interakcií'!$C$25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'efekty interakcií'!$D$23:$E$23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interakcií'!$D$25:$E$25</c:f>
              <c:numCache>
                <c:formatCode>General</c:formatCode>
                <c:ptCount val="2"/>
                <c:pt idx="0">
                  <c:v>1056.75</c:v>
                </c:pt>
                <c:pt idx="1">
                  <c:v>801.5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18-4E45-B99E-0C3CEFFD0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5872384"/>
        <c:axId val="955874048"/>
      </c:scatterChart>
      <c:valAx>
        <c:axId val="955872384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A_medzera medzi elektrodami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4048"/>
        <c:crosses val="autoZero"/>
        <c:crossBetween val="midCat"/>
        <c:majorUnit val="0.5"/>
      </c:valAx>
      <c:valAx>
        <c:axId val="95587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priemerna</a:t>
                </a:r>
                <a:r>
                  <a:rPr lang="sk-SK" baseline="0"/>
                  <a:t> rychlost nitrid leptania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2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Interakcia</a:t>
            </a:r>
            <a:r>
              <a:rPr lang="sk-SK" baseline="0"/>
              <a:t> faktorov A a C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'efekty interakcií'!$D$23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'efekty interakcií'!$C$24:$C$25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interakcií'!$D$24:$D$25</c:f>
              <c:numCache>
                <c:formatCode>General</c:formatCode>
                <c:ptCount val="2"/>
                <c:pt idx="0">
                  <c:v>597</c:v>
                </c:pt>
                <c:pt idx="1">
                  <c:v>1056.75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EEF-4578-9B16-3F31438A792E}"/>
            </c:ext>
          </c:extLst>
        </c:ser>
        <c:ser>
          <c:idx val="1"/>
          <c:order val="1"/>
          <c:tx>
            <c:strRef>
              <c:f>'efekty interakcií'!$E$23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'efekty interakcií'!$C$24:$C$25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interakcií'!$E$24:$E$25</c:f>
              <c:numCache>
                <c:formatCode>General</c:formatCode>
                <c:ptCount val="2"/>
                <c:pt idx="0">
                  <c:v>649</c:v>
                </c:pt>
                <c:pt idx="1">
                  <c:v>801.5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EF-4578-9B16-3F31438A7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5872384"/>
        <c:axId val="955874048"/>
      </c:scatterChart>
      <c:valAx>
        <c:axId val="955872384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C</a:t>
                </a:r>
                <a:r>
                  <a:rPr lang="en-US"/>
                  <a:t>_</a:t>
                </a:r>
                <a:r>
                  <a:rPr lang="sk-SK"/>
                  <a:t>vykon</a:t>
                </a:r>
                <a:r>
                  <a:rPr lang="sk-SK" baseline="0"/>
                  <a:t> na katode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4048"/>
        <c:crosses val="autoZero"/>
        <c:crossBetween val="midCat"/>
        <c:majorUnit val="0.5"/>
      </c:valAx>
      <c:valAx>
        <c:axId val="95587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priemerna</a:t>
                </a:r>
                <a:r>
                  <a:rPr lang="sk-SK" baseline="0"/>
                  <a:t> rychlost nitrid leptania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2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Interakcia</a:t>
            </a:r>
            <a:r>
              <a:rPr lang="sk-SK" baseline="0"/>
              <a:t> faktorov A a B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'efekty interakcií'!$C$33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'efekty interakcií'!$D$32:$E$32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interakcií'!$D$33:$E$33</c:f>
              <c:numCache>
                <c:formatCode>General</c:formatCode>
                <c:ptCount val="2"/>
                <c:pt idx="0">
                  <c:v>810.75</c:v>
                </c:pt>
                <c:pt idx="1">
                  <c:v>734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D0-4846-86D4-6CB0B546CC4E}"/>
            </c:ext>
          </c:extLst>
        </c:ser>
        <c:ser>
          <c:idx val="1"/>
          <c:order val="1"/>
          <c:tx>
            <c:strRef>
              <c:f>'efekty interakcií'!$C$34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'efekty interakcií'!$D$32:$E$32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interakcií'!$D$34:$E$34</c:f>
              <c:numCache>
                <c:formatCode>General</c:formatCode>
                <c:ptCount val="2"/>
                <c:pt idx="0">
                  <c:v>843</c:v>
                </c:pt>
                <c:pt idx="1">
                  <c:v>716.5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2D0-4846-86D4-6CB0B546C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5872384"/>
        <c:axId val="955874048"/>
      </c:scatterChart>
      <c:valAx>
        <c:axId val="955872384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A_medzera medzi elektrodami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4048"/>
        <c:crosses val="autoZero"/>
        <c:crossBetween val="midCat"/>
        <c:majorUnit val="0.5"/>
      </c:valAx>
      <c:valAx>
        <c:axId val="95587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priemerna</a:t>
                </a:r>
                <a:r>
                  <a:rPr lang="sk-SK" baseline="0"/>
                  <a:t> rychlost nitrid leptania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2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Interakcia</a:t>
            </a:r>
            <a:r>
              <a:rPr lang="sk-SK" baseline="0"/>
              <a:t> faktorov A a B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'efekty interakcií'!$D$32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'efekty interakcií'!$C$33:$C$34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interakcií'!$D$33:$D$34</c:f>
              <c:numCache>
                <c:formatCode>General</c:formatCode>
                <c:ptCount val="2"/>
                <c:pt idx="0">
                  <c:v>810.75</c:v>
                </c:pt>
                <c:pt idx="1">
                  <c:v>843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42-474C-9997-128D47CC7BFC}"/>
            </c:ext>
          </c:extLst>
        </c:ser>
        <c:ser>
          <c:idx val="1"/>
          <c:order val="1"/>
          <c:tx>
            <c:strRef>
              <c:f>'efekty interakcií'!$E$32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'efekty interakcií'!$C$33:$C$34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interakcií'!$E$33:$E$34</c:f>
              <c:numCache>
                <c:formatCode>General</c:formatCode>
                <c:ptCount val="2"/>
                <c:pt idx="0">
                  <c:v>734</c:v>
                </c:pt>
                <c:pt idx="1">
                  <c:v>716.5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42-474C-9997-128D47CC7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5872384"/>
        <c:axId val="955874048"/>
      </c:scatterChart>
      <c:valAx>
        <c:axId val="955872384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B</a:t>
                </a:r>
                <a:r>
                  <a:rPr lang="en-US"/>
                  <a:t>_</a:t>
                </a:r>
                <a:r>
                  <a:rPr lang="sk-SK"/>
                  <a:t>prietok</a:t>
                </a:r>
                <a:r>
                  <a:rPr lang="sk-SK" baseline="0"/>
                  <a:t> plynu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4048"/>
        <c:crosses val="autoZero"/>
        <c:crossBetween val="midCat"/>
        <c:majorUnit val="0.5"/>
      </c:valAx>
      <c:valAx>
        <c:axId val="95587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priemerna</a:t>
                </a:r>
                <a:r>
                  <a:rPr lang="sk-SK" baseline="0"/>
                  <a:t> rychlost nitrid leptania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2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Interaction</a:t>
            </a:r>
            <a:r>
              <a:rPr lang="sk-SK" baseline="0"/>
              <a:t> effect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'hierarchicky model'!$AJ$39:$AK$39</c:f>
              <c:strCache>
                <c:ptCount val="2"/>
                <c:pt idx="0">
                  <c:v>275</c:v>
                </c:pt>
                <c:pt idx="1">
                  <c:v>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'hierarchicky model'!$AL$37:$AM$38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0,8</c:v>
                  </c:pt>
                  <c:pt idx="1">
                    <c:v>1,2</c:v>
                  </c:pt>
                </c:lvl>
              </c:multiLvlStrCache>
            </c:multiLvlStrRef>
          </c:cat>
          <c:val>
            <c:numRef>
              <c:f>'hierarchicky model'!$AL$39:$AM$39</c:f>
              <c:numCache>
                <c:formatCode>General</c:formatCode>
                <c:ptCount val="2"/>
                <c:pt idx="0">
                  <c:v>597</c:v>
                </c:pt>
                <c:pt idx="1">
                  <c:v>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75-4E8C-92BB-F19062DEF4FF}"/>
            </c:ext>
          </c:extLst>
        </c:ser>
        <c:ser>
          <c:idx val="1"/>
          <c:order val="1"/>
          <c:tx>
            <c:strRef>
              <c:f>'hierarchicky model'!$AJ$40:$AK$40</c:f>
              <c:strCache>
                <c:ptCount val="2"/>
                <c:pt idx="0">
                  <c:v>325</c:v>
                </c:pt>
                <c:pt idx="1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'hierarchicky model'!$AL$37:$AM$38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0,8</c:v>
                  </c:pt>
                  <c:pt idx="1">
                    <c:v>1,2</c:v>
                  </c:pt>
                </c:lvl>
              </c:multiLvlStrCache>
            </c:multiLvlStrRef>
          </c:cat>
          <c:val>
            <c:numRef>
              <c:f>'hierarchicky model'!$AL$40:$AM$40</c:f>
              <c:numCache>
                <c:formatCode>General</c:formatCode>
                <c:ptCount val="2"/>
                <c:pt idx="0">
                  <c:v>1056.75</c:v>
                </c:pt>
                <c:pt idx="1">
                  <c:v>801.5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75-4E8C-92BB-F19062DEF4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75744"/>
        <c:axId val="179523520"/>
      </c:lineChart>
      <c:catAx>
        <c:axId val="477757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medzera</a:t>
                </a:r>
                <a:r>
                  <a:rPr lang="sk-SK"/>
                  <a:t> (</a:t>
                </a:r>
                <a:r>
                  <a:rPr lang="en-US" sz="1000" b="0" i="0" u="none" strike="noStrike" baseline="0">
                    <a:effectLst/>
                  </a:rPr>
                  <a:t>A</a:t>
                </a:r>
                <a:r>
                  <a:rPr lang="en-US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3520"/>
        <c:crosses val="autoZero"/>
        <c:auto val="1"/>
        <c:lblAlgn val="ctr"/>
        <c:lblOffset val="100"/>
        <c:noMultiLvlLbl val="0"/>
      </c:catAx>
      <c:valAx>
        <c:axId val="17952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7775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Interakcia</a:t>
            </a:r>
            <a:r>
              <a:rPr lang="sk-SK" baseline="0"/>
              <a:t> faktorov B a C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'efekty interakcií'!$C$42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'efekty interakcií'!$D$41:$E$41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interakcií'!$D$42:$E$42</c:f>
              <c:numCache>
                <c:formatCode>General</c:formatCode>
                <c:ptCount val="2"/>
                <c:pt idx="0">
                  <c:v>618.25</c:v>
                </c:pt>
                <c:pt idx="1">
                  <c:v>627.75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AE-4ED8-8002-6FB075742FAD}"/>
            </c:ext>
          </c:extLst>
        </c:ser>
        <c:ser>
          <c:idx val="1"/>
          <c:order val="1"/>
          <c:tx>
            <c:strRef>
              <c:f>'efekty interakcií'!$C$43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'efekty interakcií'!$D$41:$E$41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interakcií'!$D$43:$E$43</c:f>
              <c:numCache>
                <c:formatCode>General</c:formatCode>
                <c:ptCount val="2"/>
                <c:pt idx="0">
                  <c:v>926.5</c:v>
                </c:pt>
                <c:pt idx="1">
                  <c:v>931.75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AE-4ED8-8002-6FB075742F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5872384"/>
        <c:axId val="955874048"/>
      </c:scatterChart>
      <c:valAx>
        <c:axId val="955872384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B</a:t>
                </a:r>
                <a:r>
                  <a:rPr lang="en-US"/>
                  <a:t>_</a:t>
                </a:r>
                <a:r>
                  <a:rPr lang="sk-SK"/>
                  <a:t>prietok</a:t>
                </a:r>
                <a:r>
                  <a:rPr lang="sk-SK" baseline="0"/>
                  <a:t> plynu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4048"/>
        <c:crosses val="autoZero"/>
        <c:crossBetween val="midCat"/>
        <c:majorUnit val="0.5"/>
      </c:valAx>
      <c:valAx>
        <c:axId val="95587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priemerna</a:t>
                </a:r>
                <a:r>
                  <a:rPr lang="sk-SK" baseline="0"/>
                  <a:t> rychlost nitrid leptania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2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Interakcia</a:t>
            </a:r>
            <a:r>
              <a:rPr lang="sk-SK" baseline="0"/>
              <a:t> faktorov B a C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'efekty interakcií'!$D$41</c:f>
              <c:strCache>
                <c:ptCount val="1"/>
                <c:pt idx="0">
                  <c:v>-1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'efekty interakcií'!$C$42:$C$43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interakcií'!$D$42:$D$43</c:f>
              <c:numCache>
                <c:formatCode>General</c:formatCode>
                <c:ptCount val="2"/>
                <c:pt idx="0">
                  <c:v>618.25</c:v>
                </c:pt>
                <c:pt idx="1">
                  <c:v>926.5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22-46F1-B4BC-4F56291AB309}"/>
            </c:ext>
          </c:extLst>
        </c:ser>
        <c:ser>
          <c:idx val="1"/>
          <c:order val="1"/>
          <c:tx>
            <c:strRef>
              <c:f>'efekty interakcií'!$E$41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'efekty interakcií'!$C$42:$C$43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'efekty interakcií'!$E$42:$E$43</c:f>
              <c:numCache>
                <c:formatCode>General</c:formatCode>
                <c:ptCount val="2"/>
                <c:pt idx="0">
                  <c:v>627.75</c:v>
                </c:pt>
                <c:pt idx="1">
                  <c:v>931.75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22-46F1-B4BC-4F56291AB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5872384"/>
        <c:axId val="955874048"/>
      </c:scatterChart>
      <c:valAx>
        <c:axId val="955872384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C</a:t>
                </a:r>
                <a:r>
                  <a:rPr lang="en-US"/>
                  <a:t>_</a:t>
                </a:r>
                <a:r>
                  <a:rPr lang="sk-SK"/>
                  <a:t>vykon</a:t>
                </a:r>
                <a:r>
                  <a:rPr lang="sk-SK" baseline="0"/>
                  <a:t> na katode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4048"/>
        <c:crosses val="autoZero"/>
        <c:crossBetween val="midCat"/>
        <c:majorUnit val="0.5"/>
      </c:valAx>
      <c:valAx>
        <c:axId val="95587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priemerna</a:t>
                </a:r>
                <a:r>
                  <a:rPr lang="sk-SK" baseline="0"/>
                  <a:t> rychlost nitrid leptania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55872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Pareto graf standardizovanych efektov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'Pareto graf'!$B$31:$B$37</c:f>
              <c:strCache>
                <c:ptCount val="7"/>
                <c:pt idx="0">
                  <c:v>BC</c:v>
                </c:pt>
                <c:pt idx="1">
                  <c:v>ABC</c:v>
                </c:pt>
                <c:pt idx="2">
                  <c:v>B</c:v>
                </c:pt>
                <c:pt idx="3">
                  <c:v>AB</c:v>
                </c:pt>
                <c:pt idx="4">
                  <c:v>A</c:v>
                </c:pt>
                <c:pt idx="5">
                  <c:v>AC</c:v>
                </c:pt>
                <c:pt idx="6">
                  <c:v>C</c:v>
                </c:pt>
              </c:strCache>
            </c:strRef>
          </c:cat>
          <c:val>
            <c:numRef>
              <c:f>'Pareto graf'!$C$31:$C$37</c:f>
              <c:numCache>
                <c:formatCode>General</c:formatCode>
                <c:ptCount val="7"/>
                <c:pt idx="0">
                  <c:v>0.09</c:v>
                </c:pt>
                <c:pt idx="1">
                  <c:v>0.24</c:v>
                </c:pt>
                <c:pt idx="2">
                  <c:v>0.31</c:v>
                </c:pt>
                <c:pt idx="3">
                  <c:v>1.05</c:v>
                </c:pt>
                <c:pt idx="4">
                  <c:v>4.28</c:v>
                </c:pt>
                <c:pt idx="5">
                  <c:v>6.47</c:v>
                </c:pt>
                <c:pt idx="6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C5-4E41-A3F7-CFD72EB0E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axId val="580317040"/>
        <c:axId val="580301232"/>
      </c:barChart>
      <c:catAx>
        <c:axId val="580317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80301232"/>
        <c:crosses val="autoZero"/>
        <c:auto val="1"/>
        <c:lblAlgn val="ctr"/>
        <c:lblOffset val="100"/>
        <c:noMultiLvlLbl val="0"/>
      </c:catAx>
      <c:valAx>
        <c:axId val="58030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Standardizovane efekty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80317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Validácia</a:t>
            </a:r>
            <a:r>
              <a:rPr lang="sk-SK" baseline="0"/>
              <a:t> regresného modelu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0386636045494314"/>
                  <c:y val="-0.2034736803732866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'validacia modelu'!$L$8:$L$22</c:f>
              <c:numCache>
                <c:formatCode>General</c:formatCode>
                <c:ptCount val="15"/>
                <c:pt idx="0">
                  <c:v>596.99999999999955</c:v>
                </c:pt>
                <c:pt idx="1">
                  <c:v>801.5</c:v>
                </c:pt>
                <c:pt idx="2">
                  <c:v>801.46874999999909</c:v>
                </c:pt>
                <c:pt idx="3">
                  <c:v>653.61250000000018</c:v>
                </c:pt>
                <c:pt idx="4">
                  <c:v>878.05624999999873</c:v>
                </c:pt>
                <c:pt idx="5">
                  <c:v>842.38124999999854</c:v>
                </c:pt>
                <c:pt idx="6">
                  <c:v>734.92499999999927</c:v>
                </c:pt>
                <c:pt idx="7">
                  <c:v>837.28749999999945</c:v>
                </c:pt>
                <c:pt idx="8">
                  <c:v>623</c:v>
                </c:pt>
                <c:pt idx="9">
                  <c:v>750.65624999999909</c:v>
                </c:pt>
                <c:pt idx="10">
                  <c:v>725.25</c:v>
                </c:pt>
                <c:pt idx="11">
                  <c:v>801.46874999999909</c:v>
                </c:pt>
                <c:pt idx="12">
                  <c:v>653.61250000000018</c:v>
                </c:pt>
                <c:pt idx="13">
                  <c:v>734.92499999999927</c:v>
                </c:pt>
                <c:pt idx="14">
                  <c:v>954.64374999999927</c:v>
                </c:pt>
              </c:numCache>
            </c:numRef>
          </c:xVal>
          <c:yVal>
            <c:numRef>
              <c:f>'validacia modelu'!$F$8:$F$22</c:f>
              <c:numCache>
                <c:formatCode>General</c:formatCode>
                <c:ptCount val="15"/>
                <c:pt idx="0">
                  <c:v>602</c:v>
                </c:pt>
                <c:pt idx="1">
                  <c:v>804</c:v>
                </c:pt>
                <c:pt idx="2">
                  <c:v>800</c:v>
                </c:pt>
                <c:pt idx="3">
                  <c:v>681</c:v>
                </c:pt>
                <c:pt idx="4">
                  <c:v>900</c:v>
                </c:pt>
                <c:pt idx="5">
                  <c:v>755</c:v>
                </c:pt>
                <c:pt idx="6">
                  <c:v>750</c:v>
                </c:pt>
                <c:pt idx="7">
                  <c:v>840</c:v>
                </c:pt>
                <c:pt idx="8">
                  <c:v>621</c:v>
                </c:pt>
                <c:pt idx="9">
                  <c:v>750</c:v>
                </c:pt>
                <c:pt idx="10">
                  <c:v>730</c:v>
                </c:pt>
                <c:pt idx="11">
                  <c:v>800</c:v>
                </c:pt>
                <c:pt idx="12">
                  <c:v>654</c:v>
                </c:pt>
                <c:pt idx="13">
                  <c:v>695</c:v>
                </c:pt>
                <c:pt idx="14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9B-4A71-934E-442F714D7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134528"/>
        <c:axId val="531138272"/>
      </c:scatterChart>
      <c:valAx>
        <c:axId val="531134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predikovane hodnoty [10^(-10) m/min]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31138272"/>
        <c:crosses val="autoZero"/>
        <c:crossBetween val="midCat"/>
      </c:valAx>
      <c:valAx>
        <c:axId val="53113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namerane hodnoty [10^(-10) m/min]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311345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_xlchart.1</cx:f>
      </cx:numDim>
    </cx:data>
    <cx:data id="1">
      <cx:numDim type="val">
        <cx:f>_xlchart.3</cx:f>
      </cx:numDim>
    </cx:data>
  </cx:chartData>
  <cx:chart>
    <cx:plotArea>
      <cx:plotAreaRegion>
        <cx:series layoutId="boxWhisker" uniqueId="{4CFABBF5-9501-4B34-B46D-619EF91F9482}">
          <cx:tx>
            <cx:txData>
              <cx:f>_xlchart.0</cx:f>
              <cx:v>y kontrol meranie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0000001-6F0E-4D6E-9725-ED7B88CC78EC}">
          <cx:tx>
            <cx:txData>
              <cx:f>_xlchart.2</cx:f>
              <cx:v>y predikovane</cx:v>
            </cx:txData>
          </cx:tx>
          <cx:dataId val="1"/>
          <cx:layoutPr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rich>
              <a:bodyPr spcFirstLastPara="1" vertOverflow="ellipsis" wrap="square" lIns="0" tIns="0" rIns="0" bIns="0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sk-SK"/>
                  <a:t>rychlost nitridoveho leptania </a:t>
                </a:r>
                <a:r>
                  <a:rPr lang="sk-SK" sz="900" b="0" i="0" u="none" strike="noStrike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latin typeface="Calibri" panose="020F0502020204030204"/>
                  </a:rPr>
                  <a:t>[10^(-10) m/min]</a:t>
                </a:r>
                <a:endParaRPr lang="sk-SK">
                  <a:effectLst/>
                </a:endParaRPr>
              </a:p>
            </cx:rich>
          </cx:tx>
        </cx:title>
        <cx:majorGridlines/>
        <cx:tickLabels/>
      </cx:axis>
    </cx:plotArea>
    <cx:legend pos="r" align="ctr" overlay="0"/>
  </cx:chart>
  <cx:clrMapOvr bg1="lt1" tx1="dk1" bg2="lt2" tx2="dk2" accent1="accent1" accent2="accent2" accent3="accent3" accent4="accent4" accent5="accent5" accent6="accent6" hlink="hlink" folHlink="folHlink"/>
</cx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Interaction</a:t>
            </a:r>
            <a:r>
              <a:rPr lang="sk-SK" baseline="0"/>
              <a:t> effect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'hierarchicky model'!$AL$37:$AL$38</c:f>
              <c:strCache>
                <c:ptCount val="2"/>
                <c:pt idx="0">
                  <c:v>0,8</c:v>
                </c:pt>
                <c:pt idx="1">
                  <c:v>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'hierarchicky model'!$AJ$39:$AK$40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275</c:v>
                  </c:pt>
                  <c:pt idx="1">
                    <c:v>325</c:v>
                  </c:pt>
                </c:lvl>
              </c:multiLvlStrCache>
            </c:multiLvlStrRef>
          </c:cat>
          <c:val>
            <c:numRef>
              <c:f>'hierarchicky model'!$AL$39:$AL$40</c:f>
              <c:numCache>
                <c:formatCode>General</c:formatCode>
                <c:ptCount val="2"/>
                <c:pt idx="0">
                  <c:v>597</c:v>
                </c:pt>
                <c:pt idx="1">
                  <c:v>1056.75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4D-4B86-A4F8-CB4F7CEDBB20}"/>
            </c:ext>
          </c:extLst>
        </c:ser>
        <c:ser>
          <c:idx val="1"/>
          <c:order val="1"/>
          <c:tx>
            <c:strRef>
              <c:f>'hierarchicky model'!$AM$37:$AM$38</c:f>
              <c:strCache>
                <c:ptCount val="2"/>
                <c:pt idx="0">
                  <c:v>1,2</c:v>
                </c:pt>
                <c:pt idx="1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'hierarchicky model'!$AJ$39:$AK$40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275</c:v>
                  </c:pt>
                  <c:pt idx="1">
                    <c:v>325</c:v>
                  </c:pt>
                </c:lvl>
              </c:multiLvlStrCache>
            </c:multiLvlStrRef>
          </c:cat>
          <c:val>
            <c:numRef>
              <c:f>'hierarchicky model'!$AM$39:$AM$40</c:f>
              <c:numCache>
                <c:formatCode>General</c:formatCode>
                <c:ptCount val="2"/>
                <c:pt idx="0">
                  <c:v>649</c:v>
                </c:pt>
                <c:pt idx="1">
                  <c:v>801.5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4D-4B86-A4F8-CB4F7CEDB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76256"/>
        <c:axId val="179525824"/>
      </c:lineChart>
      <c:catAx>
        <c:axId val="4777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vykon</a:t>
                </a:r>
                <a:r>
                  <a:rPr lang="sk-SK" sz="1000" b="0" i="0" u="none" strike="noStrike" baseline="0">
                    <a:effectLst/>
                  </a:rPr>
                  <a:t> </a:t>
                </a:r>
                <a:r>
                  <a:rPr lang="en-US" sz="1000" b="0" i="0" u="none" strike="noStrike" baseline="0">
                    <a:effectLst/>
                  </a:rPr>
                  <a:t>(</a:t>
                </a:r>
                <a:r>
                  <a:rPr lang="sk-SK" sz="1000" b="0" i="0" u="none" strike="noStrike" baseline="0">
                    <a:effectLst/>
                  </a:rPr>
                  <a:t>C</a:t>
                </a:r>
                <a:r>
                  <a:rPr lang="en-US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5824"/>
        <c:crosses val="autoZero"/>
        <c:auto val="1"/>
        <c:lblAlgn val="ctr"/>
        <c:lblOffset val="100"/>
        <c:noMultiLvlLbl val="0"/>
      </c:catAx>
      <c:valAx>
        <c:axId val="17952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777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 sz="1000" b="0" i="0" baseline="0">
                <a:effectLst/>
              </a:rPr>
              <a:t>Interaction effect</a:t>
            </a:r>
            <a:endParaRPr lang="sk-SK" sz="1000">
              <a:effectLst/>
            </a:endParaRP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'hierarchicky model'!$L$10</c:f>
              <c:strCache>
                <c:ptCount val="1"/>
                <c:pt idx="0">
                  <c:v>275</c:v>
                </c:pt>
              </c:strCache>
            </c:strRef>
          </c:tx>
          <c:xVal>
            <c:numRef>
              <c:f>'hierarchicky model'!$N$9:$O$9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'hierarchicky model'!$N$10:$O$10</c:f>
              <c:numCache>
                <c:formatCode>General</c:formatCode>
                <c:ptCount val="2"/>
                <c:pt idx="0">
                  <c:v>597</c:v>
                </c:pt>
                <c:pt idx="1">
                  <c:v>649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1E-45FD-AD02-68D1AAEC1FCB}"/>
            </c:ext>
          </c:extLst>
        </c:ser>
        <c:ser>
          <c:idx val="1"/>
          <c:order val="1"/>
          <c:tx>
            <c:strRef>
              <c:f>'hierarchicky model'!$L$11</c:f>
              <c:strCache>
                <c:ptCount val="1"/>
                <c:pt idx="0">
                  <c:v>325</c:v>
                </c:pt>
              </c:strCache>
            </c:strRef>
          </c:tx>
          <c:xVal>
            <c:numRef>
              <c:f>'hierarchicky model'!$N$9:$O$9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'hierarchicky model'!$N$11:$O$11</c:f>
              <c:numCache>
                <c:formatCode>General</c:formatCode>
                <c:ptCount val="2"/>
                <c:pt idx="0">
                  <c:v>1056.75</c:v>
                </c:pt>
                <c:pt idx="1">
                  <c:v>801.5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1E-45FD-AD02-68D1AAEC1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599808"/>
        <c:axId val="69600384"/>
      </c:scatterChart>
      <c:valAx>
        <c:axId val="69599808"/>
        <c:scaling>
          <c:orientation val="minMax"/>
          <c:max val="1"/>
          <c:min val="-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800"/>
                  <a:t>medzera (A)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9600384"/>
        <c:crosses val="autoZero"/>
        <c:crossBetween val="midCat"/>
      </c:valAx>
      <c:valAx>
        <c:axId val="69600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959980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k-SK" sz="1000" b="0" i="0" baseline="0">
                <a:effectLst/>
              </a:rPr>
              <a:t>Interaction effect</a:t>
            </a:r>
            <a:endParaRPr lang="sk-SK" sz="1000">
              <a:effectLst/>
            </a:endParaRP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'hierarchicky model'!$N$8</c:f>
              <c:strCache>
                <c:ptCount val="1"/>
                <c:pt idx="0">
                  <c:v>0,8</c:v>
                </c:pt>
              </c:strCache>
            </c:strRef>
          </c:tx>
          <c:xVal>
            <c:numRef>
              <c:f>'hierarchicky model'!$M$10:$M$11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'hierarchicky model'!$N$10:$N$11</c:f>
              <c:numCache>
                <c:formatCode>General</c:formatCode>
                <c:ptCount val="2"/>
                <c:pt idx="0">
                  <c:v>597</c:v>
                </c:pt>
                <c:pt idx="1">
                  <c:v>1056.75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CF-4EFC-99D1-260503A8909F}"/>
            </c:ext>
          </c:extLst>
        </c:ser>
        <c:ser>
          <c:idx val="1"/>
          <c:order val="1"/>
          <c:tx>
            <c:strRef>
              <c:f>'hierarchicky model'!$O$9</c:f>
              <c:strCache>
                <c:ptCount val="1"/>
                <c:pt idx="0">
                  <c:v>1</c:v>
                </c:pt>
              </c:strCache>
            </c:strRef>
          </c:tx>
          <c:xVal>
            <c:numRef>
              <c:f>'hierarchicky model'!$M$10:$M$11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'hierarchicky model'!$O$10:$O$11</c:f>
              <c:numCache>
                <c:formatCode>General</c:formatCode>
                <c:ptCount val="2"/>
                <c:pt idx="0">
                  <c:v>649</c:v>
                </c:pt>
                <c:pt idx="1">
                  <c:v>801.5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CF-4EFC-99D1-260503A89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02688"/>
        <c:axId val="69603264"/>
      </c:scatterChart>
      <c:valAx>
        <c:axId val="69602688"/>
        <c:scaling>
          <c:orientation val="minMax"/>
          <c:max val="1"/>
          <c:min val="-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 sz="800"/>
                  <a:t>vykon (C</a:t>
                </a:r>
                <a:r>
                  <a:rPr lang="sk-SK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9603264"/>
        <c:crosses val="autoZero"/>
        <c:crossBetween val="midCat"/>
      </c:valAx>
      <c:valAx>
        <c:axId val="696032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960268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'nitridove leptanie_testy'!$A$3:$A$18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leptanie_testy'!$W$51:$W$95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46-4907-90CD-BD5B0D117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05568"/>
        <c:axId val="69606144"/>
      </c:scatterChart>
      <c:valAx>
        <c:axId val="69605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9606144"/>
        <c:crosses val="autoZero"/>
        <c:crossBetween val="midCat"/>
      </c:valAx>
      <c:valAx>
        <c:axId val="696061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9605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t3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'nitridove leptanie_testy'!$B$3:$B$18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-1</c:v>
                </c:pt>
                <c:pt idx="5">
                  <c:v>-1</c:v>
                </c:pt>
                <c:pt idx="6">
                  <c:v>-1</c:v>
                </c:pt>
                <c:pt idx="7">
                  <c:v>-1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leptanie_testy'!$W$51:$W$95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1D-4A64-B90E-7D6A563AB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994944"/>
        <c:axId val="151995520"/>
      </c:scatterChart>
      <c:valAx>
        <c:axId val="151994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5520"/>
        <c:crosses val="autoZero"/>
        <c:crossBetween val="midCat"/>
      </c:valAx>
      <c:valAx>
        <c:axId val="1519955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49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t1*t3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'nitridove leptanie_testy'!$C$3:$C$18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-1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leptanie_testy'!$W$51:$W$95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47-4559-9B03-B55D65EB8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997248"/>
        <c:axId val="151997824"/>
      </c:scatterChart>
      <c:valAx>
        <c:axId val="151997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t1*t3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7824"/>
        <c:crosses val="autoZero"/>
        <c:crossBetween val="midCat"/>
      </c:valAx>
      <c:valAx>
        <c:axId val="151997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72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yi</c:v>
          </c:tx>
          <c:spPr>
            <a:ln w="19050">
              <a:noFill/>
            </a:ln>
          </c:spPr>
          <c:xVal>
            <c:numRef>
              <c:f>'nitridove leptanie_testy'!$A$3:$A$18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leptanie_testy'!$D$3:$D$18</c:f>
              <c:numCache>
                <c:formatCode>General</c:formatCode>
                <c:ptCount val="16"/>
                <c:pt idx="0">
                  <c:v>550</c:v>
                </c:pt>
                <c:pt idx="1">
                  <c:v>604</c:v>
                </c:pt>
                <c:pt idx="2">
                  <c:v>669</c:v>
                </c:pt>
                <c:pt idx="3">
                  <c:v>650</c:v>
                </c:pt>
                <c:pt idx="4">
                  <c:v>633</c:v>
                </c:pt>
                <c:pt idx="5">
                  <c:v>601</c:v>
                </c:pt>
                <c:pt idx="6">
                  <c:v>642</c:v>
                </c:pt>
                <c:pt idx="7">
                  <c:v>635</c:v>
                </c:pt>
                <c:pt idx="8">
                  <c:v>1037</c:v>
                </c:pt>
                <c:pt idx="9">
                  <c:v>1052</c:v>
                </c:pt>
                <c:pt idx="10">
                  <c:v>749</c:v>
                </c:pt>
                <c:pt idx="11">
                  <c:v>868</c:v>
                </c:pt>
                <c:pt idx="12">
                  <c:v>1075</c:v>
                </c:pt>
                <c:pt idx="13">
                  <c:v>1063</c:v>
                </c:pt>
                <c:pt idx="14">
                  <c:v>729</c:v>
                </c:pt>
                <c:pt idx="15">
                  <c:v>860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8A2-4187-8282-B9E185A09CD1}"/>
            </c:ext>
          </c:extLst>
        </c:ser>
        <c:ser>
          <c:idx val="1"/>
          <c:order val="1"/>
          <c:tx>
            <c:v>Predicted yi</c:v>
          </c:tx>
          <c:spPr>
            <a:ln w="19050">
              <a:noFill/>
            </a:ln>
          </c:spPr>
          <c:xVal>
            <c:numRef>
              <c:f>'nitridove leptanie_testy'!$A$3:$A$18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leptanie_testy'!$V$51:$V$95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8A2-4187-8282-B9E185A09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999552"/>
        <c:axId val="152000128"/>
      </c:scatterChart>
      <c:valAx>
        <c:axId val="151999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2000128"/>
        <c:crosses val="autoZero"/>
        <c:crossBetween val="midCat"/>
      </c:valAx>
      <c:valAx>
        <c:axId val="1520001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yi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95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image" Target="../media/image9.png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12" Type="http://schemas.openxmlformats.org/officeDocument/2006/relationships/image" Target="../media/image8.png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11" Type="http://schemas.openxmlformats.org/officeDocument/2006/relationships/image" Target="../media/image7.png"/><Relationship Id="rId5" Type="http://schemas.openxmlformats.org/officeDocument/2006/relationships/chart" Target="../charts/chart10.xml"/><Relationship Id="rId10" Type="http://schemas.openxmlformats.org/officeDocument/2006/relationships/image" Target="../media/image6.png"/><Relationship Id="rId4" Type="http://schemas.openxmlformats.org/officeDocument/2006/relationships/chart" Target="../charts/chart9.xml"/><Relationship Id="rId9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image" Target="../media/image1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185371</xdr:colOff>
      <xdr:row>1</xdr:row>
      <xdr:rowOff>106241</xdr:rowOff>
    </xdr:from>
    <xdr:to>
      <xdr:col>8</xdr:col>
      <xdr:colOff>300368</xdr:colOff>
      <xdr:row>38</xdr:row>
      <xdr:rowOff>154857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5371" y="287949"/>
          <a:ext cx="4991797" cy="6771800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285750</xdr:colOff>
      <xdr:row>37</xdr:row>
      <xdr:rowOff>114300</xdr:rowOff>
    </xdr:from>
    <xdr:to>
      <xdr:col>8</xdr:col>
      <xdr:colOff>181641</xdr:colOff>
      <xdr:row>49</xdr:row>
      <xdr:rowOff>57461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0" y="7162800"/>
          <a:ext cx="4772691" cy="2229161"/>
        </a:xfrm>
        <a:prstGeom prst="rect">
          <a:avLst/>
        </a:prstGeom>
      </xdr:spPr>
    </xdr:pic>
    <xdr:clientData/>
  </xdr:twoCellAnchor>
  <xdr:twoCellAnchor>
    <xdr:from>
      <xdr:col>11</xdr:col>
      <xdr:colOff>464344</xdr:colOff>
      <xdr:row>21</xdr:row>
      <xdr:rowOff>41673</xdr:rowOff>
    </xdr:from>
    <xdr:to>
      <xdr:col>13</xdr:col>
      <xdr:colOff>535781</xdr:colOff>
      <xdr:row>27</xdr:row>
      <xdr:rowOff>47626</xdr:rowOff>
    </xdr:to>
    <xdr:sp macro="" textlink="">
      <xdr:nvSpPr>
        <xdr:cNvPr id="61" name="Obdĺžnik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7169944" y="232173"/>
          <a:ext cx="1290637" cy="1291828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0</xdr:colOff>
      <xdr:row>21</xdr:row>
      <xdr:rowOff>41672</xdr:rowOff>
    </xdr:from>
    <xdr:to>
      <xdr:col>11</xdr:col>
      <xdr:colOff>458391</xdr:colOff>
      <xdr:row>22</xdr:row>
      <xdr:rowOff>142875</xdr:rowOff>
    </xdr:to>
    <xdr:cxnSp macro="">
      <xdr:nvCxnSpPr>
        <xdr:cNvPr id="62" name="Rovná spojnica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CxnSpPr/>
      </xdr:nvCxnSpPr>
      <xdr:spPr>
        <a:xfrm flipV="1">
          <a:off x="6705600" y="232172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69056</xdr:colOff>
      <xdr:row>21</xdr:row>
      <xdr:rowOff>51197</xdr:rowOff>
    </xdr:from>
    <xdr:to>
      <xdr:col>13</xdr:col>
      <xdr:colOff>527447</xdr:colOff>
      <xdr:row>22</xdr:row>
      <xdr:rowOff>152400</xdr:rowOff>
    </xdr:to>
    <xdr:cxnSp macro="">
      <xdr:nvCxnSpPr>
        <xdr:cNvPr id="63" name="Rovná spojnica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CxnSpPr/>
      </xdr:nvCxnSpPr>
      <xdr:spPr>
        <a:xfrm flipV="1">
          <a:off x="7993856" y="241697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71438</xdr:colOff>
      <xdr:row>27</xdr:row>
      <xdr:rowOff>47625</xdr:rowOff>
    </xdr:from>
    <xdr:to>
      <xdr:col>13</xdr:col>
      <xdr:colOff>529829</xdr:colOff>
      <xdr:row>28</xdr:row>
      <xdr:rowOff>148828</xdr:rowOff>
    </xdr:to>
    <xdr:cxnSp macro="">
      <xdr:nvCxnSpPr>
        <xdr:cNvPr id="64" name="Rovná spojnica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CxnSpPr/>
      </xdr:nvCxnSpPr>
      <xdr:spPr>
        <a:xfrm flipV="1">
          <a:off x="7996238" y="1524000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17860</xdr:colOff>
      <xdr:row>27</xdr:row>
      <xdr:rowOff>29766</xdr:rowOff>
    </xdr:from>
    <xdr:to>
      <xdr:col>11</xdr:col>
      <xdr:colOff>476251</xdr:colOff>
      <xdr:row>28</xdr:row>
      <xdr:rowOff>130969</xdr:rowOff>
    </xdr:to>
    <xdr:cxnSp macro="">
      <xdr:nvCxnSpPr>
        <xdr:cNvPr id="65" name="Rovná spojnica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CxnSpPr/>
      </xdr:nvCxnSpPr>
      <xdr:spPr>
        <a:xfrm flipV="1">
          <a:off x="6723460" y="1506141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321468</xdr:colOff>
      <xdr:row>29</xdr:row>
      <xdr:rowOff>184547</xdr:rowOff>
    </xdr:from>
    <xdr:to>
      <xdr:col>12</xdr:col>
      <xdr:colOff>523874</xdr:colOff>
      <xdr:row>30</xdr:row>
      <xdr:rowOff>5954</xdr:rowOff>
    </xdr:to>
    <xdr:cxnSp macro="">
      <xdr:nvCxnSpPr>
        <xdr:cNvPr id="66" name="Rovná spojovacia šípka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CxnSpPr/>
      </xdr:nvCxnSpPr>
      <xdr:spPr>
        <a:xfrm flipV="1">
          <a:off x="7027068" y="2041922"/>
          <a:ext cx="812006" cy="11907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309561</xdr:colOff>
      <xdr:row>30</xdr:row>
      <xdr:rowOff>65484</xdr:rowOff>
    </xdr:from>
    <xdr:to>
      <xdr:col>13</xdr:col>
      <xdr:colOff>464342</xdr:colOff>
      <xdr:row>31</xdr:row>
      <xdr:rowOff>172640</xdr:rowOff>
    </xdr:to>
    <xdr:sp macro="" textlink="">
      <xdr:nvSpPr>
        <xdr:cNvPr id="67" name="BlokTextu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7015161" y="2113359"/>
          <a:ext cx="1373981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medzera</a:t>
          </a:r>
        </a:p>
      </xdr:txBody>
    </xdr:sp>
    <xdr:clientData/>
  </xdr:twoCellAnchor>
  <xdr:twoCellAnchor>
    <xdr:from>
      <xdr:col>13</xdr:col>
      <xdr:colOff>440531</xdr:colOff>
      <xdr:row>27</xdr:row>
      <xdr:rowOff>178595</xdr:rowOff>
    </xdr:from>
    <xdr:to>
      <xdr:col>14</xdr:col>
      <xdr:colOff>202406</xdr:colOff>
      <xdr:row>29</xdr:row>
      <xdr:rowOff>47625</xdr:rowOff>
    </xdr:to>
    <xdr:cxnSp macro="">
      <xdr:nvCxnSpPr>
        <xdr:cNvPr id="68" name="Rovná spojovacia šípka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CxnSpPr/>
      </xdr:nvCxnSpPr>
      <xdr:spPr>
        <a:xfrm flipV="1">
          <a:off x="8365331" y="1654970"/>
          <a:ext cx="371475" cy="25003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77390</xdr:colOff>
      <xdr:row>28</xdr:row>
      <xdr:rowOff>23812</xdr:rowOff>
    </xdr:from>
    <xdr:to>
      <xdr:col>16</xdr:col>
      <xdr:colOff>232172</xdr:colOff>
      <xdr:row>29</xdr:row>
      <xdr:rowOff>130968</xdr:rowOff>
    </xdr:to>
    <xdr:sp macro="" textlink="">
      <xdr:nvSpPr>
        <xdr:cNvPr id="69" name="BlokTextu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611790" y="1690687"/>
          <a:ext cx="1373982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prietok</a:t>
          </a:r>
          <a:r>
            <a:rPr lang="sk-SK" sz="1100" baseline="0"/>
            <a:t> plynu</a:t>
          </a:r>
          <a:endParaRPr lang="sk-SK" sz="1100"/>
        </a:p>
      </xdr:txBody>
    </xdr:sp>
    <xdr:clientData/>
  </xdr:twoCellAnchor>
  <xdr:twoCellAnchor>
    <xdr:from>
      <xdr:col>14</xdr:col>
      <xdr:colOff>273843</xdr:colOff>
      <xdr:row>22</xdr:row>
      <xdr:rowOff>71440</xdr:rowOff>
    </xdr:from>
    <xdr:to>
      <xdr:col>14</xdr:col>
      <xdr:colOff>285749</xdr:colOff>
      <xdr:row>25</xdr:row>
      <xdr:rowOff>125016</xdr:rowOff>
    </xdr:to>
    <xdr:cxnSp macro="">
      <xdr:nvCxnSpPr>
        <xdr:cNvPr id="70" name="Rovná spojovacia šípka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CxnSpPr/>
      </xdr:nvCxnSpPr>
      <xdr:spPr>
        <a:xfrm>
          <a:off x="8808243" y="452440"/>
          <a:ext cx="11906" cy="739376"/>
        </a:xfrm>
        <a:prstGeom prst="straightConnector1">
          <a:avLst/>
        </a:prstGeom>
        <a:ln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285750</xdr:colOff>
      <xdr:row>23</xdr:row>
      <xdr:rowOff>83343</xdr:rowOff>
    </xdr:from>
    <xdr:to>
      <xdr:col>15</xdr:col>
      <xdr:colOff>247649</xdr:colOff>
      <xdr:row>24</xdr:row>
      <xdr:rowOff>154780</xdr:rowOff>
    </xdr:to>
    <xdr:sp macro="" textlink="">
      <xdr:nvSpPr>
        <xdr:cNvPr id="71" name="BlokTextu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20150" y="4464843"/>
          <a:ext cx="571499" cy="2619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vykon</a:t>
          </a:r>
        </a:p>
      </xdr:txBody>
    </xdr:sp>
    <xdr:clientData/>
  </xdr:twoCellAnchor>
  <xdr:twoCellAnchor>
    <xdr:from>
      <xdr:col>14</xdr:col>
      <xdr:colOff>166687</xdr:colOff>
      <xdr:row>25</xdr:row>
      <xdr:rowOff>23813</xdr:rowOff>
    </xdr:from>
    <xdr:to>
      <xdr:col>16</xdr:col>
      <xdr:colOff>321469</xdr:colOff>
      <xdr:row>26</xdr:row>
      <xdr:rowOff>101203</xdr:rowOff>
    </xdr:to>
    <xdr:sp macro="" textlink="">
      <xdr:nvSpPr>
        <xdr:cNvPr id="72" name="BlokTextu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701087" y="1090613"/>
          <a:ext cx="1373982" cy="2964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13</xdr:col>
      <xdr:colOff>208359</xdr:colOff>
      <xdr:row>28</xdr:row>
      <xdr:rowOff>107156</xdr:rowOff>
    </xdr:from>
    <xdr:to>
      <xdr:col>13</xdr:col>
      <xdr:colOff>485775</xdr:colOff>
      <xdr:row>30</xdr:row>
      <xdr:rowOff>23812</xdr:rowOff>
    </xdr:to>
    <xdr:sp macro="" textlink="">
      <xdr:nvSpPr>
        <xdr:cNvPr id="73" name="BlokTextu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133159" y="1774031"/>
          <a:ext cx="277416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11</xdr:col>
      <xdr:colOff>23813</xdr:colOff>
      <xdr:row>28</xdr:row>
      <xdr:rowOff>182165</xdr:rowOff>
    </xdr:from>
    <xdr:to>
      <xdr:col>11</xdr:col>
      <xdr:colOff>304800</xdr:colOff>
      <xdr:row>30</xdr:row>
      <xdr:rowOff>98821</xdr:rowOff>
    </xdr:to>
    <xdr:sp macro="" textlink="">
      <xdr:nvSpPr>
        <xdr:cNvPr id="74" name="BlokTextu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729413" y="1849040"/>
          <a:ext cx="280987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12</xdr:col>
      <xdr:colOff>506015</xdr:colOff>
      <xdr:row>29</xdr:row>
      <xdr:rowOff>35719</xdr:rowOff>
    </xdr:from>
    <xdr:to>
      <xdr:col>13</xdr:col>
      <xdr:colOff>285750</xdr:colOff>
      <xdr:row>30</xdr:row>
      <xdr:rowOff>142875</xdr:rowOff>
    </xdr:to>
    <xdr:sp macro="" textlink="">
      <xdr:nvSpPr>
        <xdr:cNvPr id="75" name="BlokTextu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7821215" y="1893094"/>
          <a:ext cx="38933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14</xdr:col>
      <xdr:colOff>142874</xdr:colOff>
      <xdr:row>26</xdr:row>
      <xdr:rowOff>154781</xdr:rowOff>
    </xdr:from>
    <xdr:to>
      <xdr:col>16</xdr:col>
      <xdr:colOff>297656</xdr:colOff>
      <xdr:row>28</xdr:row>
      <xdr:rowOff>71437</xdr:rowOff>
    </xdr:to>
    <xdr:sp macro="" textlink="">
      <xdr:nvSpPr>
        <xdr:cNvPr id="76" name="BlokTextu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677274" y="1440656"/>
          <a:ext cx="1373982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14</xdr:col>
      <xdr:colOff>130968</xdr:colOff>
      <xdr:row>21</xdr:row>
      <xdr:rowOff>0</xdr:rowOff>
    </xdr:from>
    <xdr:to>
      <xdr:col>16</xdr:col>
      <xdr:colOff>285750</xdr:colOff>
      <xdr:row>22</xdr:row>
      <xdr:rowOff>107156</xdr:rowOff>
    </xdr:to>
    <xdr:sp macro="" textlink="">
      <xdr:nvSpPr>
        <xdr:cNvPr id="77" name="BlokTextu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8665368" y="190500"/>
          <a:ext cx="1373982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11</xdr:col>
      <xdr:colOff>64294</xdr:colOff>
      <xdr:row>19</xdr:row>
      <xdr:rowOff>42863</xdr:rowOff>
    </xdr:from>
    <xdr:to>
      <xdr:col>12</xdr:col>
      <xdr:colOff>0</xdr:colOff>
      <xdr:row>21</xdr:row>
      <xdr:rowOff>66675</xdr:rowOff>
    </xdr:to>
    <xdr:sp macro="" textlink="">
      <xdr:nvSpPr>
        <xdr:cNvPr id="78" name="BlokTextu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769894" y="3662363"/>
          <a:ext cx="545306" cy="4048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1063</a:t>
          </a:r>
        </a:p>
        <a:p>
          <a:r>
            <a:rPr lang="sk-SK" sz="1000"/>
            <a:t>1075</a:t>
          </a:r>
        </a:p>
      </xdr:txBody>
    </xdr:sp>
    <xdr:clientData/>
  </xdr:twoCellAnchor>
  <xdr:twoCellAnchor>
    <xdr:from>
      <xdr:col>11</xdr:col>
      <xdr:colOff>125013</xdr:colOff>
      <xdr:row>25</xdr:row>
      <xdr:rowOff>71436</xdr:rowOff>
    </xdr:from>
    <xdr:to>
      <xdr:col>12</xdr:col>
      <xdr:colOff>85724</xdr:colOff>
      <xdr:row>28</xdr:row>
      <xdr:rowOff>38099</xdr:rowOff>
    </xdr:to>
    <xdr:sp macro="" textlink="">
      <xdr:nvSpPr>
        <xdr:cNvPr id="79" name="BlokTextu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6830613" y="4833936"/>
          <a:ext cx="570311" cy="538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601</a:t>
          </a:r>
        </a:p>
        <a:p>
          <a:r>
            <a:rPr lang="sk-SK" sz="1000"/>
            <a:t>633</a:t>
          </a:r>
        </a:p>
        <a:p>
          <a:endParaRPr lang="sk-SK" sz="1000"/>
        </a:p>
      </xdr:txBody>
    </xdr:sp>
    <xdr:clientData/>
  </xdr:twoCellAnchor>
  <xdr:twoCellAnchor>
    <xdr:from>
      <xdr:col>10</xdr:col>
      <xdr:colOff>200025</xdr:colOff>
      <xdr:row>21</xdr:row>
      <xdr:rowOff>142875</xdr:rowOff>
    </xdr:from>
    <xdr:to>
      <xdr:col>11</xdr:col>
      <xdr:colOff>148829</xdr:colOff>
      <xdr:row>24</xdr:row>
      <xdr:rowOff>28575</xdr:rowOff>
    </xdr:to>
    <xdr:sp macro="" textlink="">
      <xdr:nvSpPr>
        <xdr:cNvPr id="80" name="BlokTextu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6296025" y="4143375"/>
          <a:ext cx="558404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1037</a:t>
          </a:r>
        </a:p>
        <a:p>
          <a:r>
            <a:rPr lang="sk-SK" sz="1000"/>
            <a:t>1052</a:t>
          </a:r>
        </a:p>
        <a:p>
          <a:endParaRPr lang="sk-SK" sz="1000"/>
        </a:p>
        <a:p>
          <a:endParaRPr lang="sk-SK" sz="1000"/>
        </a:p>
      </xdr:txBody>
    </xdr:sp>
    <xdr:clientData/>
  </xdr:twoCellAnchor>
  <xdr:twoCellAnchor>
    <xdr:from>
      <xdr:col>10</xdr:col>
      <xdr:colOff>219076</xdr:colOff>
      <xdr:row>27</xdr:row>
      <xdr:rowOff>20240</xdr:rowOff>
    </xdr:from>
    <xdr:to>
      <xdr:col>11</xdr:col>
      <xdr:colOff>184548</xdr:colOff>
      <xdr:row>29</xdr:row>
      <xdr:rowOff>169985</xdr:rowOff>
    </xdr:to>
    <xdr:sp macro="" textlink="">
      <xdr:nvSpPr>
        <xdr:cNvPr id="81" name="BlokTextu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6315076" y="4926348"/>
          <a:ext cx="592657" cy="5131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550</a:t>
          </a:r>
        </a:p>
        <a:p>
          <a:r>
            <a:rPr lang="sk-SK" sz="1000"/>
            <a:t>604</a:t>
          </a:r>
        </a:p>
      </xdr:txBody>
    </xdr:sp>
    <xdr:clientData/>
  </xdr:twoCellAnchor>
  <xdr:twoCellAnchor>
    <xdr:from>
      <xdr:col>13</xdr:col>
      <xdr:colOff>514349</xdr:colOff>
      <xdr:row>25</xdr:row>
      <xdr:rowOff>69055</xdr:rowOff>
    </xdr:from>
    <xdr:to>
      <xdr:col>14</xdr:col>
      <xdr:colOff>428624</xdr:colOff>
      <xdr:row>27</xdr:row>
      <xdr:rowOff>161924</xdr:rowOff>
    </xdr:to>
    <xdr:sp macro="" textlink="">
      <xdr:nvSpPr>
        <xdr:cNvPr id="82" name="BlokTextu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439149" y="4831555"/>
          <a:ext cx="523875" cy="4738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642</a:t>
          </a:r>
        </a:p>
        <a:p>
          <a:r>
            <a:rPr lang="sk-SK" sz="1000"/>
            <a:t>635</a:t>
          </a:r>
        </a:p>
        <a:p>
          <a:endParaRPr lang="sk-SK" sz="1000"/>
        </a:p>
      </xdr:txBody>
    </xdr:sp>
    <xdr:clientData/>
  </xdr:twoCellAnchor>
  <xdr:twoCellAnchor>
    <xdr:from>
      <xdr:col>13</xdr:col>
      <xdr:colOff>503635</xdr:colOff>
      <xdr:row>19</xdr:row>
      <xdr:rowOff>47625</xdr:rowOff>
    </xdr:from>
    <xdr:to>
      <xdr:col>14</xdr:col>
      <xdr:colOff>561975</xdr:colOff>
      <xdr:row>21</xdr:row>
      <xdr:rowOff>85725</xdr:rowOff>
    </xdr:to>
    <xdr:sp macro="" textlink="">
      <xdr:nvSpPr>
        <xdr:cNvPr id="83" name="BlokTextu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428435" y="3667125"/>
          <a:ext cx="667940" cy="419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729</a:t>
          </a:r>
        </a:p>
        <a:p>
          <a:r>
            <a:rPr lang="sk-SK" sz="1000"/>
            <a:t>860</a:t>
          </a:r>
        </a:p>
      </xdr:txBody>
    </xdr:sp>
    <xdr:clientData/>
  </xdr:twoCellAnchor>
  <xdr:twoCellAnchor>
    <xdr:from>
      <xdr:col>12</xdr:col>
      <xdr:colOff>400050</xdr:colOff>
      <xdr:row>20</xdr:row>
      <xdr:rowOff>171450</xdr:rowOff>
    </xdr:from>
    <xdr:to>
      <xdr:col>13</xdr:col>
      <xdr:colOff>180975</xdr:colOff>
      <xdr:row>23</xdr:row>
      <xdr:rowOff>95250</xdr:rowOff>
    </xdr:to>
    <xdr:sp macro="" textlink="">
      <xdr:nvSpPr>
        <xdr:cNvPr id="84" name="BlokTextu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7715250" y="3981450"/>
          <a:ext cx="390525" cy="495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868</a:t>
          </a:r>
        </a:p>
        <a:p>
          <a:r>
            <a:rPr lang="sk-SK" sz="1000"/>
            <a:t>749</a:t>
          </a:r>
        </a:p>
      </xdr:txBody>
    </xdr:sp>
    <xdr:clientData/>
  </xdr:twoCellAnchor>
  <xdr:twoCellAnchor>
    <xdr:from>
      <xdr:col>12</xdr:col>
      <xdr:colOff>302419</xdr:colOff>
      <xdr:row>27</xdr:row>
      <xdr:rowOff>2380</xdr:rowOff>
    </xdr:from>
    <xdr:to>
      <xdr:col>13</xdr:col>
      <xdr:colOff>276224</xdr:colOff>
      <xdr:row>30</xdr:row>
      <xdr:rowOff>76199</xdr:rowOff>
    </xdr:to>
    <xdr:sp macro="" textlink="">
      <xdr:nvSpPr>
        <xdr:cNvPr id="85" name="BlokTextu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7617619" y="5145880"/>
          <a:ext cx="583405" cy="645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669</a:t>
          </a:r>
        </a:p>
        <a:p>
          <a:r>
            <a:rPr lang="sk-SK" sz="1000"/>
            <a:t>650</a:t>
          </a:r>
        </a:p>
      </xdr:txBody>
    </xdr:sp>
    <xdr:clientData/>
  </xdr:twoCellAnchor>
  <xdr:twoCellAnchor>
    <xdr:from>
      <xdr:col>18</xdr:col>
      <xdr:colOff>11906</xdr:colOff>
      <xdr:row>22</xdr:row>
      <xdr:rowOff>148828</xdr:rowOff>
    </xdr:from>
    <xdr:to>
      <xdr:col>20</xdr:col>
      <xdr:colOff>83343</xdr:colOff>
      <xdr:row>28</xdr:row>
      <xdr:rowOff>154781</xdr:rowOff>
    </xdr:to>
    <xdr:sp macro="" textlink="">
      <xdr:nvSpPr>
        <xdr:cNvPr id="86" name="Obdĺžnik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10984706" y="529828"/>
          <a:ext cx="1290637" cy="1291828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18</xdr:col>
      <xdr:colOff>464344</xdr:colOff>
      <xdr:row>21</xdr:row>
      <xdr:rowOff>41673</xdr:rowOff>
    </xdr:from>
    <xdr:to>
      <xdr:col>20</xdr:col>
      <xdr:colOff>535781</xdr:colOff>
      <xdr:row>27</xdr:row>
      <xdr:rowOff>47626</xdr:rowOff>
    </xdr:to>
    <xdr:sp macro="" textlink="">
      <xdr:nvSpPr>
        <xdr:cNvPr id="87" name="Obdĺžnik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11437144" y="232173"/>
          <a:ext cx="1290637" cy="1291828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18</xdr:col>
      <xdr:colOff>0</xdr:colOff>
      <xdr:row>21</xdr:row>
      <xdr:rowOff>41672</xdr:rowOff>
    </xdr:from>
    <xdr:to>
      <xdr:col>18</xdr:col>
      <xdr:colOff>458391</xdr:colOff>
      <xdr:row>22</xdr:row>
      <xdr:rowOff>142875</xdr:rowOff>
    </xdr:to>
    <xdr:cxnSp macro="">
      <xdr:nvCxnSpPr>
        <xdr:cNvPr id="88" name="Rovná spojnica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CxnSpPr/>
      </xdr:nvCxnSpPr>
      <xdr:spPr>
        <a:xfrm flipV="1">
          <a:off x="10972800" y="232172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69056</xdr:colOff>
      <xdr:row>21</xdr:row>
      <xdr:rowOff>51197</xdr:rowOff>
    </xdr:from>
    <xdr:to>
      <xdr:col>20</xdr:col>
      <xdr:colOff>527447</xdr:colOff>
      <xdr:row>22</xdr:row>
      <xdr:rowOff>152400</xdr:rowOff>
    </xdr:to>
    <xdr:cxnSp macro="">
      <xdr:nvCxnSpPr>
        <xdr:cNvPr id="89" name="Rovná spojnica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CxnSpPr/>
      </xdr:nvCxnSpPr>
      <xdr:spPr>
        <a:xfrm flipV="1">
          <a:off x="12261056" y="241697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71438</xdr:colOff>
      <xdr:row>27</xdr:row>
      <xdr:rowOff>47625</xdr:rowOff>
    </xdr:from>
    <xdr:to>
      <xdr:col>20</xdr:col>
      <xdr:colOff>529829</xdr:colOff>
      <xdr:row>28</xdr:row>
      <xdr:rowOff>148828</xdr:rowOff>
    </xdr:to>
    <xdr:cxnSp macro="">
      <xdr:nvCxnSpPr>
        <xdr:cNvPr id="90" name="Rovná spojnica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CxnSpPr/>
      </xdr:nvCxnSpPr>
      <xdr:spPr>
        <a:xfrm flipV="1">
          <a:off x="12263438" y="1524000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17860</xdr:colOff>
      <xdr:row>27</xdr:row>
      <xdr:rowOff>29766</xdr:rowOff>
    </xdr:from>
    <xdr:to>
      <xdr:col>18</xdr:col>
      <xdr:colOff>476251</xdr:colOff>
      <xdr:row>28</xdr:row>
      <xdr:rowOff>130969</xdr:rowOff>
    </xdr:to>
    <xdr:cxnSp macro="">
      <xdr:nvCxnSpPr>
        <xdr:cNvPr id="91" name="Rovná spojnica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CxnSpPr/>
      </xdr:nvCxnSpPr>
      <xdr:spPr>
        <a:xfrm flipV="1">
          <a:off x="10990660" y="1506141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321468</xdr:colOff>
      <xdr:row>29</xdr:row>
      <xdr:rowOff>184547</xdr:rowOff>
    </xdr:from>
    <xdr:to>
      <xdr:col>19</xdr:col>
      <xdr:colOff>523874</xdr:colOff>
      <xdr:row>30</xdr:row>
      <xdr:rowOff>5954</xdr:rowOff>
    </xdr:to>
    <xdr:cxnSp macro="">
      <xdr:nvCxnSpPr>
        <xdr:cNvPr id="92" name="Rovná spojovacia šípka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CxnSpPr/>
      </xdr:nvCxnSpPr>
      <xdr:spPr>
        <a:xfrm flipV="1">
          <a:off x="11294268" y="2041922"/>
          <a:ext cx="812006" cy="11907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309561</xdr:colOff>
      <xdr:row>30</xdr:row>
      <xdr:rowOff>65484</xdr:rowOff>
    </xdr:from>
    <xdr:to>
      <xdr:col>20</xdr:col>
      <xdr:colOff>464342</xdr:colOff>
      <xdr:row>31</xdr:row>
      <xdr:rowOff>172640</xdr:rowOff>
    </xdr:to>
    <xdr:sp macro="" textlink="">
      <xdr:nvSpPr>
        <xdr:cNvPr id="93" name="BlokTextu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1282361" y="2113359"/>
          <a:ext cx="1373981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medzera</a:t>
          </a:r>
        </a:p>
      </xdr:txBody>
    </xdr:sp>
    <xdr:clientData/>
  </xdr:twoCellAnchor>
  <xdr:twoCellAnchor>
    <xdr:from>
      <xdr:col>20</xdr:col>
      <xdr:colOff>440531</xdr:colOff>
      <xdr:row>27</xdr:row>
      <xdr:rowOff>178595</xdr:rowOff>
    </xdr:from>
    <xdr:to>
      <xdr:col>21</xdr:col>
      <xdr:colOff>202406</xdr:colOff>
      <xdr:row>29</xdr:row>
      <xdr:rowOff>47625</xdr:rowOff>
    </xdr:to>
    <xdr:cxnSp macro="">
      <xdr:nvCxnSpPr>
        <xdr:cNvPr id="94" name="Rovná spojovacia šípka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CxnSpPr/>
      </xdr:nvCxnSpPr>
      <xdr:spPr>
        <a:xfrm flipV="1">
          <a:off x="12632531" y="1654970"/>
          <a:ext cx="371475" cy="25003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273843</xdr:colOff>
      <xdr:row>22</xdr:row>
      <xdr:rowOff>71440</xdr:rowOff>
    </xdr:from>
    <xdr:to>
      <xdr:col>21</xdr:col>
      <xdr:colOff>285749</xdr:colOff>
      <xdr:row>25</xdr:row>
      <xdr:rowOff>125016</xdr:rowOff>
    </xdr:to>
    <xdr:cxnSp macro="">
      <xdr:nvCxnSpPr>
        <xdr:cNvPr id="95" name="Rovná spojovacia šípka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CxnSpPr/>
      </xdr:nvCxnSpPr>
      <xdr:spPr>
        <a:xfrm>
          <a:off x="13075443" y="452440"/>
          <a:ext cx="11906" cy="739376"/>
        </a:xfrm>
        <a:prstGeom prst="straightConnector1">
          <a:avLst/>
        </a:prstGeom>
        <a:ln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208359</xdr:colOff>
      <xdr:row>28</xdr:row>
      <xdr:rowOff>107156</xdr:rowOff>
    </xdr:from>
    <xdr:to>
      <xdr:col>20</xdr:col>
      <xdr:colOff>485775</xdr:colOff>
      <xdr:row>30</xdr:row>
      <xdr:rowOff>23812</xdr:rowOff>
    </xdr:to>
    <xdr:sp macro="" textlink="">
      <xdr:nvSpPr>
        <xdr:cNvPr id="96" name="BlokTextu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2400359" y="1774031"/>
          <a:ext cx="277416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18</xdr:col>
      <xdr:colOff>23813</xdr:colOff>
      <xdr:row>29</xdr:row>
      <xdr:rowOff>1190</xdr:rowOff>
    </xdr:from>
    <xdr:to>
      <xdr:col>20</xdr:col>
      <xdr:colOff>178594</xdr:colOff>
      <xdr:row>30</xdr:row>
      <xdr:rowOff>108346</xdr:rowOff>
    </xdr:to>
    <xdr:sp macro="" textlink="">
      <xdr:nvSpPr>
        <xdr:cNvPr id="97" name="BlokTextu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0996613" y="1858565"/>
          <a:ext cx="1373981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19</xdr:col>
      <xdr:colOff>506015</xdr:colOff>
      <xdr:row>29</xdr:row>
      <xdr:rowOff>35719</xdr:rowOff>
    </xdr:from>
    <xdr:to>
      <xdr:col>20</xdr:col>
      <xdr:colOff>285750</xdr:colOff>
      <xdr:row>30</xdr:row>
      <xdr:rowOff>142875</xdr:rowOff>
    </xdr:to>
    <xdr:sp macro="" textlink="">
      <xdr:nvSpPr>
        <xdr:cNvPr id="98" name="BlokTextu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2088415" y="1893094"/>
          <a:ext cx="38933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19</xdr:col>
      <xdr:colOff>330994</xdr:colOff>
      <xdr:row>21</xdr:row>
      <xdr:rowOff>128588</xdr:rowOff>
    </xdr:from>
    <xdr:to>
      <xdr:col>20</xdr:col>
      <xdr:colOff>266700</xdr:colOff>
      <xdr:row>23</xdr:row>
      <xdr:rowOff>9525</xdr:rowOff>
    </xdr:to>
    <xdr:sp macro="" textlink="">
      <xdr:nvSpPr>
        <xdr:cNvPr id="99" name="BlokTextu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1913394" y="319088"/>
          <a:ext cx="545306" cy="3000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808,5</a:t>
          </a:r>
        </a:p>
      </xdr:txBody>
    </xdr:sp>
    <xdr:clientData/>
  </xdr:twoCellAnchor>
  <xdr:twoCellAnchor>
    <xdr:from>
      <xdr:col>19</xdr:col>
      <xdr:colOff>266700</xdr:colOff>
      <xdr:row>27</xdr:row>
      <xdr:rowOff>109537</xdr:rowOff>
    </xdr:from>
    <xdr:to>
      <xdr:col>20</xdr:col>
      <xdr:colOff>380999</xdr:colOff>
      <xdr:row>29</xdr:row>
      <xdr:rowOff>26193</xdr:rowOff>
    </xdr:to>
    <xdr:sp macro="" textlink="">
      <xdr:nvSpPr>
        <xdr:cNvPr id="100" name="BlokTextu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1849100" y="5253037"/>
          <a:ext cx="723899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659,5</a:t>
          </a:r>
        </a:p>
      </xdr:txBody>
    </xdr:sp>
    <xdr:clientData/>
  </xdr:twoCellAnchor>
  <xdr:twoCellAnchor>
    <xdr:from>
      <xdr:col>17</xdr:col>
      <xdr:colOff>190500</xdr:colOff>
      <xdr:row>21</xdr:row>
      <xdr:rowOff>85725</xdr:rowOff>
    </xdr:from>
    <xdr:to>
      <xdr:col>18</xdr:col>
      <xdr:colOff>263129</xdr:colOff>
      <xdr:row>22</xdr:row>
      <xdr:rowOff>133350</xdr:rowOff>
    </xdr:to>
    <xdr:sp macro="" textlink="">
      <xdr:nvSpPr>
        <xdr:cNvPr id="101" name="BlokTextu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0553700" y="4086225"/>
          <a:ext cx="682229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1044,5</a:t>
          </a:r>
        </a:p>
      </xdr:txBody>
    </xdr:sp>
    <xdr:clientData/>
  </xdr:twoCellAnchor>
  <xdr:twoCellAnchor>
    <xdr:from>
      <xdr:col>17</xdr:col>
      <xdr:colOff>228601</xdr:colOff>
      <xdr:row>27</xdr:row>
      <xdr:rowOff>153590</xdr:rowOff>
    </xdr:from>
    <xdr:to>
      <xdr:col>18</xdr:col>
      <xdr:colOff>194073</xdr:colOff>
      <xdr:row>29</xdr:row>
      <xdr:rowOff>190499</xdr:rowOff>
    </xdr:to>
    <xdr:sp macro="" textlink="">
      <xdr:nvSpPr>
        <xdr:cNvPr id="102" name="BlokTextu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0591801" y="1629965"/>
          <a:ext cx="575072" cy="4179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577</a:t>
          </a:r>
        </a:p>
      </xdr:txBody>
    </xdr:sp>
    <xdr:clientData/>
  </xdr:twoCellAnchor>
  <xdr:twoCellAnchor>
    <xdr:from>
      <xdr:col>20</xdr:col>
      <xdr:colOff>523874</xdr:colOff>
      <xdr:row>26</xdr:row>
      <xdr:rowOff>50006</xdr:rowOff>
    </xdr:from>
    <xdr:to>
      <xdr:col>21</xdr:col>
      <xdr:colOff>438149</xdr:colOff>
      <xdr:row>27</xdr:row>
      <xdr:rowOff>157162</xdr:rowOff>
    </xdr:to>
    <xdr:sp macro="" textlink="">
      <xdr:nvSpPr>
        <xdr:cNvPr id="103" name="BlokTextu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2715874" y="5003006"/>
          <a:ext cx="52387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638,5</a:t>
          </a:r>
        </a:p>
        <a:p>
          <a:endParaRPr lang="sk-SK" sz="1000"/>
        </a:p>
      </xdr:txBody>
    </xdr:sp>
    <xdr:clientData/>
  </xdr:twoCellAnchor>
  <xdr:twoCellAnchor>
    <xdr:from>
      <xdr:col>20</xdr:col>
      <xdr:colOff>494110</xdr:colOff>
      <xdr:row>20</xdr:row>
      <xdr:rowOff>0</xdr:rowOff>
    </xdr:from>
    <xdr:to>
      <xdr:col>21</xdr:col>
      <xdr:colOff>552450</xdr:colOff>
      <xdr:row>21</xdr:row>
      <xdr:rowOff>107156</xdr:rowOff>
    </xdr:to>
    <xdr:sp macro="" textlink="">
      <xdr:nvSpPr>
        <xdr:cNvPr id="104" name="BlokTextu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2686110" y="3810000"/>
          <a:ext cx="667940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794,5</a:t>
          </a:r>
        </a:p>
      </xdr:txBody>
    </xdr:sp>
    <xdr:clientData/>
  </xdr:twoCellAnchor>
  <xdr:twoCellAnchor>
    <xdr:from>
      <xdr:col>18</xdr:col>
      <xdr:colOff>76200</xdr:colOff>
      <xdr:row>20</xdr:row>
      <xdr:rowOff>0</xdr:rowOff>
    </xdr:from>
    <xdr:to>
      <xdr:col>19</xdr:col>
      <xdr:colOff>255983</xdr:colOff>
      <xdr:row>21</xdr:row>
      <xdr:rowOff>107156</xdr:rowOff>
    </xdr:to>
    <xdr:sp macro="" textlink="">
      <xdr:nvSpPr>
        <xdr:cNvPr id="105" name="BlokTextu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1049000" y="0"/>
          <a:ext cx="789383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1069</a:t>
          </a:r>
        </a:p>
      </xdr:txBody>
    </xdr:sp>
    <xdr:clientData/>
  </xdr:twoCellAnchor>
  <xdr:twoCellAnchor>
    <xdr:from>
      <xdr:col>18</xdr:col>
      <xdr:colOff>102394</xdr:colOff>
      <xdr:row>26</xdr:row>
      <xdr:rowOff>11906</xdr:rowOff>
    </xdr:from>
    <xdr:to>
      <xdr:col>19</xdr:col>
      <xdr:colOff>76199</xdr:colOff>
      <xdr:row>27</xdr:row>
      <xdr:rowOff>119062</xdr:rowOff>
    </xdr:to>
    <xdr:sp macro="" textlink="">
      <xdr:nvSpPr>
        <xdr:cNvPr id="106" name="BlokTextu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1075194" y="1297781"/>
          <a:ext cx="58340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617</a:t>
          </a:r>
        </a:p>
        <a:p>
          <a:endParaRPr lang="sk-SK" sz="1000"/>
        </a:p>
      </xdr:txBody>
    </xdr:sp>
    <xdr:clientData/>
  </xdr:twoCellAnchor>
  <xdr:twoCellAnchor>
    <xdr:from>
      <xdr:col>15</xdr:col>
      <xdr:colOff>228600</xdr:colOff>
      <xdr:row>23</xdr:row>
      <xdr:rowOff>200025</xdr:rowOff>
    </xdr:from>
    <xdr:to>
      <xdr:col>17</xdr:col>
      <xdr:colOff>228600</xdr:colOff>
      <xdr:row>23</xdr:row>
      <xdr:rowOff>200025</xdr:rowOff>
    </xdr:to>
    <xdr:cxnSp macro="">
      <xdr:nvCxnSpPr>
        <xdr:cNvPr id="107" name="Rovná spojovacia šípka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CxnSpPr/>
      </xdr:nvCxnSpPr>
      <xdr:spPr>
        <a:xfrm>
          <a:off x="9372600" y="809625"/>
          <a:ext cx="1219200" cy="0"/>
        </a:xfrm>
        <a:prstGeom prst="straightConnector1">
          <a:avLst/>
        </a:prstGeom>
        <a:ln w="38100">
          <a:solidFill>
            <a:schemeClr val="bg1">
              <a:lumMod val="85000"/>
            </a:schemeClr>
          </a:solidFill>
          <a:prstDash val="lgDashDotDot"/>
          <a:headEnd type="none" w="med" len="med"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133350</xdr:colOff>
      <xdr:row>22</xdr:row>
      <xdr:rowOff>9526</xdr:rowOff>
    </xdr:from>
    <xdr:to>
      <xdr:col>17</xdr:col>
      <xdr:colOff>323850</xdr:colOff>
      <xdr:row>24</xdr:row>
      <xdr:rowOff>9526</xdr:rowOff>
    </xdr:to>
    <xdr:sp macro="" textlink="">
      <xdr:nvSpPr>
        <xdr:cNvPr id="108" name="BlokTextu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9277350" y="390526"/>
          <a:ext cx="1409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900" i="1">
              <a:solidFill>
                <a:schemeClr val="bg1">
                  <a:lumMod val="65000"/>
                </a:schemeClr>
              </a:solidFill>
            </a:rPr>
            <a:t>C</a:t>
          </a:r>
          <a:r>
            <a:rPr lang="sk-SK" sz="900" i="1" baseline="0">
              <a:solidFill>
                <a:schemeClr val="bg1">
                  <a:lumMod val="65000"/>
                </a:schemeClr>
              </a:solidFill>
            </a:rPr>
            <a:t> plot s priemernymi nameranymi hodnotami</a:t>
          </a:r>
          <a:endParaRPr lang="sk-SK" sz="900" i="1">
            <a:solidFill>
              <a:schemeClr val="bg1">
                <a:lumMod val="65000"/>
              </a:schemeClr>
            </a:solidFill>
          </a:endParaRPr>
        </a:p>
      </xdr:txBody>
    </xdr:sp>
    <xdr:clientData/>
  </xdr:twoCellAnchor>
  <xdr:twoCellAnchor>
    <xdr:from>
      <xdr:col>21</xdr:col>
      <xdr:colOff>95250</xdr:colOff>
      <xdr:row>21</xdr:row>
      <xdr:rowOff>0</xdr:rowOff>
    </xdr:from>
    <xdr:to>
      <xdr:col>21</xdr:col>
      <xdr:colOff>484585</xdr:colOff>
      <xdr:row>22</xdr:row>
      <xdr:rowOff>107156</xdr:rowOff>
    </xdr:to>
    <xdr:sp macro="" textlink="">
      <xdr:nvSpPr>
        <xdr:cNvPr id="109" name="BlokTextu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2896850" y="190500"/>
          <a:ext cx="38933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21</xdr:col>
      <xdr:colOff>142875</xdr:colOff>
      <xdr:row>26</xdr:row>
      <xdr:rowOff>152400</xdr:rowOff>
    </xdr:from>
    <xdr:to>
      <xdr:col>21</xdr:col>
      <xdr:colOff>532210</xdr:colOff>
      <xdr:row>28</xdr:row>
      <xdr:rowOff>69056</xdr:rowOff>
    </xdr:to>
    <xdr:sp macro="" textlink="">
      <xdr:nvSpPr>
        <xdr:cNvPr id="110" name="BlokTextu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2944475" y="1438275"/>
          <a:ext cx="38933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21</xdr:col>
      <xdr:colOff>161925</xdr:colOff>
      <xdr:row>25</xdr:row>
      <xdr:rowOff>0</xdr:rowOff>
    </xdr:from>
    <xdr:to>
      <xdr:col>21</xdr:col>
      <xdr:colOff>439341</xdr:colOff>
      <xdr:row>26</xdr:row>
      <xdr:rowOff>78581</xdr:rowOff>
    </xdr:to>
    <xdr:sp macro="" textlink="">
      <xdr:nvSpPr>
        <xdr:cNvPr id="111" name="BlokTextu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2963525" y="1066800"/>
          <a:ext cx="277416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21</xdr:col>
      <xdr:colOff>390525</xdr:colOff>
      <xdr:row>23</xdr:row>
      <xdr:rowOff>76200</xdr:rowOff>
    </xdr:from>
    <xdr:to>
      <xdr:col>22</xdr:col>
      <xdr:colOff>323850</xdr:colOff>
      <xdr:row>24</xdr:row>
      <xdr:rowOff>147637</xdr:rowOff>
    </xdr:to>
    <xdr:sp macro="" textlink="">
      <xdr:nvSpPr>
        <xdr:cNvPr id="112" name="BlokTextu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3192125" y="4457700"/>
          <a:ext cx="542925" cy="2619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vykon</a:t>
          </a:r>
        </a:p>
      </xdr:txBody>
    </xdr:sp>
    <xdr:clientData/>
  </xdr:twoCellAnchor>
  <xdr:twoCellAnchor>
    <xdr:from>
      <xdr:col>21</xdr:col>
      <xdr:colOff>161925</xdr:colOff>
      <xdr:row>28</xdr:row>
      <xdr:rowOff>95250</xdr:rowOff>
    </xdr:from>
    <xdr:to>
      <xdr:col>22</xdr:col>
      <xdr:colOff>409575</xdr:colOff>
      <xdr:row>31</xdr:row>
      <xdr:rowOff>0</xdr:rowOff>
    </xdr:to>
    <xdr:sp macro="" textlink="">
      <xdr:nvSpPr>
        <xdr:cNvPr id="113" name="BlokTextu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2963525" y="5429250"/>
          <a:ext cx="857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prietok</a:t>
          </a:r>
          <a:r>
            <a:rPr lang="sk-SK" sz="1100" baseline="0"/>
            <a:t> plynu</a:t>
          </a:r>
          <a:endParaRPr lang="sk-SK" sz="1100"/>
        </a:p>
      </xdr:txBody>
    </xdr:sp>
    <xdr:clientData/>
  </xdr:twoCellAnchor>
  <xdr:twoCellAnchor>
    <xdr:from>
      <xdr:col>11</xdr:col>
      <xdr:colOff>0</xdr:colOff>
      <xdr:row>22</xdr:row>
      <xdr:rowOff>152400</xdr:rowOff>
    </xdr:from>
    <xdr:to>
      <xdr:col>13</xdr:col>
      <xdr:colOff>71437</xdr:colOff>
      <xdr:row>28</xdr:row>
      <xdr:rowOff>158353</xdr:rowOff>
    </xdr:to>
    <xdr:sp macro="" textlink="">
      <xdr:nvSpPr>
        <xdr:cNvPr id="168" name="Obdĺžnik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6705600" y="4343400"/>
          <a:ext cx="1290637" cy="1148953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57150</xdr:colOff>
      <xdr:row>3</xdr:row>
      <xdr:rowOff>75948</xdr:rowOff>
    </xdr:from>
    <xdr:to>
      <xdr:col>15</xdr:col>
      <xdr:colOff>76200</xdr:colOff>
      <xdr:row>17</xdr:row>
      <xdr:rowOff>123411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43550" y="647448"/>
          <a:ext cx="3676650" cy="27144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69521</xdr:colOff>
      <xdr:row>1</xdr:row>
      <xdr:rowOff>14480</xdr:rowOff>
    </xdr:from>
    <xdr:to>
      <xdr:col>27</xdr:col>
      <xdr:colOff>371303</xdr:colOff>
      <xdr:row>11</xdr:row>
      <xdr:rowOff>4956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276225</xdr:colOff>
      <xdr:row>42</xdr:row>
      <xdr:rowOff>85725</xdr:rowOff>
    </xdr:from>
    <xdr:to>
      <xdr:col>41</xdr:col>
      <xdr:colOff>95250</xdr:colOff>
      <xdr:row>55</xdr:row>
      <xdr:rowOff>142874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582146</xdr:colOff>
      <xdr:row>41</xdr:row>
      <xdr:rowOff>188819</xdr:rowOff>
    </xdr:from>
    <xdr:to>
      <xdr:col>32</xdr:col>
      <xdr:colOff>401170</xdr:colOff>
      <xdr:row>55</xdr:row>
      <xdr:rowOff>63312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47626</xdr:colOff>
      <xdr:row>14</xdr:row>
      <xdr:rowOff>23812</xdr:rowOff>
    </xdr:from>
    <xdr:to>
      <xdr:col>12</xdr:col>
      <xdr:colOff>285750</xdr:colOff>
      <xdr:row>23</xdr:row>
      <xdr:rowOff>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304800</xdr:colOff>
      <xdr:row>14</xdr:row>
      <xdr:rowOff>19049</xdr:rowOff>
    </xdr:from>
    <xdr:to>
      <xdr:col>15</xdr:col>
      <xdr:colOff>552450</xdr:colOff>
      <xdr:row>23</xdr:row>
      <xdr:rowOff>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238125</xdr:colOff>
      <xdr:row>24</xdr:row>
      <xdr:rowOff>180975</xdr:rowOff>
    </xdr:from>
    <xdr:to>
      <xdr:col>35</xdr:col>
      <xdr:colOff>238125</xdr:colOff>
      <xdr:row>34</xdr:row>
      <xdr:rowOff>180975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238125</xdr:colOff>
      <xdr:row>26</xdr:row>
      <xdr:rowOff>180975</xdr:rowOff>
    </xdr:from>
    <xdr:to>
      <xdr:col>36</xdr:col>
      <xdr:colOff>238125</xdr:colOff>
      <xdr:row>36</xdr:row>
      <xdr:rowOff>180975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238125</xdr:colOff>
      <xdr:row>28</xdr:row>
      <xdr:rowOff>180975</xdr:rowOff>
    </xdr:from>
    <xdr:to>
      <xdr:col>37</xdr:col>
      <xdr:colOff>238125</xdr:colOff>
      <xdr:row>38</xdr:row>
      <xdr:rowOff>180975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238125</xdr:colOff>
      <xdr:row>30</xdr:row>
      <xdr:rowOff>180975</xdr:rowOff>
    </xdr:from>
    <xdr:to>
      <xdr:col>38</xdr:col>
      <xdr:colOff>238125</xdr:colOff>
      <xdr:row>40</xdr:row>
      <xdr:rowOff>180975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33</xdr:col>
      <xdr:colOff>238125</xdr:colOff>
      <xdr:row>32</xdr:row>
      <xdr:rowOff>180975</xdr:rowOff>
    </xdr:from>
    <xdr:to>
      <xdr:col>39</xdr:col>
      <xdr:colOff>238125</xdr:colOff>
      <xdr:row>42</xdr:row>
      <xdr:rowOff>180975</xdr:rowOff>
    </xdr:to>
    <xdr:graphicFrame macro="">
      <xdr:nvGraphicFramePr>
        <xdr:cNvPr id="13" name="Graf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238125</xdr:colOff>
      <xdr:row>34</xdr:row>
      <xdr:rowOff>180975</xdr:rowOff>
    </xdr:from>
    <xdr:to>
      <xdr:col>40</xdr:col>
      <xdr:colOff>238125</xdr:colOff>
      <xdr:row>44</xdr:row>
      <xdr:rowOff>180975</xdr:rowOff>
    </xdr:to>
    <xdr:graphicFrame macro="">
      <xdr:nvGraphicFramePr>
        <xdr:cNvPr id="14" name="Graf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238125</xdr:colOff>
      <xdr:row>36</xdr:row>
      <xdr:rowOff>180975</xdr:rowOff>
    </xdr:from>
    <xdr:to>
      <xdr:col>41</xdr:col>
      <xdr:colOff>238125</xdr:colOff>
      <xdr:row>46</xdr:row>
      <xdr:rowOff>180975</xdr:rowOff>
    </xdr:to>
    <xdr:graphicFrame macro="">
      <xdr:nvGraphicFramePr>
        <xdr:cNvPr id="15" name="Graf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97560</xdr:colOff>
      <xdr:row>49</xdr:row>
      <xdr:rowOff>66675</xdr:rowOff>
    </xdr:from>
    <xdr:to>
      <xdr:col>1</xdr:col>
      <xdr:colOff>135660</xdr:colOff>
      <xdr:row>49</xdr:row>
      <xdr:rowOff>152400</xdr:rowOff>
    </xdr:to>
    <xdr:cxnSp macro="">
      <xdr:nvCxnSpPr>
        <xdr:cNvPr id="16" name="Rovná spojnica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flipV="1">
          <a:off x="1069110" y="9458325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51</xdr:row>
      <xdr:rowOff>66675</xdr:rowOff>
    </xdr:from>
    <xdr:to>
      <xdr:col>4</xdr:col>
      <xdr:colOff>409575</xdr:colOff>
      <xdr:row>51</xdr:row>
      <xdr:rowOff>152400</xdr:rowOff>
    </xdr:to>
    <xdr:cxnSp macro="">
      <xdr:nvCxnSpPr>
        <xdr:cNvPr id="17" name="Rovná spojnica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flipV="1">
          <a:off x="2809875" y="8886825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157666</xdr:colOff>
      <xdr:row>71</xdr:row>
      <xdr:rowOff>57150</xdr:rowOff>
    </xdr:from>
    <xdr:to>
      <xdr:col>1</xdr:col>
      <xdr:colOff>195766</xdr:colOff>
      <xdr:row>71</xdr:row>
      <xdr:rowOff>142875</xdr:rowOff>
    </xdr:to>
    <xdr:cxnSp macro="">
      <xdr:nvCxnSpPr>
        <xdr:cNvPr id="18" name="Rovná spojnica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flipV="1">
          <a:off x="1126731" y="10965346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73</xdr:row>
      <xdr:rowOff>66675</xdr:rowOff>
    </xdr:from>
    <xdr:to>
      <xdr:col>4</xdr:col>
      <xdr:colOff>409575</xdr:colOff>
      <xdr:row>73</xdr:row>
      <xdr:rowOff>152400</xdr:rowOff>
    </xdr:to>
    <xdr:cxnSp macro="">
      <xdr:nvCxnSpPr>
        <xdr:cNvPr id="19" name="Rovná spojnica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flipV="1">
          <a:off x="2809875" y="10410825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301485</xdr:colOff>
      <xdr:row>94</xdr:row>
      <xdr:rowOff>66675</xdr:rowOff>
    </xdr:from>
    <xdr:to>
      <xdr:col>1</xdr:col>
      <xdr:colOff>339585</xdr:colOff>
      <xdr:row>94</xdr:row>
      <xdr:rowOff>152400</xdr:rowOff>
    </xdr:to>
    <xdr:cxnSp macro="">
      <xdr:nvCxnSpPr>
        <xdr:cNvPr id="20" name="Rovná spojnica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flipV="1">
          <a:off x="1270550" y="12498871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479565</xdr:colOff>
      <xdr:row>96</xdr:row>
      <xdr:rowOff>66675</xdr:rowOff>
    </xdr:from>
    <xdr:to>
      <xdr:col>4</xdr:col>
      <xdr:colOff>517665</xdr:colOff>
      <xdr:row>96</xdr:row>
      <xdr:rowOff>152400</xdr:rowOff>
    </xdr:to>
    <xdr:cxnSp macro="">
      <xdr:nvCxnSpPr>
        <xdr:cNvPr id="21" name="Rovná spojnica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flipV="1">
          <a:off x="3287369" y="18404371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481505</xdr:colOff>
      <xdr:row>124</xdr:row>
      <xdr:rowOff>66675</xdr:rowOff>
    </xdr:from>
    <xdr:to>
      <xdr:col>5</xdr:col>
      <xdr:colOff>519605</xdr:colOff>
      <xdr:row>124</xdr:row>
      <xdr:rowOff>152400</xdr:rowOff>
    </xdr:to>
    <xdr:cxnSp macro="">
      <xdr:nvCxnSpPr>
        <xdr:cNvPr id="22" name="Rovná spojnica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flipV="1">
          <a:off x="3765988" y="15155589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228600</xdr:colOff>
      <xdr:row>143</xdr:row>
      <xdr:rowOff>57150</xdr:rowOff>
    </xdr:from>
    <xdr:to>
      <xdr:col>10</xdr:col>
      <xdr:colOff>266700</xdr:colOff>
      <xdr:row>143</xdr:row>
      <xdr:rowOff>142875</xdr:rowOff>
    </xdr:to>
    <xdr:cxnSp macro="">
      <xdr:nvCxnSpPr>
        <xdr:cNvPr id="23" name="Rovná spojnica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flipV="1">
          <a:off x="6705600" y="15735300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944217</xdr:colOff>
      <xdr:row>54</xdr:row>
      <xdr:rowOff>64180</xdr:rowOff>
    </xdr:from>
    <xdr:to>
      <xdr:col>9</xdr:col>
      <xdr:colOff>96915</xdr:colOff>
      <xdr:row>68</xdr:row>
      <xdr:rowOff>190499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18463" t="10191" r="15452" b="24470"/>
        <a:stretch/>
      </xdr:blipFill>
      <xdr:spPr>
        <a:xfrm>
          <a:off x="944217" y="10400876"/>
          <a:ext cx="5025068" cy="2793319"/>
        </a:xfrm>
        <a:prstGeom prst="rect">
          <a:avLst/>
        </a:prstGeom>
      </xdr:spPr>
    </xdr:pic>
    <xdr:clientData/>
  </xdr:twoCellAnchor>
  <xdr:twoCellAnchor editAs="oneCell">
    <xdr:from>
      <xdr:col>0</xdr:col>
      <xdr:colOff>944226</xdr:colOff>
      <xdr:row>76</xdr:row>
      <xdr:rowOff>33134</xdr:rowOff>
    </xdr:from>
    <xdr:to>
      <xdr:col>8</xdr:col>
      <xdr:colOff>298183</xdr:colOff>
      <xdr:row>91</xdr:row>
      <xdr:rowOff>57982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/>
        <a:srcRect l="17507" t="9754" r="23748" b="24966"/>
        <a:stretch/>
      </xdr:blipFill>
      <xdr:spPr>
        <a:xfrm>
          <a:off x="944226" y="14560830"/>
          <a:ext cx="4613414" cy="2882348"/>
        </a:xfrm>
        <a:prstGeom prst="rect">
          <a:avLst/>
        </a:prstGeom>
      </xdr:spPr>
    </xdr:pic>
    <xdr:clientData/>
  </xdr:twoCellAnchor>
  <xdr:twoCellAnchor editAs="oneCell">
    <xdr:from>
      <xdr:col>0</xdr:col>
      <xdr:colOff>712305</xdr:colOff>
      <xdr:row>99</xdr:row>
      <xdr:rowOff>37272</xdr:rowOff>
    </xdr:from>
    <xdr:to>
      <xdr:col>8</xdr:col>
      <xdr:colOff>264661</xdr:colOff>
      <xdr:row>114</xdr:row>
      <xdr:rowOff>149088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/>
        <a:srcRect l="17062" t="10191" r="22583" b="23563"/>
        <a:stretch/>
      </xdr:blipFill>
      <xdr:spPr>
        <a:xfrm>
          <a:off x="712305" y="18946468"/>
          <a:ext cx="4811813" cy="2969316"/>
        </a:xfrm>
        <a:prstGeom prst="rect">
          <a:avLst/>
        </a:prstGeom>
      </xdr:spPr>
    </xdr:pic>
    <xdr:clientData/>
  </xdr:twoCellAnchor>
  <xdr:twoCellAnchor editAs="oneCell">
    <xdr:from>
      <xdr:col>0</xdr:col>
      <xdr:colOff>828261</xdr:colOff>
      <xdr:row>126</xdr:row>
      <xdr:rowOff>151854</xdr:rowOff>
    </xdr:from>
    <xdr:to>
      <xdr:col>9</xdr:col>
      <xdr:colOff>399393</xdr:colOff>
      <xdr:row>139</xdr:row>
      <xdr:rowOff>115957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/>
        <a:srcRect l="17508" t="10645" r="24556" b="43153"/>
        <a:stretch/>
      </xdr:blipFill>
      <xdr:spPr>
        <a:xfrm>
          <a:off x="828261" y="23823550"/>
          <a:ext cx="5443502" cy="2440603"/>
        </a:xfrm>
        <a:prstGeom prst="rect">
          <a:avLst/>
        </a:prstGeom>
      </xdr:spPr>
    </xdr:pic>
    <xdr:clientData/>
  </xdr:twoCellAnchor>
  <xdr:twoCellAnchor editAs="oneCell">
    <xdr:from>
      <xdr:col>0</xdr:col>
      <xdr:colOff>935934</xdr:colOff>
      <xdr:row>151</xdr:row>
      <xdr:rowOff>120055</xdr:rowOff>
    </xdr:from>
    <xdr:to>
      <xdr:col>9</xdr:col>
      <xdr:colOff>598510</xdr:colOff>
      <xdr:row>165</xdr:row>
      <xdr:rowOff>24848</xdr:rowOff>
    </xdr:to>
    <xdr:pic>
      <xdr:nvPicPr>
        <xdr:cNvPr id="8" name="Obrázok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/>
        <a:srcRect l="17127" t="10532" r="26147" b="42587"/>
        <a:stretch/>
      </xdr:blipFill>
      <xdr:spPr>
        <a:xfrm>
          <a:off x="935934" y="29904316"/>
          <a:ext cx="5534946" cy="2571793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47</xdr:row>
      <xdr:rowOff>23532</xdr:rowOff>
    </xdr:from>
    <xdr:to>
      <xdr:col>10</xdr:col>
      <xdr:colOff>466725</xdr:colOff>
      <xdr:row>48</xdr:row>
      <xdr:rowOff>38100</xdr:rowOff>
    </xdr:to>
    <xdr:pic>
      <xdr:nvPicPr>
        <xdr:cNvPr id="24" name="Obrázok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9550" y="9034182"/>
          <a:ext cx="2905125" cy="2050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13</xdr:row>
      <xdr:rowOff>123825</xdr:rowOff>
    </xdr:from>
    <xdr:to>
      <xdr:col>5</xdr:col>
      <xdr:colOff>0</xdr:colOff>
      <xdr:row>13</xdr:row>
      <xdr:rowOff>123825</xdr:rowOff>
    </xdr:to>
    <xdr:cxnSp macro="">
      <xdr:nvCxnSpPr>
        <xdr:cNvPr id="3" name="Rovná spojovacia šípka 2"/>
        <xdr:cNvCxnSpPr/>
      </xdr:nvCxnSpPr>
      <xdr:spPr>
        <a:xfrm>
          <a:off x="3105150" y="2419350"/>
          <a:ext cx="1809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1228725</xdr:colOff>
      <xdr:row>13</xdr:row>
      <xdr:rowOff>0</xdr:rowOff>
    </xdr:from>
    <xdr:to>
      <xdr:col>3</xdr:col>
      <xdr:colOff>19050</xdr:colOff>
      <xdr:row>13</xdr:row>
      <xdr:rowOff>180975</xdr:rowOff>
    </xdr:to>
    <xdr:sp macro="" textlink="">
      <xdr:nvSpPr>
        <xdr:cNvPr id="4" name="Obdĺžnik 3"/>
        <xdr:cNvSpPr/>
      </xdr:nvSpPr>
      <xdr:spPr>
        <a:xfrm>
          <a:off x="2447925" y="2295525"/>
          <a:ext cx="638175" cy="180975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5</xdr:col>
      <xdr:colOff>9526</xdr:colOff>
      <xdr:row>13</xdr:row>
      <xdr:rowOff>9526</xdr:rowOff>
    </xdr:from>
    <xdr:to>
      <xdr:col>6</xdr:col>
      <xdr:colOff>9526</xdr:colOff>
      <xdr:row>13</xdr:row>
      <xdr:rowOff>180976</xdr:rowOff>
    </xdr:to>
    <xdr:sp macro="" textlink="">
      <xdr:nvSpPr>
        <xdr:cNvPr id="5" name="Obdĺžnik 4"/>
        <xdr:cNvSpPr/>
      </xdr:nvSpPr>
      <xdr:spPr>
        <a:xfrm>
          <a:off x="4924426" y="2305051"/>
          <a:ext cx="647700" cy="171450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 editAs="oneCell">
    <xdr:from>
      <xdr:col>1</xdr:col>
      <xdr:colOff>28575</xdr:colOff>
      <xdr:row>24</xdr:row>
      <xdr:rowOff>38100</xdr:rowOff>
    </xdr:from>
    <xdr:to>
      <xdr:col>4</xdr:col>
      <xdr:colOff>399696</xdr:colOff>
      <xdr:row>28</xdr:row>
      <xdr:rowOff>180862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7775" y="4629150"/>
          <a:ext cx="2828571" cy="904762"/>
        </a:xfrm>
        <a:prstGeom prst="rect">
          <a:avLst/>
        </a:prstGeom>
      </xdr:spPr>
    </xdr:pic>
    <xdr:clientData/>
  </xdr:twoCellAnchor>
  <xdr:twoCellAnchor>
    <xdr:from>
      <xdr:col>3</xdr:col>
      <xdr:colOff>209550</xdr:colOff>
      <xdr:row>27</xdr:row>
      <xdr:rowOff>47625</xdr:rowOff>
    </xdr:from>
    <xdr:to>
      <xdr:col>4</xdr:col>
      <xdr:colOff>247650</xdr:colOff>
      <xdr:row>28</xdr:row>
      <xdr:rowOff>28575</xdr:rowOff>
    </xdr:to>
    <xdr:sp macro="" textlink="">
      <xdr:nvSpPr>
        <xdr:cNvPr id="7" name="Obdĺžnik 6"/>
        <xdr:cNvSpPr/>
      </xdr:nvSpPr>
      <xdr:spPr>
        <a:xfrm>
          <a:off x="3276600" y="5210175"/>
          <a:ext cx="647700" cy="171450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409575</xdr:colOff>
      <xdr:row>17</xdr:row>
      <xdr:rowOff>152400</xdr:rowOff>
    </xdr:from>
    <xdr:to>
      <xdr:col>16</xdr:col>
      <xdr:colOff>523875</xdr:colOff>
      <xdr:row>27</xdr:row>
      <xdr:rowOff>109345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47625</xdr:colOff>
      <xdr:row>17</xdr:row>
      <xdr:rowOff>142876</xdr:rowOff>
    </xdr:from>
    <xdr:to>
      <xdr:col>11</xdr:col>
      <xdr:colOff>333375</xdr:colOff>
      <xdr:row>27</xdr:row>
      <xdr:rowOff>109346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600074</xdr:colOff>
      <xdr:row>17</xdr:row>
      <xdr:rowOff>161925</xdr:rowOff>
    </xdr:from>
    <xdr:to>
      <xdr:col>23</xdr:col>
      <xdr:colOff>95249</xdr:colOff>
      <xdr:row>27</xdr:row>
      <xdr:rowOff>118870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11</xdr:row>
      <xdr:rowOff>123825</xdr:rowOff>
    </xdr:from>
    <xdr:to>
      <xdr:col>13</xdr:col>
      <xdr:colOff>304800</xdr:colOff>
      <xdr:row>26</xdr:row>
      <xdr:rowOff>9525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11</xdr:row>
      <xdr:rowOff>114300</xdr:rowOff>
    </xdr:from>
    <xdr:to>
      <xdr:col>21</xdr:col>
      <xdr:colOff>304800</xdr:colOff>
      <xdr:row>26</xdr:row>
      <xdr:rowOff>0</xdr:rowOff>
    </xdr:to>
    <xdr:graphicFrame macro="">
      <xdr:nvGraphicFramePr>
        <xdr:cNvPr id="7" name="Graf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9525</xdr:colOff>
      <xdr:row>27</xdr:row>
      <xdr:rowOff>0</xdr:rowOff>
    </xdr:from>
    <xdr:to>
      <xdr:col>13</xdr:col>
      <xdr:colOff>314325</xdr:colOff>
      <xdr:row>41</xdr:row>
      <xdr:rowOff>76200</xdr:rowOff>
    </xdr:to>
    <xdr:graphicFrame macro="">
      <xdr:nvGraphicFramePr>
        <xdr:cNvPr id="8" name="Graf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9525</xdr:colOff>
      <xdr:row>27</xdr:row>
      <xdr:rowOff>0</xdr:rowOff>
    </xdr:from>
    <xdr:to>
      <xdr:col>21</xdr:col>
      <xdr:colOff>314325</xdr:colOff>
      <xdr:row>41</xdr:row>
      <xdr:rowOff>76200</xdr:rowOff>
    </xdr:to>
    <xdr:graphicFrame macro="">
      <xdr:nvGraphicFramePr>
        <xdr:cNvPr id="9" name="Graf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43</xdr:row>
      <xdr:rowOff>0</xdr:rowOff>
    </xdr:from>
    <xdr:to>
      <xdr:col>13</xdr:col>
      <xdr:colOff>304800</xdr:colOff>
      <xdr:row>57</xdr:row>
      <xdr:rowOff>76200</xdr:rowOff>
    </xdr:to>
    <xdr:graphicFrame macro="">
      <xdr:nvGraphicFramePr>
        <xdr:cNvPr id="10" name="Graf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0</xdr:colOff>
      <xdr:row>43</xdr:row>
      <xdr:rowOff>0</xdr:rowOff>
    </xdr:from>
    <xdr:to>
      <xdr:col>21</xdr:col>
      <xdr:colOff>304800</xdr:colOff>
      <xdr:row>57</xdr:row>
      <xdr:rowOff>76200</xdr:rowOff>
    </xdr:to>
    <xdr:graphicFrame macro="">
      <xdr:nvGraphicFramePr>
        <xdr:cNvPr id="11" name="Graf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602468</xdr:colOff>
      <xdr:row>14</xdr:row>
      <xdr:rowOff>173996</xdr:rowOff>
    </xdr:from>
    <xdr:to>
      <xdr:col>23</xdr:col>
      <xdr:colOff>602470</xdr:colOff>
      <xdr:row>34</xdr:row>
      <xdr:rowOff>21596</xdr:rowOff>
    </xdr:to>
    <xdr:pic>
      <xdr:nvPicPr>
        <xdr:cNvPr id="3" name="Obrázo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04086" y="2840996"/>
          <a:ext cx="5446060" cy="3657600"/>
        </a:xfrm>
        <a:prstGeom prst="rect">
          <a:avLst/>
        </a:prstGeom>
      </xdr:spPr>
    </xdr:pic>
    <xdr:clientData/>
  </xdr:twoCellAnchor>
  <xdr:twoCellAnchor>
    <xdr:from>
      <xdr:col>6</xdr:col>
      <xdr:colOff>285750</xdr:colOff>
      <xdr:row>20</xdr:row>
      <xdr:rowOff>9525</xdr:rowOff>
    </xdr:from>
    <xdr:to>
      <xdr:col>13</xdr:col>
      <xdr:colOff>590550</xdr:colOff>
      <xdr:row>34</xdr:row>
      <xdr:rowOff>85725</xdr:rowOff>
    </xdr:to>
    <xdr:graphicFrame macro="">
      <xdr:nvGraphicFramePr>
        <xdr:cNvPr id="6" name="Graf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508619</xdr:colOff>
      <xdr:row>22</xdr:row>
      <xdr:rowOff>47625</xdr:rowOff>
    </xdr:from>
    <xdr:to>
      <xdr:col>7</xdr:col>
      <xdr:colOff>523875</xdr:colOff>
      <xdr:row>31</xdr:row>
      <xdr:rowOff>171450</xdr:rowOff>
    </xdr:to>
    <xdr:cxnSp macro="">
      <xdr:nvCxnSpPr>
        <xdr:cNvPr id="7" name="Rovná spojnica 6"/>
        <xdr:cNvCxnSpPr/>
      </xdr:nvCxnSpPr>
      <xdr:spPr>
        <a:xfrm flipH="1">
          <a:off x="6823694" y="12096750"/>
          <a:ext cx="15256" cy="1838325"/>
        </a:xfrm>
        <a:prstGeom prst="line">
          <a:avLst/>
        </a:prstGeom>
        <a:ln w="28575">
          <a:prstDash val="sysDash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24</xdr:row>
      <xdr:rowOff>171450</xdr:rowOff>
    </xdr:from>
    <xdr:to>
      <xdr:col>9</xdr:col>
      <xdr:colOff>304800</xdr:colOff>
      <xdr:row>39</xdr:row>
      <xdr:rowOff>57150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342900</xdr:colOff>
      <xdr:row>25</xdr:row>
      <xdr:rowOff>57150</xdr:rowOff>
    </xdr:from>
    <xdr:to>
      <xdr:col>16</xdr:col>
      <xdr:colOff>514350</xdr:colOff>
      <xdr:row>39</xdr:row>
      <xdr:rowOff>133350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3" name="Graf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3</xdr:col>
      <xdr:colOff>180975</xdr:colOff>
      <xdr:row>68</xdr:row>
      <xdr:rowOff>47625</xdr:rowOff>
    </xdr:from>
    <xdr:to>
      <xdr:col>3</xdr:col>
      <xdr:colOff>238125</xdr:colOff>
      <xdr:row>68</xdr:row>
      <xdr:rowOff>161925</xdr:rowOff>
    </xdr:to>
    <xdr:cxnSp macro="">
      <xdr:nvCxnSpPr>
        <xdr:cNvPr id="5" name="Rovná spojnica 4"/>
        <xdr:cNvCxnSpPr/>
      </xdr:nvCxnSpPr>
      <xdr:spPr>
        <a:xfrm>
          <a:off x="2286000" y="13106400"/>
          <a:ext cx="57150" cy="1143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171450</xdr:colOff>
      <xdr:row>60</xdr:row>
      <xdr:rowOff>38100</xdr:rowOff>
    </xdr:from>
    <xdr:to>
      <xdr:col>3</xdr:col>
      <xdr:colOff>219075</xdr:colOff>
      <xdr:row>60</xdr:row>
      <xdr:rowOff>152400</xdr:rowOff>
    </xdr:to>
    <xdr:cxnSp macro="">
      <xdr:nvCxnSpPr>
        <xdr:cNvPr id="6" name="Rovná spojnica 5"/>
        <xdr:cNvCxnSpPr/>
      </xdr:nvCxnSpPr>
      <xdr:spPr>
        <a:xfrm>
          <a:off x="2276475" y="11525250"/>
          <a:ext cx="47625" cy="1143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2"/>
  <sheetViews>
    <sheetView tabSelected="1" zoomScale="115" zoomScaleNormal="115" workbookViewId="0">
      <selection activeCell="U1" sqref="U1"/>
    </sheetView>
  </sheetViews>
  <sheetFormatPr defaultRowHeight="15" x14ac:dyDescent="0.25"/>
  <cols>
    <col min="11" max="14" width="9.140625" style="1"/>
  </cols>
  <sheetData>
    <row r="1" spans="1:22" x14ac:dyDescent="0.25">
      <c r="A1" t="s">
        <v>197</v>
      </c>
      <c r="J1" t="s">
        <v>141</v>
      </c>
      <c r="U1" s="29" t="s">
        <v>0</v>
      </c>
      <c r="V1" s="36" t="s">
        <v>1</v>
      </c>
    </row>
    <row r="2" spans="1:22" x14ac:dyDescent="0.25">
      <c r="K2" s="1" t="s">
        <v>136</v>
      </c>
      <c r="L2" s="1" t="s">
        <v>137</v>
      </c>
      <c r="M2" s="1" t="s">
        <v>138</v>
      </c>
      <c r="N2" s="1" t="s">
        <v>139</v>
      </c>
      <c r="P2" s="1" t="s">
        <v>2</v>
      </c>
      <c r="Q2" s="1" t="s">
        <v>3</v>
      </c>
      <c r="R2" s="1" t="s">
        <v>69</v>
      </c>
      <c r="S2" s="1" t="s">
        <v>139</v>
      </c>
      <c r="U2" s="29">
        <f>(0.8+1.2)/2</f>
        <v>1</v>
      </c>
      <c r="V2" s="36">
        <f>(1.2-0.8)/2</f>
        <v>0.19999999999999996</v>
      </c>
    </row>
    <row r="3" spans="1:22" x14ac:dyDescent="0.25">
      <c r="J3">
        <v>1</v>
      </c>
      <c r="K3" s="29">
        <v>0.8</v>
      </c>
      <c r="L3" s="10">
        <v>125</v>
      </c>
      <c r="M3" s="36">
        <v>325</v>
      </c>
      <c r="N3" s="1">
        <v>1052</v>
      </c>
      <c r="P3" s="29">
        <f>(K3-$U$2)/$V$2</f>
        <v>-1</v>
      </c>
      <c r="Q3" s="10">
        <f>(L3-$U$3)/$V$3</f>
        <v>-1</v>
      </c>
      <c r="R3" s="36">
        <f>(M3-$U$4)/$V$4</f>
        <v>1</v>
      </c>
      <c r="S3" s="9">
        <v>1052</v>
      </c>
      <c r="U3" s="31">
        <f>(125+200)/2</f>
        <v>162.5</v>
      </c>
      <c r="V3" s="37">
        <f>(200-125)/2</f>
        <v>37.5</v>
      </c>
    </row>
    <row r="4" spans="1:22" x14ac:dyDescent="0.25">
      <c r="J4">
        <v>2</v>
      </c>
      <c r="K4" s="31">
        <v>0.8</v>
      </c>
      <c r="L4" s="1">
        <v>125</v>
      </c>
      <c r="M4" s="37">
        <v>275</v>
      </c>
      <c r="N4" s="1">
        <v>550</v>
      </c>
      <c r="P4" s="31">
        <f t="shared" ref="P4:P18" si="0">(K4-$U$2)/$V$2</f>
        <v>-1</v>
      </c>
      <c r="Q4" s="1">
        <f t="shared" ref="Q4:Q18" si="1">(L4-$U$3)/$V$3</f>
        <v>-1</v>
      </c>
      <c r="R4" s="37">
        <f t="shared" ref="R4:R18" si="2">(M4-$U$4)/$V$4</f>
        <v>-1</v>
      </c>
      <c r="S4" s="9">
        <v>550</v>
      </c>
      <c r="U4" s="33">
        <f>(275+325)/2</f>
        <v>300</v>
      </c>
      <c r="V4" s="38">
        <f>(325-275)/2</f>
        <v>25</v>
      </c>
    </row>
    <row r="5" spans="1:22" x14ac:dyDescent="0.25">
      <c r="J5">
        <v>3</v>
      </c>
      <c r="K5" s="31">
        <v>0.8</v>
      </c>
      <c r="L5" s="1">
        <v>200</v>
      </c>
      <c r="M5" s="37">
        <v>275</v>
      </c>
      <c r="N5" s="1">
        <v>601</v>
      </c>
      <c r="P5" s="31">
        <f t="shared" si="0"/>
        <v>-1</v>
      </c>
      <c r="Q5" s="1">
        <f t="shared" si="1"/>
        <v>1</v>
      </c>
      <c r="R5" s="37">
        <f t="shared" si="2"/>
        <v>-1</v>
      </c>
      <c r="S5" s="9">
        <v>601</v>
      </c>
    </row>
    <row r="6" spans="1:22" x14ac:dyDescent="0.25">
      <c r="J6">
        <v>4</v>
      </c>
      <c r="K6" s="31">
        <v>1.2</v>
      </c>
      <c r="L6" s="1">
        <v>200</v>
      </c>
      <c r="M6" s="37">
        <v>275</v>
      </c>
      <c r="N6" s="1">
        <v>635</v>
      </c>
      <c r="P6" s="31">
        <f t="shared" si="0"/>
        <v>1</v>
      </c>
      <c r="Q6" s="1">
        <f t="shared" si="1"/>
        <v>1</v>
      </c>
      <c r="R6" s="37">
        <f t="shared" si="2"/>
        <v>-1</v>
      </c>
      <c r="S6" s="9">
        <v>635</v>
      </c>
    </row>
    <row r="7" spans="1:22" x14ac:dyDescent="0.25">
      <c r="J7">
        <v>5</v>
      </c>
      <c r="K7" s="31">
        <v>1.2</v>
      </c>
      <c r="L7" s="1">
        <v>125</v>
      </c>
      <c r="M7" s="37">
        <v>275</v>
      </c>
      <c r="N7" s="1">
        <v>669</v>
      </c>
      <c r="P7" s="31">
        <f>(K7-$U$2)/$V$2</f>
        <v>1</v>
      </c>
      <c r="Q7" s="1">
        <f>(L7-$U$3)/$V$3</f>
        <v>-1</v>
      </c>
      <c r="R7" s="37">
        <f t="shared" si="2"/>
        <v>-1</v>
      </c>
      <c r="S7" s="9">
        <v>669</v>
      </c>
    </row>
    <row r="8" spans="1:22" x14ac:dyDescent="0.25">
      <c r="J8">
        <v>6</v>
      </c>
      <c r="K8" s="31">
        <v>0.8</v>
      </c>
      <c r="L8" s="1">
        <v>200</v>
      </c>
      <c r="M8" s="37">
        <v>275</v>
      </c>
      <c r="N8" s="1">
        <v>633</v>
      </c>
      <c r="P8" s="31">
        <f t="shared" si="0"/>
        <v>-1</v>
      </c>
      <c r="Q8" s="1">
        <f t="shared" si="1"/>
        <v>1</v>
      </c>
      <c r="R8" s="37">
        <f t="shared" si="2"/>
        <v>-1</v>
      </c>
      <c r="S8" s="9">
        <v>633</v>
      </c>
    </row>
    <row r="9" spans="1:22" x14ac:dyDescent="0.25">
      <c r="J9">
        <v>7</v>
      </c>
      <c r="K9" s="31">
        <v>1.2</v>
      </c>
      <c r="L9" s="1">
        <v>125</v>
      </c>
      <c r="M9" s="37">
        <v>275</v>
      </c>
      <c r="N9" s="1">
        <v>650</v>
      </c>
      <c r="P9" s="31">
        <f t="shared" si="0"/>
        <v>1</v>
      </c>
      <c r="Q9" s="1">
        <f t="shared" si="1"/>
        <v>-1</v>
      </c>
      <c r="R9" s="37">
        <f t="shared" si="2"/>
        <v>-1</v>
      </c>
      <c r="S9" s="9">
        <v>650</v>
      </c>
    </row>
    <row r="10" spans="1:22" x14ac:dyDescent="0.25">
      <c r="J10">
        <v>8</v>
      </c>
      <c r="K10" s="31">
        <v>0.8</v>
      </c>
      <c r="L10" s="1">
        <v>125</v>
      </c>
      <c r="M10" s="37">
        <v>275</v>
      </c>
      <c r="N10" s="1">
        <v>604</v>
      </c>
      <c r="P10" s="31">
        <f t="shared" si="0"/>
        <v>-1</v>
      </c>
      <c r="Q10" s="1">
        <f t="shared" si="1"/>
        <v>-1</v>
      </c>
      <c r="R10" s="37">
        <f t="shared" si="2"/>
        <v>-1</v>
      </c>
      <c r="S10" s="9">
        <v>604</v>
      </c>
    </row>
    <row r="11" spans="1:22" x14ac:dyDescent="0.25">
      <c r="J11">
        <v>9</v>
      </c>
      <c r="K11" s="31">
        <v>1.2</v>
      </c>
      <c r="L11" s="1">
        <v>200</v>
      </c>
      <c r="M11" s="37">
        <v>275</v>
      </c>
      <c r="N11" s="1">
        <v>642</v>
      </c>
      <c r="P11" s="31">
        <f t="shared" si="0"/>
        <v>1</v>
      </c>
      <c r="Q11" s="1">
        <f t="shared" si="1"/>
        <v>1</v>
      </c>
      <c r="R11" s="37">
        <f>(M11-$U$4)/$V$4</f>
        <v>-1</v>
      </c>
      <c r="S11" s="9">
        <v>642</v>
      </c>
    </row>
    <row r="12" spans="1:22" x14ac:dyDescent="0.25">
      <c r="J12">
        <v>10</v>
      </c>
      <c r="K12" s="31">
        <v>0.8</v>
      </c>
      <c r="L12" s="1">
        <v>125</v>
      </c>
      <c r="M12" s="37">
        <v>325</v>
      </c>
      <c r="N12" s="1">
        <v>1037</v>
      </c>
      <c r="P12" s="31">
        <f t="shared" si="0"/>
        <v>-1</v>
      </c>
      <c r="Q12" s="1">
        <f t="shared" si="1"/>
        <v>-1</v>
      </c>
      <c r="R12" s="37">
        <f t="shared" si="2"/>
        <v>1</v>
      </c>
      <c r="S12" s="9">
        <v>1037</v>
      </c>
    </row>
    <row r="13" spans="1:22" x14ac:dyDescent="0.25">
      <c r="J13">
        <v>11</v>
      </c>
      <c r="K13" s="31">
        <v>1.2</v>
      </c>
      <c r="L13" s="1">
        <v>125</v>
      </c>
      <c r="M13" s="37">
        <v>325</v>
      </c>
      <c r="N13" s="1">
        <v>749</v>
      </c>
      <c r="P13" s="31">
        <f t="shared" si="0"/>
        <v>1</v>
      </c>
      <c r="Q13" s="1">
        <f t="shared" si="1"/>
        <v>-1</v>
      </c>
      <c r="R13" s="37">
        <f t="shared" si="2"/>
        <v>1</v>
      </c>
      <c r="S13" s="9">
        <v>749</v>
      </c>
    </row>
    <row r="14" spans="1:22" x14ac:dyDescent="0.25">
      <c r="J14">
        <v>12</v>
      </c>
      <c r="K14" s="31">
        <v>1.2</v>
      </c>
      <c r="L14" s="1">
        <v>200</v>
      </c>
      <c r="M14" s="37">
        <v>325</v>
      </c>
      <c r="N14" s="1">
        <v>860</v>
      </c>
      <c r="P14" s="31">
        <f t="shared" si="0"/>
        <v>1</v>
      </c>
      <c r="Q14" s="1">
        <f t="shared" si="1"/>
        <v>1</v>
      </c>
      <c r="R14" s="37">
        <f t="shared" si="2"/>
        <v>1</v>
      </c>
      <c r="S14" s="9">
        <v>860</v>
      </c>
    </row>
    <row r="15" spans="1:22" x14ac:dyDescent="0.25">
      <c r="J15">
        <v>13</v>
      </c>
      <c r="K15" s="31">
        <v>1.2</v>
      </c>
      <c r="L15" s="1">
        <v>125</v>
      </c>
      <c r="M15" s="37">
        <v>325</v>
      </c>
      <c r="N15" s="1">
        <v>868</v>
      </c>
      <c r="P15" s="31">
        <f t="shared" si="0"/>
        <v>1</v>
      </c>
      <c r="Q15" s="1">
        <f t="shared" si="1"/>
        <v>-1</v>
      </c>
      <c r="R15" s="37">
        <f t="shared" si="2"/>
        <v>1</v>
      </c>
      <c r="S15" s="9">
        <v>868</v>
      </c>
    </row>
    <row r="16" spans="1:22" x14ac:dyDescent="0.25">
      <c r="J16">
        <v>14</v>
      </c>
      <c r="K16" s="31">
        <v>0.8</v>
      </c>
      <c r="L16" s="1">
        <v>200</v>
      </c>
      <c r="M16" s="37">
        <v>325</v>
      </c>
      <c r="N16" s="1">
        <v>1075</v>
      </c>
      <c r="P16" s="31">
        <f t="shared" si="0"/>
        <v>-1</v>
      </c>
      <c r="Q16" s="1">
        <f t="shared" si="1"/>
        <v>1</v>
      </c>
      <c r="R16" s="37">
        <f t="shared" si="2"/>
        <v>1</v>
      </c>
      <c r="S16" s="9">
        <v>1075</v>
      </c>
    </row>
    <row r="17" spans="10:19" x14ac:dyDescent="0.25">
      <c r="J17">
        <v>15</v>
      </c>
      <c r="K17" s="31">
        <v>0.8</v>
      </c>
      <c r="L17" s="1">
        <v>200</v>
      </c>
      <c r="M17" s="37">
        <v>325</v>
      </c>
      <c r="N17" s="1">
        <v>1063</v>
      </c>
      <c r="P17" s="31">
        <f t="shared" si="0"/>
        <v>-1</v>
      </c>
      <c r="Q17" s="1">
        <f t="shared" si="1"/>
        <v>1</v>
      </c>
      <c r="R17" s="37">
        <f t="shared" si="2"/>
        <v>1</v>
      </c>
      <c r="S17" s="9">
        <v>1063</v>
      </c>
    </row>
    <row r="18" spans="10:19" x14ac:dyDescent="0.25">
      <c r="J18">
        <v>16</v>
      </c>
      <c r="K18" s="33">
        <v>1.2</v>
      </c>
      <c r="L18" s="34">
        <v>200</v>
      </c>
      <c r="M18" s="38">
        <v>325</v>
      </c>
      <c r="N18" s="1">
        <v>729</v>
      </c>
      <c r="P18" s="33">
        <f t="shared" si="0"/>
        <v>1</v>
      </c>
      <c r="Q18" s="34">
        <f t="shared" si="1"/>
        <v>1</v>
      </c>
      <c r="R18" s="38">
        <f t="shared" si="2"/>
        <v>1</v>
      </c>
      <c r="S18" s="9">
        <v>729</v>
      </c>
    </row>
    <row r="19" spans="10:19" x14ac:dyDescent="0.25">
      <c r="S19">
        <f>AVERAGE(S3:S18)</f>
        <v>776.0625</v>
      </c>
    </row>
    <row r="21" spans="10:19" x14ac:dyDescent="0.25">
      <c r="K21"/>
      <c r="L21"/>
      <c r="M21"/>
      <c r="N21"/>
    </row>
    <row r="22" spans="10:19" x14ac:dyDescent="0.25">
      <c r="K22"/>
      <c r="L22"/>
      <c r="M22"/>
      <c r="N22"/>
    </row>
    <row r="23" spans="10:19" x14ac:dyDescent="0.25">
      <c r="K23"/>
      <c r="L23"/>
      <c r="M23"/>
      <c r="N23"/>
    </row>
    <row r="24" spans="10:19" x14ac:dyDescent="0.25">
      <c r="K24"/>
      <c r="L24"/>
      <c r="M24"/>
      <c r="N24"/>
    </row>
    <row r="25" spans="10:19" x14ac:dyDescent="0.25">
      <c r="K25"/>
      <c r="L25"/>
      <c r="M25"/>
      <c r="N25"/>
    </row>
    <row r="26" spans="10:19" x14ac:dyDescent="0.25">
      <c r="K26"/>
      <c r="L26"/>
      <c r="M26"/>
      <c r="N26"/>
    </row>
    <row r="27" spans="10:19" x14ac:dyDescent="0.25">
      <c r="K27"/>
      <c r="L27"/>
      <c r="M27"/>
      <c r="N27"/>
    </row>
    <row r="28" spans="10:19" x14ac:dyDescent="0.25">
      <c r="K28"/>
      <c r="L28"/>
      <c r="M28"/>
      <c r="N28"/>
    </row>
    <row r="29" spans="10:19" x14ac:dyDescent="0.25">
      <c r="K29"/>
      <c r="L29"/>
      <c r="M29"/>
      <c r="N29"/>
    </row>
    <row r="30" spans="10:19" x14ac:dyDescent="0.25">
      <c r="K30"/>
      <c r="L30"/>
      <c r="M30"/>
      <c r="N30"/>
    </row>
    <row r="31" spans="10:19" x14ac:dyDescent="0.25">
      <c r="K31"/>
      <c r="L31"/>
      <c r="M31"/>
      <c r="N31"/>
    </row>
    <row r="32" spans="10:19" x14ac:dyDescent="0.25">
      <c r="K32"/>
      <c r="L32"/>
      <c r="M32"/>
      <c r="N32"/>
    </row>
  </sheetData>
  <pageMargins left="0.25" right="0.25" top="0.75" bottom="0.75" header="0.3" footer="0.3"/>
  <pageSetup paperSize="9" scale="72" fitToHeight="0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33"/>
  <sheetViews>
    <sheetView workbookViewId="0"/>
  </sheetViews>
  <sheetFormatPr defaultRowHeight="15" x14ac:dyDescent="0.25"/>
  <cols>
    <col min="1" max="1" width="13.85546875" customWidth="1"/>
    <col min="2" max="2" width="16.42578125" customWidth="1"/>
    <col min="3" max="3" width="14.7109375" customWidth="1"/>
    <col min="4" max="5" width="9.28515625" customWidth="1"/>
    <col min="6" max="6" width="8.5703125" customWidth="1"/>
    <col min="7" max="7" width="6.42578125" customWidth="1"/>
    <col min="8" max="8" width="8.7109375" customWidth="1"/>
    <col min="9" max="9" width="7.28515625" customWidth="1"/>
    <col min="10" max="10" width="5.5703125" customWidth="1"/>
    <col min="11" max="11" width="12.140625" customWidth="1"/>
    <col min="12" max="12" width="15.28515625" customWidth="1"/>
    <col min="13" max="13" width="6.85546875" customWidth="1"/>
  </cols>
  <sheetData>
    <row r="1" spans="1:15" x14ac:dyDescent="0.25">
      <c r="A1" s="90" t="s">
        <v>177</v>
      </c>
      <c r="B1" s="90"/>
    </row>
    <row r="2" spans="1:15" s="56" customFormat="1" x14ac:dyDescent="0.25">
      <c r="A2" s="56" t="s">
        <v>221</v>
      </c>
      <c r="B2" s="56">
        <v>776.0625</v>
      </c>
      <c r="C2" s="56" t="s">
        <v>34</v>
      </c>
      <c r="D2" s="56">
        <v>-50.812499999999986</v>
      </c>
      <c r="E2" s="56" t="s">
        <v>157</v>
      </c>
      <c r="F2" s="56">
        <v>153.0625</v>
      </c>
      <c r="G2" s="56" t="s">
        <v>158</v>
      </c>
      <c r="H2" s="56">
        <v>-76.8125</v>
      </c>
      <c r="I2" s="56" t="s">
        <v>83</v>
      </c>
    </row>
    <row r="4" spans="1:15" x14ac:dyDescent="0.25">
      <c r="A4" s="3" t="s">
        <v>110</v>
      </c>
      <c r="B4" s="18">
        <f>(0.9-1)/0.2</f>
        <v>-0.49999999999999989</v>
      </c>
      <c r="D4" s="3">
        <v>776.0625</v>
      </c>
      <c r="E4" s="18">
        <v>1</v>
      </c>
      <c r="G4" s="3"/>
      <c r="H4" s="18"/>
    </row>
    <row r="5" spans="1:15" x14ac:dyDescent="0.25">
      <c r="A5" s="3" t="s">
        <v>111</v>
      </c>
      <c r="B5" s="24">
        <f>(150-162.5)/37.5</f>
        <v>-0.33333333333333331</v>
      </c>
      <c r="D5" s="3">
        <v>-50.812499999999986</v>
      </c>
      <c r="E5" s="24">
        <f>B4</f>
        <v>-0.49999999999999989</v>
      </c>
      <c r="G5" s="3"/>
      <c r="H5" s="24"/>
    </row>
    <row r="6" spans="1:15" x14ac:dyDescent="0.25">
      <c r="A6" s="3" t="s">
        <v>129</v>
      </c>
      <c r="B6" s="24">
        <f>(280-300)/25</f>
        <v>-0.8</v>
      </c>
      <c r="D6" s="3">
        <v>153.0625</v>
      </c>
      <c r="E6" s="24">
        <f>B6</f>
        <v>-0.8</v>
      </c>
      <c r="G6" s="3"/>
      <c r="H6" s="24"/>
    </row>
    <row r="7" spans="1:15" x14ac:dyDescent="0.25">
      <c r="A7" s="3" t="s">
        <v>180</v>
      </c>
      <c r="B7">
        <f>D4+D5*B4+D6*B6+D7*B4*B6</f>
        <v>648.29374999999993</v>
      </c>
      <c r="D7" s="3">
        <v>-76.8125</v>
      </c>
      <c r="E7" s="18">
        <f>B4*B6</f>
        <v>0.39999999999999991</v>
      </c>
      <c r="G7" s="3"/>
      <c r="H7" s="18"/>
    </row>
    <row r="8" spans="1:15" x14ac:dyDescent="0.25">
      <c r="A8" s="3"/>
      <c r="B8" s="18"/>
      <c r="D8" s="75"/>
      <c r="E8" s="96">
        <f>SUMPRODUCT(D4:D7,E4:E7)</f>
        <v>648.29374999999993</v>
      </c>
      <c r="F8" s="96"/>
      <c r="G8" s="3"/>
      <c r="H8" s="18"/>
    </row>
    <row r="9" spans="1:15" x14ac:dyDescent="0.25">
      <c r="A9" s="14" t="s">
        <v>181</v>
      </c>
      <c r="B9">
        <v>-5415.375</v>
      </c>
      <c r="C9" t="s">
        <v>34</v>
      </c>
      <c r="D9">
        <v>4354.6875</v>
      </c>
      <c r="E9" t="s">
        <v>167</v>
      </c>
      <c r="F9">
        <v>21.484999999999999</v>
      </c>
      <c r="G9" t="s">
        <v>168</v>
      </c>
      <c r="H9">
        <v>-15.362500000000001</v>
      </c>
      <c r="I9" t="s">
        <v>169</v>
      </c>
      <c r="L9">
        <f>B9</f>
        <v>-5415.375</v>
      </c>
      <c r="M9">
        <v>1</v>
      </c>
    </row>
    <row r="10" spans="1:15" x14ac:dyDescent="0.25">
      <c r="A10" s="3" t="s">
        <v>182</v>
      </c>
      <c r="B10">
        <f>B9+D9*0.9+F9*280+H9*0.9*280</f>
        <v>648.29374999999982</v>
      </c>
      <c r="L10">
        <f>D9</f>
        <v>4354.6875</v>
      </c>
      <c r="M10">
        <v>0.9</v>
      </c>
    </row>
    <row r="11" spans="1:15" x14ac:dyDescent="0.25">
      <c r="A11" s="3"/>
      <c r="L11">
        <f>F9</f>
        <v>21.484999999999999</v>
      </c>
      <c r="M11">
        <v>280</v>
      </c>
    </row>
    <row r="12" spans="1:15" x14ac:dyDescent="0.25">
      <c r="L12">
        <f>H9</f>
        <v>-15.362500000000001</v>
      </c>
      <c r="M12">
        <f>M10*M11</f>
        <v>252</v>
      </c>
    </row>
    <row r="13" spans="1:15" x14ac:dyDescent="0.25">
      <c r="L13" s="28"/>
      <c r="M13" s="96">
        <f>SUMPRODUCT(L9:L12,M9:M12)</f>
        <v>648.29374999999982</v>
      </c>
      <c r="N13" s="96"/>
      <c r="O13" s="96"/>
    </row>
    <row r="15" spans="1:15" x14ac:dyDescent="0.25">
      <c r="A15" s="18" t="s">
        <v>183</v>
      </c>
    </row>
    <row r="18" spans="1:9" x14ac:dyDescent="0.25">
      <c r="A18" t="s">
        <v>179</v>
      </c>
      <c r="C18" s="1"/>
      <c r="D18" s="1"/>
      <c r="E18" s="1"/>
    </row>
    <row r="19" spans="1:9" x14ac:dyDescent="0.25">
      <c r="A19" t="s">
        <v>33</v>
      </c>
      <c r="B19" s="19">
        <v>776.0625</v>
      </c>
      <c r="C19" s="1">
        <v>1</v>
      </c>
      <c r="D19" s="1"/>
      <c r="E19" s="1"/>
      <c r="F19" s="23"/>
      <c r="G19" s="21"/>
      <c r="H19" s="22"/>
      <c r="I19" s="23"/>
    </row>
    <row r="20" spans="1:9" x14ac:dyDescent="0.25">
      <c r="A20" t="s">
        <v>2</v>
      </c>
      <c r="B20" s="19">
        <v>-50.812499999999986</v>
      </c>
      <c r="C20" s="72">
        <v>-4.5814849455005587E-2</v>
      </c>
      <c r="D20" s="1"/>
      <c r="E20" s="1"/>
      <c r="F20" s="25"/>
      <c r="G20" s="21"/>
      <c r="H20" s="22"/>
      <c r="I20" s="25"/>
    </row>
    <row r="21" spans="1:9" x14ac:dyDescent="0.25">
      <c r="A21" t="s">
        <v>69</v>
      </c>
      <c r="B21" s="19">
        <v>153.0625</v>
      </c>
      <c r="C21" s="73">
        <v>0.13800807664859616</v>
      </c>
      <c r="D21" s="1"/>
      <c r="E21" s="1"/>
      <c r="F21" s="25"/>
      <c r="G21" s="21"/>
      <c r="H21" s="22"/>
      <c r="I21" s="25"/>
    </row>
    <row r="22" spans="1:9" ht="15.75" thickBot="1" x14ac:dyDescent="0.3">
      <c r="A22" t="s">
        <v>70</v>
      </c>
      <c r="B22" s="74">
        <v>-76.812500000000014</v>
      </c>
      <c r="C22" s="1">
        <f>C20*C21</f>
        <v>-6.3228192552303051E-3</v>
      </c>
      <c r="D22" s="90" t="s">
        <v>178</v>
      </c>
      <c r="E22" s="90"/>
      <c r="F22" s="23"/>
      <c r="G22" s="21"/>
      <c r="H22" s="22"/>
      <c r="I22" s="23"/>
    </row>
    <row r="23" spans="1:9" x14ac:dyDescent="0.25">
      <c r="A23" t="s">
        <v>176</v>
      </c>
      <c r="C23" s="10">
        <f>SUMPRODUCT(B19:B22,C19:C22)</f>
        <v>799.99999982400061</v>
      </c>
      <c r="G23" s="21"/>
      <c r="H23" s="22"/>
      <c r="I23" s="23"/>
    </row>
    <row r="25" spans="1:9" x14ac:dyDescent="0.25">
      <c r="B25" t="s">
        <v>237</v>
      </c>
      <c r="E25" t="s">
        <v>236</v>
      </c>
    </row>
    <row r="26" spans="1:9" x14ac:dyDescent="0.25">
      <c r="B26" t="s">
        <v>2</v>
      </c>
      <c r="C26">
        <f>C20</f>
        <v>-4.5814849455005587E-2</v>
      </c>
      <c r="E26" t="s">
        <v>136</v>
      </c>
      <c r="F26">
        <f>C26*0.2+1</f>
        <v>0.99083703010899893</v>
      </c>
    </row>
    <row r="27" spans="1:9" x14ac:dyDescent="0.25">
      <c r="B27" t="s">
        <v>69</v>
      </c>
      <c r="C27">
        <f>C21</f>
        <v>0.13800807664859616</v>
      </c>
      <c r="E27" t="s">
        <v>137</v>
      </c>
      <c r="F27">
        <f>C27*25+300</f>
        <v>303.45020191621489</v>
      </c>
    </row>
    <row r="33" spans="15:17" x14ac:dyDescent="0.25">
      <c r="O33" s="94"/>
      <c r="P33" s="94"/>
      <c r="Q33" s="23"/>
    </row>
  </sheetData>
  <mergeCells count="3">
    <mergeCell ref="O33:P33"/>
    <mergeCell ref="E8:F8"/>
    <mergeCell ref="M13:O13"/>
  </mergeCells>
  <pageMargins left="0.7" right="0.7" top="0.75" bottom="0.75" header="0.3" footer="0.3"/>
  <pageSetup paperSize="9" scale="82" fitToHeight="0" orientation="landscape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O65"/>
  <sheetViews>
    <sheetView topLeftCell="A16" zoomScale="85" zoomScaleNormal="85" workbookViewId="0">
      <selection activeCell="L37" sqref="L37"/>
    </sheetView>
  </sheetViews>
  <sheetFormatPr defaultRowHeight="15" x14ac:dyDescent="0.25"/>
  <sheetData>
    <row r="1" spans="1:36" x14ac:dyDescent="0.25">
      <c r="C1" t="s">
        <v>2</v>
      </c>
      <c r="D1" t="s">
        <v>3</v>
      </c>
      <c r="E1" t="s">
        <v>69</v>
      </c>
      <c r="F1" t="s">
        <v>4</v>
      </c>
      <c r="G1" t="s">
        <v>70</v>
      </c>
      <c r="H1" t="s">
        <v>71</v>
      </c>
      <c r="I1" t="s">
        <v>125</v>
      </c>
      <c r="AA1" s="1" t="s">
        <v>2</v>
      </c>
      <c r="AB1" s="1" t="s">
        <v>3</v>
      </c>
      <c r="AC1" s="1" t="s">
        <v>69</v>
      </c>
      <c r="AD1" t="s">
        <v>4</v>
      </c>
      <c r="AE1" t="s">
        <v>70</v>
      </c>
      <c r="AF1" t="s">
        <v>71</v>
      </c>
      <c r="AG1" t="s">
        <v>125</v>
      </c>
    </row>
    <row r="2" spans="1:36" x14ac:dyDescent="0.25">
      <c r="B2" t="s">
        <v>147</v>
      </c>
      <c r="C2" t="s">
        <v>148</v>
      </c>
      <c r="D2" t="s">
        <v>149</v>
      </c>
      <c r="E2" t="s">
        <v>150</v>
      </c>
      <c r="F2" t="s">
        <v>151</v>
      </c>
      <c r="G2" t="s">
        <v>152</v>
      </c>
      <c r="H2" t="s">
        <v>153</v>
      </c>
      <c r="I2" t="s">
        <v>154</v>
      </c>
      <c r="Z2" t="s">
        <v>147</v>
      </c>
      <c r="AA2" s="1" t="s">
        <v>148</v>
      </c>
      <c r="AB2" s="1" t="s">
        <v>149</v>
      </c>
      <c r="AC2" s="1" t="s">
        <v>150</v>
      </c>
      <c r="AD2" t="s">
        <v>151</v>
      </c>
      <c r="AE2" t="s">
        <v>152</v>
      </c>
      <c r="AF2" t="s">
        <v>153</v>
      </c>
      <c r="AG2" t="s">
        <v>154</v>
      </c>
      <c r="AI2" s="1" t="s">
        <v>139</v>
      </c>
    </row>
    <row r="3" spans="1:36" x14ac:dyDescent="0.25">
      <c r="A3" s="3" t="s">
        <v>114</v>
      </c>
      <c r="B3" s="60">
        <v>1</v>
      </c>
      <c r="C3" s="58">
        <v>-1</v>
      </c>
      <c r="D3" s="58">
        <v>-1</v>
      </c>
      <c r="E3" s="10">
        <v>-1</v>
      </c>
      <c r="F3" s="10">
        <f>C3*D3</f>
        <v>1</v>
      </c>
      <c r="G3" s="10">
        <f>C3*E3</f>
        <v>1</v>
      </c>
      <c r="H3" s="10">
        <f>D3*E3</f>
        <v>1</v>
      </c>
      <c r="I3" s="36">
        <f>C3*D3*E3</f>
        <v>-1</v>
      </c>
      <c r="P3" s="3" t="s">
        <v>115</v>
      </c>
      <c r="Q3" s="4">
        <v>550</v>
      </c>
      <c r="R3">
        <f>AVERAGE(Q3:Q4)</f>
        <v>577</v>
      </c>
      <c r="V3" s="63">
        <v>-1</v>
      </c>
      <c r="W3" s="64">
        <v>-1</v>
      </c>
      <c r="X3" s="47">
        <v>-1</v>
      </c>
      <c r="Z3" s="71">
        <v>1</v>
      </c>
      <c r="AA3" s="1">
        <v>-1</v>
      </c>
      <c r="AB3" s="1">
        <v>-1</v>
      </c>
      <c r="AC3" s="1">
        <v>1</v>
      </c>
      <c r="AD3" s="1">
        <f>AA3*AB3</f>
        <v>1</v>
      </c>
      <c r="AE3" s="1">
        <f>AA3*AC3</f>
        <v>-1</v>
      </c>
      <c r="AF3" s="1">
        <f>AB3*AC3</f>
        <v>-1</v>
      </c>
      <c r="AG3" s="1">
        <f>AA3*AB3*AC3</f>
        <v>1</v>
      </c>
      <c r="AI3" s="1">
        <v>1052</v>
      </c>
      <c r="AJ3">
        <v>1052</v>
      </c>
    </row>
    <row r="4" spans="1:36" x14ac:dyDescent="0.25">
      <c r="B4" s="61">
        <v>1</v>
      </c>
      <c r="C4" s="59">
        <v>-1</v>
      </c>
      <c r="D4" s="59">
        <v>-1</v>
      </c>
      <c r="E4" s="1">
        <v>-1</v>
      </c>
      <c r="F4" s="1">
        <f t="shared" ref="F4:F18" si="0">C4*D4</f>
        <v>1</v>
      </c>
      <c r="G4" s="1">
        <f t="shared" ref="G4:G18" si="1">C4*E4</f>
        <v>1</v>
      </c>
      <c r="H4" s="1">
        <f t="shared" ref="H4:H18" si="2">D4*E4</f>
        <v>1</v>
      </c>
      <c r="I4" s="37">
        <f t="shared" ref="I4:I18" si="3">C4*D4*E4</f>
        <v>-1</v>
      </c>
      <c r="Q4" s="6">
        <v>604</v>
      </c>
      <c r="V4" s="65">
        <v>1</v>
      </c>
      <c r="W4" s="66">
        <v>-1</v>
      </c>
      <c r="X4" s="49">
        <v>-1</v>
      </c>
      <c r="Z4" s="71">
        <v>1</v>
      </c>
      <c r="AA4" s="1">
        <v>-1</v>
      </c>
      <c r="AB4" s="1">
        <v>-1</v>
      </c>
      <c r="AC4" s="1">
        <v>-1</v>
      </c>
      <c r="AD4" s="1">
        <f t="shared" ref="AD4:AD18" si="4">AA4*AB4</f>
        <v>1</v>
      </c>
      <c r="AE4" s="1">
        <f t="shared" ref="AE4:AE18" si="5">AA4*AC4</f>
        <v>1</v>
      </c>
      <c r="AF4" s="1">
        <f t="shared" ref="AF4:AF18" si="6">AB4*AC4</f>
        <v>1</v>
      </c>
      <c r="AG4" s="1">
        <f t="shared" ref="AG4:AG18" si="7">AA4*AB4*AC4</f>
        <v>-1</v>
      </c>
      <c r="AI4" s="1">
        <v>550</v>
      </c>
      <c r="AJ4">
        <v>550</v>
      </c>
    </row>
    <row r="5" spans="1:36" x14ac:dyDescent="0.25">
      <c r="B5" s="61">
        <v>1</v>
      </c>
      <c r="C5" s="59">
        <v>1</v>
      </c>
      <c r="D5" s="59">
        <v>-1</v>
      </c>
      <c r="E5" s="1">
        <v>-1</v>
      </c>
      <c r="F5" s="1">
        <f t="shared" si="0"/>
        <v>-1</v>
      </c>
      <c r="G5" s="1">
        <f t="shared" si="1"/>
        <v>-1</v>
      </c>
      <c r="H5" s="1">
        <f t="shared" si="2"/>
        <v>1</v>
      </c>
      <c r="I5" s="37">
        <f t="shared" si="3"/>
        <v>1</v>
      </c>
      <c r="Q5" s="6">
        <v>669</v>
      </c>
      <c r="V5" s="65">
        <v>-1</v>
      </c>
      <c r="W5" s="66">
        <v>1</v>
      </c>
      <c r="X5" s="49">
        <v>-1</v>
      </c>
      <c r="Z5" s="71">
        <v>1</v>
      </c>
      <c r="AA5" s="1">
        <v>-1</v>
      </c>
      <c r="AB5" s="1">
        <v>1</v>
      </c>
      <c r="AC5" s="1">
        <v>-1</v>
      </c>
      <c r="AD5" s="1">
        <f t="shared" si="4"/>
        <v>-1</v>
      </c>
      <c r="AE5" s="1">
        <f t="shared" si="5"/>
        <v>1</v>
      </c>
      <c r="AF5" s="1">
        <f t="shared" si="6"/>
        <v>-1</v>
      </c>
      <c r="AG5" s="1">
        <f t="shared" si="7"/>
        <v>1</v>
      </c>
      <c r="AI5" s="1">
        <v>601</v>
      </c>
      <c r="AJ5">
        <v>601</v>
      </c>
    </row>
    <row r="6" spans="1:36" x14ac:dyDescent="0.25">
      <c r="B6" s="61">
        <v>1</v>
      </c>
      <c r="C6" s="59">
        <v>1</v>
      </c>
      <c r="D6" s="59">
        <v>-1</v>
      </c>
      <c r="E6" s="1">
        <v>-1</v>
      </c>
      <c r="F6" s="1">
        <f t="shared" si="0"/>
        <v>-1</v>
      </c>
      <c r="G6" s="1">
        <f t="shared" si="1"/>
        <v>-1</v>
      </c>
      <c r="H6" s="1">
        <f t="shared" si="2"/>
        <v>1</v>
      </c>
      <c r="I6" s="37">
        <f t="shared" si="3"/>
        <v>1</v>
      </c>
      <c r="Q6" s="6">
        <v>650</v>
      </c>
      <c r="V6" s="65">
        <v>1</v>
      </c>
      <c r="W6" s="66">
        <v>1</v>
      </c>
      <c r="X6" s="49">
        <v>-1</v>
      </c>
      <c r="Z6" s="71">
        <v>1</v>
      </c>
      <c r="AA6" s="1">
        <v>1</v>
      </c>
      <c r="AB6" s="1">
        <v>1</v>
      </c>
      <c r="AC6" s="1">
        <v>-1</v>
      </c>
      <c r="AD6" s="1">
        <f t="shared" si="4"/>
        <v>1</v>
      </c>
      <c r="AE6" s="1">
        <f t="shared" si="5"/>
        <v>-1</v>
      </c>
      <c r="AF6" s="1">
        <f t="shared" si="6"/>
        <v>-1</v>
      </c>
      <c r="AG6" s="1">
        <f t="shared" si="7"/>
        <v>-1</v>
      </c>
      <c r="AI6" s="1">
        <v>635</v>
      </c>
      <c r="AJ6">
        <v>635</v>
      </c>
    </row>
    <row r="7" spans="1:36" x14ac:dyDescent="0.25">
      <c r="B7" s="61">
        <v>1</v>
      </c>
      <c r="C7" s="59">
        <v>-1</v>
      </c>
      <c r="D7" s="59">
        <v>1</v>
      </c>
      <c r="E7" s="1">
        <v>-1</v>
      </c>
      <c r="F7" s="1">
        <f t="shared" si="0"/>
        <v>-1</v>
      </c>
      <c r="G7" s="1">
        <f t="shared" si="1"/>
        <v>1</v>
      </c>
      <c r="H7" s="1">
        <f t="shared" si="2"/>
        <v>-1</v>
      </c>
      <c r="I7" s="37">
        <f t="shared" si="3"/>
        <v>1</v>
      </c>
      <c r="Q7" s="6">
        <v>633</v>
      </c>
      <c r="V7" s="48">
        <v>-1</v>
      </c>
      <c r="W7">
        <v>-1</v>
      </c>
      <c r="X7" s="49">
        <v>1</v>
      </c>
      <c r="Z7" s="71">
        <v>1</v>
      </c>
      <c r="AA7" s="1">
        <v>1</v>
      </c>
      <c r="AB7" s="1">
        <v>-1</v>
      </c>
      <c r="AC7" s="1">
        <v>-1</v>
      </c>
      <c r="AD7" s="1">
        <f t="shared" si="4"/>
        <v>-1</v>
      </c>
      <c r="AE7" s="1">
        <f t="shared" si="5"/>
        <v>-1</v>
      </c>
      <c r="AF7" s="1">
        <f t="shared" si="6"/>
        <v>1</v>
      </c>
      <c r="AG7" s="1">
        <f t="shared" si="7"/>
        <v>1</v>
      </c>
      <c r="AI7" s="1">
        <v>669</v>
      </c>
      <c r="AJ7">
        <v>669</v>
      </c>
    </row>
    <row r="8" spans="1:36" x14ac:dyDescent="0.25">
      <c r="B8" s="61">
        <v>1</v>
      </c>
      <c r="C8" s="59">
        <v>-1</v>
      </c>
      <c r="D8" s="59">
        <v>1</v>
      </c>
      <c r="E8" s="1">
        <v>-1</v>
      </c>
      <c r="F8" s="1">
        <f t="shared" si="0"/>
        <v>-1</v>
      </c>
      <c r="G8" s="1">
        <f t="shared" si="1"/>
        <v>1</v>
      </c>
      <c r="H8" s="1">
        <f t="shared" si="2"/>
        <v>-1</v>
      </c>
      <c r="I8" s="37">
        <f t="shared" si="3"/>
        <v>1</v>
      </c>
      <c r="Q8" s="6">
        <v>601</v>
      </c>
      <c r="V8" s="48">
        <v>1</v>
      </c>
      <c r="W8">
        <v>-1</v>
      </c>
      <c r="X8" s="49">
        <v>1</v>
      </c>
      <c r="Z8" s="71">
        <v>1</v>
      </c>
      <c r="AA8" s="1">
        <v>-1</v>
      </c>
      <c r="AB8" s="1">
        <v>1</v>
      </c>
      <c r="AC8" s="1">
        <v>-1</v>
      </c>
      <c r="AD8" s="1">
        <f t="shared" si="4"/>
        <v>-1</v>
      </c>
      <c r="AE8" s="1">
        <f t="shared" si="5"/>
        <v>1</v>
      </c>
      <c r="AF8" s="1">
        <f t="shared" si="6"/>
        <v>-1</v>
      </c>
      <c r="AG8" s="1">
        <f t="shared" si="7"/>
        <v>1</v>
      </c>
      <c r="AI8" s="1">
        <v>633</v>
      </c>
      <c r="AJ8">
        <v>633</v>
      </c>
    </row>
    <row r="9" spans="1:36" x14ac:dyDescent="0.25">
      <c r="B9" s="61">
        <v>1</v>
      </c>
      <c r="C9" s="59">
        <v>1</v>
      </c>
      <c r="D9" s="59">
        <v>1</v>
      </c>
      <c r="E9" s="1">
        <v>-1</v>
      </c>
      <c r="F9" s="1">
        <f t="shared" si="0"/>
        <v>1</v>
      </c>
      <c r="G9" s="1">
        <f t="shared" si="1"/>
        <v>-1</v>
      </c>
      <c r="H9" s="1">
        <f t="shared" si="2"/>
        <v>-1</v>
      </c>
      <c r="I9" s="37">
        <f t="shared" si="3"/>
        <v>-1</v>
      </c>
      <c r="Q9" s="6">
        <v>642</v>
      </c>
      <c r="V9" s="48">
        <v>-1</v>
      </c>
      <c r="W9">
        <v>1</v>
      </c>
      <c r="X9" s="49">
        <v>1</v>
      </c>
      <c r="Z9" s="71">
        <v>1</v>
      </c>
      <c r="AA9" s="1">
        <v>1</v>
      </c>
      <c r="AB9" s="1">
        <v>-1</v>
      </c>
      <c r="AC9" s="1">
        <v>-1</v>
      </c>
      <c r="AD9" s="1">
        <f t="shared" si="4"/>
        <v>-1</v>
      </c>
      <c r="AE9" s="1">
        <f t="shared" si="5"/>
        <v>-1</v>
      </c>
      <c r="AF9" s="1">
        <f t="shared" si="6"/>
        <v>1</v>
      </c>
      <c r="AG9" s="1">
        <f t="shared" si="7"/>
        <v>1</v>
      </c>
      <c r="AI9" s="1">
        <v>650</v>
      </c>
      <c r="AJ9">
        <v>650</v>
      </c>
    </row>
    <row r="10" spans="1:36" x14ac:dyDescent="0.25">
      <c r="B10" s="61">
        <v>1</v>
      </c>
      <c r="C10" s="59">
        <v>1</v>
      </c>
      <c r="D10" s="59">
        <v>1</v>
      </c>
      <c r="E10" s="1">
        <v>-1</v>
      </c>
      <c r="F10" s="1">
        <f t="shared" si="0"/>
        <v>1</v>
      </c>
      <c r="G10" s="1">
        <f t="shared" si="1"/>
        <v>-1</v>
      </c>
      <c r="H10" s="1">
        <f t="shared" si="2"/>
        <v>-1</v>
      </c>
      <c r="I10" s="37">
        <f t="shared" si="3"/>
        <v>-1</v>
      </c>
      <c r="Q10" s="6">
        <v>635</v>
      </c>
      <c r="V10" s="50">
        <v>1</v>
      </c>
      <c r="W10" s="51">
        <v>1</v>
      </c>
      <c r="X10" s="52">
        <v>1</v>
      </c>
      <c r="Z10" s="71">
        <v>1</v>
      </c>
      <c r="AA10" s="1">
        <v>-1</v>
      </c>
      <c r="AB10" s="1">
        <v>-1</v>
      </c>
      <c r="AC10" s="1">
        <v>-1</v>
      </c>
      <c r="AD10" s="1">
        <f t="shared" si="4"/>
        <v>1</v>
      </c>
      <c r="AE10" s="1">
        <f t="shared" si="5"/>
        <v>1</v>
      </c>
      <c r="AF10" s="1">
        <f t="shared" si="6"/>
        <v>1</v>
      </c>
      <c r="AG10" s="1">
        <f t="shared" si="7"/>
        <v>-1</v>
      </c>
      <c r="AI10" s="1">
        <v>604</v>
      </c>
      <c r="AJ10">
        <v>604</v>
      </c>
    </row>
    <row r="11" spans="1:36" x14ac:dyDescent="0.25">
      <c r="B11" s="61">
        <v>1</v>
      </c>
      <c r="C11" s="1">
        <v>-1</v>
      </c>
      <c r="D11" s="1">
        <v>-1</v>
      </c>
      <c r="E11" s="1">
        <v>1</v>
      </c>
      <c r="F11" s="1">
        <f t="shared" si="0"/>
        <v>1</v>
      </c>
      <c r="G11" s="1">
        <f t="shared" si="1"/>
        <v>-1</v>
      </c>
      <c r="H11" s="1">
        <f t="shared" si="2"/>
        <v>-1</v>
      </c>
      <c r="I11" s="37">
        <f t="shared" si="3"/>
        <v>1</v>
      </c>
      <c r="Q11" s="6">
        <v>1037</v>
      </c>
      <c r="V11" s="46">
        <v>-1</v>
      </c>
      <c r="W11" s="28">
        <v>-1</v>
      </c>
      <c r="X11" s="47">
        <v>-1</v>
      </c>
      <c r="Z11" s="71">
        <v>1</v>
      </c>
      <c r="AA11" s="1">
        <v>1</v>
      </c>
      <c r="AB11" s="1">
        <v>1</v>
      </c>
      <c r="AC11" s="1">
        <v>-1</v>
      </c>
      <c r="AD11" s="1">
        <f t="shared" si="4"/>
        <v>1</v>
      </c>
      <c r="AE11" s="1">
        <f t="shared" si="5"/>
        <v>-1</v>
      </c>
      <c r="AF11" s="1">
        <f t="shared" si="6"/>
        <v>-1</v>
      </c>
      <c r="AG11" s="1">
        <f t="shared" si="7"/>
        <v>-1</v>
      </c>
      <c r="AI11" s="1">
        <v>642</v>
      </c>
      <c r="AJ11">
        <v>642</v>
      </c>
    </row>
    <row r="12" spans="1:36" x14ac:dyDescent="0.25">
      <c r="B12" s="61">
        <v>1</v>
      </c>
      <c r="C12" s="1">
        <v>-1</v>
      </c>
      <c r="D12" s="1">
        <v>-1</v>
      </c>
      <c r="E12" s="1">
        <v>1</v>
      </c>
      <c r="F12" s="1">
        <f t="shared" si="0"/>
        <v>1</v>
      </c>
      <c r="G12" s="1">
        <f t="shared" si="1"/>
        <v>-1</v>
      </c>
      <c r="H12" s="1">
        <f t="shared" si="2"/>
        <v>-1</v>
      </c>
      <c r="I12" s="37">
        <f t="shared" si="3"/>
        <v>1</v>
      </c>
      <c r="Q12" s="6">
        <v>1052</v>
      </c>
      <c r="V12" s="48">
        <v>1</v>
      </c>
      <c r="W12">
        <v>-1</v>
      </c>
      <c r="X12" s="49">
        <v>-1</v>
      </c>
      <c r="Z12" s="71">
        <v>1</v>
      </c>
      <c r="AA12" s="1">
        <v>-1</v>
      </c>
      <c r="AB12" s="1">
        <v>-1</v>
      </c>
      <c r="AC12" s="1">
        <v>1</v>
      </c>
      <c r="AD12" s="1">
        <f t="shared" si="4"/>
        <v>1</v>
      </c>
      <c r="AE12" s="1">
        <f t="shared" si="5"/>
        <v>-1</v>
      </c>
      <c r="AF12" s="1">
        <f t="shared" si="6"/>
        <v>-1</v>
      </c>
      <c r="AG12" s="1">
        <f t="shared" si="7"/>
        <v>1</v>
      </c>
      <c r="AI12" s="1">
        <v>1037</v>
      </c>
      <c r="AJ12">
        <v>1037</v>
      </c>
    </row>
    <row r="13" spans="1:36" x14ac:dyDescent="0.25">
      <c r="B13" s="61">
        <v>1</v>
      </c>
      <c r="C13" s="1">
        <v>1</v>
      </c>
      <c r="D13" s="1">
        <v>-1</v>
      </c>
      <c r="E13" s="1">
        <v>1</v>
      </c>
      <c r="F13" s="1">
        <f t="shared" si="0"/>
        <v>-1</v>
      </c>
      <c r="G13" s="1">
        <f t="shared" si="1"/>
        <v>1</v>
      </c>
      <c r="H13" s="1">
        <f t="shared" si="2"/>
        <v>-1</v>
      </c>
      <c r="I13" s="37">
        <f t="shared" si="3"/>
        <v>-1</v>
      </c>
      <c r="Q13" s="6">
        <v>749</v>
      </c>
      <c r="V13" s="48">
        <v>-1</v>
      </c>
      <c r="W13">
        <v>1</v>
      </c>
      <c r="X13" s="49">
        <v>-1</v>
      </c>
      <c r="Z13" s="71">
        <v>1</v>
      </c>
      <c r="AA13" s="1">
        <v>1</v>
      </c>
      <c r="AB13" s="1">
        <v>-1</v>
      </c>
      <c r="AC13" s="1">
        <v>1</v>
      </c>
      <c r="AD13" s="1">
        <f t="shared" si="4"/>
        <v>-1</v>
      </c>
      <c r="AE13" s="1">
        <f t="shared" si="5"/>
        <v>1</v>
      </c>
      <c r="AF13" s="1">
        <f t="shared" si="6"/>
        <v>-1</v>
      </c>
      <c r="AG13" s="1">
        <f t="shared" si="7"/>
        <v>-1</v>
      </c>
      <c r="AI13" s="1">
        <v>749</v>
      </c>
      <c r="AJ13">
        <v>749</v>
      </c>
    </row>
    <row r="14" spans="1:36" x14ac:dyDescent="0.25">
      <c r="B14" s="61">
        <v>1</v>
      </c>
      <c r="C14" s="1">
        <v>1</v>
      </c>
      <c r="D14" s="1">
        <v>-1</v>
      </c>
      <c r="E14" s="1">
        <v>1</v>
      </c>
      <c r="F14" s="1">
        <f t="shared" si="0"/>
        <v>-1</v>
      </c>
      <c r="G14" s="1">
        <f t="shared" si="1"/>
        <v>1</v>
      </c>
      <c r="H14" s="1">
        <f t="shared" si="2"/>
        <v>-1</v>
      </c>
      <c r="I14" s="37">
        <f t="shared" si="3"/>
        <v>-1</v>
      </c>
      <c r="Q14" s="6">
        <v>868</v>
      </c>
      <c r="V14" s="48">
        <v>1</v>
      </c>
      <c r="W14">
        <v>1</v>
      </c>
      <c r="X14" s="49">
        <v>-1</v>
      </c>
      <c r="Z14" s="71">
        <v>1</v>
      </c>
      <c r="AA14" s="1">
        <v>1</v>
      </c>
      <c r="AB14" s="1">
        <v>1</v>
      </c>
      <c r="AC14" s="1">
        <v>1</v>
      </c>
      <c r="AD14" s="1">
        <f t="shared" si="4"/>
        <v>1</v>
      </c>
      <c r="AE14" s="1">
        <f t="shared" si="5"/>
        <v>1</v>
      </c>
      <c r="AF14" s="1">
        <f t="shared" si="6"/>
        <v>1</v>
      </c>
      <c r="AG14" s="1">
        <f t="shared" si="7"/>
        <v>1</v>
      </c>
      <c r="AI14" s="1">
        <v>860</v>
      </c>
      <c r="AJ14">
        <v>860</v>
      </c>
    </row>
    <row r="15" spans="1:36" x14ac:dyDescent="0.25">
      <c r="B15" s="61">
        <v>1</v>
      </c>
      <c r="C15" s="1">
        <v>-1</v>
      </c>
      <c r="D15" s="1">
        <v>1</v>
      </c>
      <c r="E15" s="1">
        <v>1</v>
      </c>
      <c r="F15" s="1">
        <f t="shared" si="0"/>
        <v>-1</v>
      </c>
      <c r="G15" s="1">
        <f t="shared" si="1"/>
        <v>-1</v>
      </c>
      <c r="H15" s="1">
        <f t="shared" si="2"/>
        <v>1</v>
      </c>
      <c r="I15" s="37">
        <f t="shared" si="3"/>
        <v>-1</v>
      </c>
      <c r="Q15" s="6">
        <v>1075</v>
      </c>
      <c r="V15" s="48">
        <v>-1</v>
      </c>
      <c r="W15">
        <v>-1</v>
      </c>
      <c r="X15" s="49">
        <v>1</v>
      </c>
      <c r="Z15" s="71">
        <v>1</v>
      </c>
      <c r="AA15" s="1">
        <v>1</v>
      </c>
      <c r="AB15" s="1">
        <v>-1</v>
      </c>
      <c r="AC15" s="1">
        <v>1</v>
      </c>
      <c r="AD15" s="1">
        <f t="shared" si="4"/>
        <v>-1</v>
      </c>
      <c r="AE15" s="1">
        <f t="shared" si="5"/>
        <v>1</v>
      </c>
      <c r="AF15" s="1">
        <f t="shared" si="6"/>
        <v>-1</v>
      </c>
      <c r="AG15" s="1">
        <f t="shared" si="7"/>
        <v>-1</v>
      </c>
      <c r="AI15" s="1">
        <v>868</v>
      </c>
      <c r="AJ15">
        <v>868</v>
      </c>
    </row>
    <row r="16" spans="1:36" x14ac:dyDescent="0.25">
      <c r="B16" s="61">
        <v>1</v>
      </c>
      <c r="C16" s="1">
        <v>-1</v>
      </c>
      <c r="D16" s="1">
        <v>1</v>
      </c>
      <c r="E16" s="1">
        <v>1</v>
      </c>
      <c r="F16" s="1">
        <f t="shared" si="0"/>
        <v>-1</v>
      </c>
      <c r="G16" s="1">
        <f t="shared" si="1"/>
        <v>-1</v>
      </c>
      <c r="H16" s="1">
        <f t="shared" si="2"/>
        <v>1</v>
      </c>
      <c r="I16" s="37">
        <f t="shared" si="3"/>
        <v>-1</v>
      </c>
      <c r="Q16" s="6">
        <v>1063</v>
      </c>
      <c r="V16" s="48">
        <v>1</v>
      </c>
      <c r="W16">
        <v>-1</v>
      </c>
      <c r="X16" s="49">
        <v>1</v>
      </c>
      <c r="Z16" s="71">
        <v>1</v>
      </c>
      <c r="AA16" s="1">
        <v>-1</v>
      </c>
      <c r="AB16" s="1">
        <v>1</v>
      </c>
      <c r="AC16" s="1">
        <v>1</v>
      </c>
      <c r="AD16" s="1">
        <f t="shared" si="4"/>
        <v>-1</v>
      </c>
      <c r="AE16" s="1">
        <f t="shared" si="5"/>
        <v>-1</v>
      </c>
      <c r="AF16" s="1">
        <f t="shared" si="6"/>
        <v>1</v>
      </c>
      <c r="AG16" s="1">
        <f t="shared" si="7"/>
        <v>-1</v>
      </c>
      <c r="AI16" s="1">
        <v>1075</v>
      </c>
      <c r="AJ16">
        <v>1075</v>
      </c>
    </row>
    <row r="17" spans="1:41" x14ac:dyDescent="0.25">
      <c r="B17" s="61">
        <v>1</v>
      </c>
      <c r="C17" s="1">
        <v>1</v>
      </c>
      <c r="D17" s="1">
        <v>1</v>
      </c>
      <c r="E17" s="1">
        <v>1</v>
      </c>
      <c r="F17" s="1">
        <f t="shared" si="0"/>
        <v>1</v>
      </c>
      <c r="G17" s="1">
        <f t="shared" si="1"/>
        <v>1</v>
      </c>
      <c r="H17" s="1">
        <f t="shared" si="2"/>
        <v>1</v>
      </c>
      <c r="I17" s="37">
        <f t="shared" si="3"/>
        <v>1</v>
      </c>
      <c r="Q17" s="6">
        <v>729</v>
      </c>
      <c r="V17" s="48">
        <v>-1</v>
      </c>
      <c r="W17">
        <v>1</v>
      </c>
      <c r="X17" s="49">
        <v>1</v>
      </c>
      <c r="Z17" s="71">
        <v>1</v>
      </c>
      <c r="AA17" s="1">
        <v>-1</v>
      </c>
      <c r="AB17" s="1">
        <v>1</v>
      </c>
      <c r="AC17" s="1">
        <v>1</v>
      </c>
      <c r="AD17" s="1">
        <f t="shared" si="4"/>
        <v>-1</v>
      </c>
      <c r="AE17" s="1">
        <f t="shared" si="5"/>
        <v>-1</v>
      </c>
      <c r="AF17" s="1">
        <f t="shared" si="6"/>
        <v>1</v>
      </c>
      <c r="AG17" s="1">
        <f t="shared" si="7"/>
        <v>-1</v>
      </c>
      <c r="AI17" s="1">
        <v>1063</v>
      </c>
      <c r="AJ17">
        <v>1063</v>
      </c>
    </row>
    <row r="18" spans="1:41" x14ac:dyDescent="0.25">
      <c r="B18" s="62">
        <v>1</v>
      </c>
      <c r="C18" s="34">
        <v>1</v>
      </c>
      <c r="D18" s="34">
        <v>1</v>
      </c>
      <c r="E18" s="34">
        <v>1</v>
      </c>
      <c r="F18" s="34">
        <f t="shared" si="0"/>
        <v>1</v>
      </c>
      <c r="G18" s="34">
        <f t="shared" si="1"/>
        <v>1</v>
      </c>
      <c r="H18" s="34">
        <f t="shared" si="2"/>
        <v>1</v>
      </c>
      <c r="I18" s="38">
        <f t="shared" si="3"/>
        <v>1</v>
      </c>
      <c r="Q18" s="7">
        <v>860</v>
      </c>
      <c r="R18" t="s">
        <v>163</v>
      </c>
      <c r="V18" s="50">
        <v>1</v>
      </c>
      <c r="W18" s="51">
        <v>1</v>
      </c>
      <c r="X18" s="52">
        <v>1</v>
      </c>
      <c r="Z18" s="71">
        <v>1</v>
      </c>
      <c r="AA18" s="1">
        <v>1</v>
      </c>
      <c r="AB18" s="1">
        <v>1</v>
      </c>
      <c r="AC18" s="1">
        <v>1</v>
      </c>
      <c r="AD18" s="1">
        <f t="shared" si="4"/>
        <v>1</v>
      </c>
      <c r="AE18" s="1">
        <f t="shared" si="5"/>
        <v>1</v>
      </c>
      <c r="AF18" s="1">
        <f t="shared" si="6"/>
        <v>1</v>
      </c>
      <c r="AG18" s="1">
        <f t="shared" si="7"/>
        <v>1</v>
      </c>
      <c r="AI18" s="1">
        <v>729</v>
      </c>
      <c r="AJ18">
        <v>729</v>
      </c>
    </row>
    <row r="20" spans="1:41" x14ac:dyDescent="0.25">
      <c r="A20" s="3" t="s">
        <v>113</v>
      </c>
      <c r="B20" s="29">
        <f t="array" ref="B20:Q27">TRANSPOSE(B3:I18)</f>
        <v>1</v>
      </c>
      <c r="C20" s="10">
        <v>1</v>
      </c>
      <c r="D20" s="10">
        <v>1</v>
      </c>
      <c r="E20" s="10">
        <v>1</v>
      </c>
      <c r="F20" s="10">
        <v>1</v>
      </c>
      <c r="G20" s="10">
        <v>1</v>
      </c>
      <c r="H20" s="10">
        <v>1</v>
      </c>
      <c r="I20" s="10">
        <v>1</v>
      </c>
      <c r="J20" s="10">
        <v>1</v>
      </c>
      <c r="K20" s="10">
        <v>1</v>
      </c>
      <c r="L20" s="10">
        <v>1</v>
      </c>
      <c r="M20" s="10">
        <v>1</v>
      </c>
      <c r="N20" s="10">
        <v>1</v>
      </c>
      <c r="O20" s="10">
        <v>1</v>
      </c>
      <c r="P20" s="10">
        <v>1</v>
      </c>
      <c r="Q20" s="36">
        <v>1</v>
      </c>
      <c r="Y20" t="s">
        <v>113</v>
      </c>
      <c r="Z20" s="29">
        <f t="array" ref="Z20:AO27">TRANSPOSE(Z3:AG18)</f>
        <v>1</v>
      </c>
      <c r="AA20" s="10">
        <v>1</v>
      </c>
      <c r="AB20" s="10">
        <v>1</v>
      </c>
      <c r="AC20" s="10">
        <v>1</v>
      </c>
      <c r="AD20" s="10">
        <v>1</v>
      </c>
      <c r="AE20" s="10">
        <v>1</v>
      </c>
      <c r="AF20" s="10">
        <v>1</v>
      </c>
      <c r="AG20" s="10">
        <v>1</v>
      </c>
      <c r="AH20" s="10">
        <v>1</v>
      </c>
      <c r="AI20" s="10">
        <v>1</v>
      </c>
      <c r="AJ20" s="10">
        <v>1</v>
      </c>
      <c r="AK20" s="10">
        <v>1</v>
      </c>
      <c r="AL20" s="10">
        <v>1</v>
      </c>
      <c r="AM20" s="10">
        <v>1</v>
      </c>
      <c r="AN20" s="10">
        <v>1</v>
      </c>
      <c r="AO20" s="36">
        <v>1</v>
      </c>
    </row>
    <row r="21" spans="1:41" x14ac:dyDescent="0.25">
      <c r="B21" s="31">
        <v>-1</v>
      </c>
      <c r="C21" s="1">
        <v>-1</v>
      </c>
      <c r="D21" s="1">
        <v>1</v>
      </c>
      <c r="E21" s="1">
        <v>1</v>
      </c>
      <c r="F21" s="1">
        <v>-1</v>
      </c>
      <c r="G21" s="1">
        <v>-1</v>
      </c>
      <c r="H21" s="1">
        <v>1</v>
      </c>
      <c r="I21" s="1">
        <v>1</v>
      </c>
      <c r="J21" s="1">
        <v>-1</v>
      </c>
      <c r="K21" s="1">
        <v>-1</v>
      </c>
      <c r="L21" s="1">
        <v>1</v>
      </c>
      <c r="M21" s="1">
        <v>1</v>
      </c>
      <c r="N21" s="1">
        <v>-1</v>
      </c>
      <c r="O21" s="1">
        <v>-1</v>
      </c>
      <c r="P21" s="1">
        <v>1</v>
      </c>
      <c r="Q21" s="37">
        <v>1</v>
      </c>
      <c r="Z21" s="31">
        <v>-1</v>
      </c>
      <c r="AA21" s="1">
        <v>-1</v>
      </c>
      <c r="AB21" s="1">
        <v>-1</v>
      </c>
      <c r="AC21" s="1">
        <v>1</v>
      </c>
      <c r="AD21" s="1">
        <v>1</v>
      </c>
      <c r="AE21" s="1">
        <v>-1</v>
      </c>
      <c r="AF21" s="1">
        <v>1</v>
      </c>
      <c r="AG21" s="1">
        <v>-1</v>
      </c>
      <c r="AH21" s="1">
        <v>1</v>
      </c>
      <c r="AI21" s="1">
        <v>-1</v>
      </c>
      <c r="AJ21" s="1">
        <v>1</v>
      </c>
      <c r="AK21" s="1">
        <v>1</v>
      </c>
      <c r="AL21" s="1">
        <v>1</v>
      </c>
      <c r="AM21" s="1">
        <v>-1</v>
      </c>
      <c r="AN21" s="1">
        <v>-1</v>
      </c>
      <c r="AO21" s="37">
        <v>1</v>
      </c>
    </row>
    <row r="22" spans="1:41" x14ac:dyDescent="0.25">
      <c r="B22" s="31">
        <v>-1</v>
      </c>
      <c r="C22" s="1">
        <v>-1</v>
      </c>
      <c r="D22" s="1">
        <v>-1</v>
      </c>
      <c r="E22" s="1">
        <v>-1</v>
      </c>
      <c r="F22" s="1">
        <v>1</v>
      </c>
      <c r="G22" s="1">
        <v>1</v>
      </c>
      <c r="H22" s="1">
        <v>1</v>
      </c>
      <c r="I22" s="1">
        <v>1</v>
      </c>
      <c r="J22" s="1">
        <v>-1</v>
      </c>
      <c r="K22" s="1">
        <v>-1</v>
      </c>
      <c r="L22" s="1">
        <v>-1</v>
      </c>
      <c r="M22" s="1">
        <v>-1</v>
      </c>
      <c r="N22" s="1">
        <v>1</v>
      </c>
      <c r="O22" s="1">
        <v>1</v>
      </c>
      <c r="P22" s="1">
        <v>1</v>
      </c>
      <c r="Q22" s="37">
        <v>1</v>
      </c>
      <c r="Z22" s="31">
        <v>-1</v>
      </c>
      <c r="AA22" s="1">
        <v>-1</v>
      </c>
      <c r="AB22" s="1">
        <v>1</v>
      </c>
      <c r="AC22" s="1">
        <v>1</v>
      </c>
      <c r="AD22" s="1">
        <v>-1</v>
      </c>
      <c r="AE22" s="1">
        <v>1</v>
      </c>
      <c r="AF22" s="1">
        <v>-1</v>
      </c>
      <c r="AG22" s="1">
        <v>-1</v>
      </c>
      <c r="AH22" s="1">
        <v>1</v>
      </c>
      <c r="AI22" s="1">
        <v>-1</v>
      </c>
      <c r="AJ22" s="1">
        <v>-1</v>
      </c>
      <c r="AK22" s="1">
        <v>1</v>
      </c>
      <c r="AL22" s="1">
        <v>-1</v>
      </c>
      <c r="AM22" s="1">
        <v>1</v>
      </c>
      <c r="AN22" s="1">
        <v>1</v>
      </c>
      <c r="AO22" s="37">
        <v>1</v>
      </c>
    </row>
    <row r="23" spans="1:41" x14ac:dyDescent="0.25">
      <c r="B23" s="31">
        <v>-1</v>
      </c>
      <c r="C23" s="1">
        <v>-1</v>
      </c>
      <c r="D23" s="1">
        <v>-1</v>
      </c>
      <c r="E23" s="1">
        <v>-1</v>
      </c>
      <c r="F23" s="1">
        <v>-1</v>
      </c>
      <c r="G23" s="1">
        <v>-1</v>
      </c>
      <c r="H23" s="1">
        <v>-1</v>
      </c>
      <c r="I23" s="1">
        <v>-1</v>
      </c>
      <c r="J23" s="1">
        <v>1</v>
      </c>
      <c r="K23" s="1">
        <v>1</v>
      </c>
      <c r="L23" s="1">
        <v>1</v>
      </c>
      <c r="M23" s="1">
        <v>1</v>
      </c>
      <c r="N23" s="1">
        <v>1</v>
      </c>
      <c r="O23" s="1">
        <v>1</v>
      </c>
      <c r="P23" s="1">
        <v>1</v>
      </c>
      <c r="Q23" s="37">
        <v>1</v>
      </c>
      <c r="Z23" s="31">
        <v>1</v>
      </c>
      <c r="AA23" s="1">
        <v>-1</v>
      </c>
      <c r="AB23" s="1">
        <v>-1</v>
      </c>
      <c r="AC23" s="1">
        <v>-1</v>
      </c>
      <c r="AD23" s="1">
        <v>-1</v>
      </c>
      <c r="AE23" s="1">
        <v>-1</v>
      </c>
      <c r="AF23" s="1">
        <v>-1</v>
      </c>
      <c r="AG23" s="1">
        <v>-1</v>
      </c>
      <c r="AH23" s="1">
        <v>-1</v>
      </c>
      <c r="AI23" s="1">
        <v>1</v>
      </c>
      <c r="AJ23" s="1">
        <v>1</v>
      </c>
      <c r="AK23" s="1">
        <v>1</v>
      </c>
      <c r="AL23" s="1">
        <v>1</v>
      </c>
      <c r="AM23" s="1">
        <v>1</v>
      </c>
      <c r="AN23" s="1">
        <v>1</v>
      </c>
      <c r="AO23" s="37">
        <v>1</v>
      </c>
    </row>
    <row r="24" spans="1:41" x14ac:dyDescent="0.25">
      <c r="B24" s="31">
        <v>1</v>
      </c>
      <c r="C24" s="1">
        <v>1</v>
      </c>
      <c r="D24" s="1">
        <v>-1</v>
      </c>
      <c r="E24" s="1">
        <v>-1</v>
      </c>
      <c r="F24" s="1">
        <v>-1</v>
      </c>
      <c r="G24" s="1">
        <v>-1</v>
      </c>
      <c r="H24" s="1">
        <v>1</v>
      </c>
      <c r="I24" s="1">
        <v>1</v>
      </c>
      <c r="J24" s="1">
        <v>1</v>
      </c>
      <c r="K24" s="1">
        <v>1</v>
      </c>
      <c r="L24" s="1">
        <v>-1</v>
      </c>
      <c r="M24" s="1">
        <v>-1</v>
      </c>
      <c r="N24" s="1">
        <v>-1</v>
      </c>
      <c r="O24" s="1">
        <v>-1</v>
      </c>
      <c r="P24" s="1">
        <v>1</v>
      </c>
      <c r="Q24" s="37">
        <v>1</v>
      </c>
      <c r="Z24" s="31">
        <v>1</v>
      </c>
      <c r="AA24" s="1">
        <v>1</v>
      </c>
      <c r="AB24" s="1">
        <v>-1</v>
      </c>
      <c r="AC24" s="1">
        <v>1</v>
      </c>
      <c r="AD24" s="1">
        <v>-1</v>
      </c>
      <c r="AE24" s="1">
        <v>-1</v>
      </c>
      <c r="AF24" s="1">
        <v>-1</v>
      </c>
      <c r="AG24" s="1">
        <v>1</v>
      </c>
      <c r="AH24" s="1">
        <v>1</v>
      </c>
      <c r="AI24" s="1">
        <v>1</v>
      </c>
      <c r="AJ24" s="1">
        <v>-1</v>
      </c>
      <c r="AK24" s="1">
        <v>1</v>
      </c>
      <c r="AL24" s="1">
        <v>-1</v>
      </c>
      <c r="AM24" s="1">
        <v>-1</v>
      </c>
      <c r="AN24" s="1">
        <v>-1</v>
      </c>
      <c r="AO24" s="37">
        <v>1</v>
      </c>
    </row>
    <row r="25" spans="1:41" x14ac:dyDescent="0.25">
      <c r="B25" s="31">
        <v>1</v>
      </c>
      <c r="C25" s="1">
        <v>1</v>
      </c>
      <c r="D25" s="1">
        <v>-1</v>
      </c>
      <c r="E25" s="1">
        <v>-1</v>
      </c>
      <c r="F25" s="1">
        <v>1</v>
      </c>
      <c r="G25" s="1">
        <v>1</v>
      </c>
      <c r="H25" s="1">
        <v>-1</v>
      </c>
      <c r="I25" s="1">
        <v>-1</v>
      </c>
      <c r="J25" s="1">
        <v>-1</v>
      </c>
      <c r="K25" s="1">
        <v>-1</v>
      </c>
      <c r="L25" s="1">
        <v>1</v>
      </c>
      <c r="M25" s="1">
        <v>1</v>
      </c>
      <c r="N25" s="1">
        <v>-1</v>
      </c>
      <c r="O25" s="1">
        <v>-1</v>
      </c>
      <c r="P25" s="1">
        <v>1</v>
      </c>
      <c r="Q25" s="37">
        <v>1</v>
      </c>
      <c r="Z25" s="31">
        <v>-1</v>
      </c>
      <c r="AA25" s="1">
        <v>1</v>
      </c>
      <c r="AB25" s="1">
        <v>1</v>
      </c>
      <c r="AC25" s="1">
        <v>-1</v>
      </c>
      <c r="AD25" s="1">
        <v>-1</v>
      </c>
      <c r="AE25" s="1">
        <v>1</v>
      </c>
      <c r="AF25" s="1">
        <v>-1</v>
      </c>
      <c r="AG25" s="1">
        <v>1</v>
      </c>
      <c r="AH25" s="1">
        <v>-1</v>
      </c>
      <c r="AI25" s="1">
        <v>-1</v>
      </c>
      <c r="AJ25" s="1">
        <v>1</v>
      </c>
      <c r="AK25" s="1">
        <v>1</v>
      </c>
      <c r="AL25" s="1">
        <v>1</v>
      </c>
      <c r="AM25" s="1">
        <v>-1</v>
      </c>
      <c r="AN25" s="1">
        <v>-1</v>
      </c>
      <c r="AO25" s="37">
        <v>1</v>
      </c>
    </row>
    <row r="26" spans="1:41" x14ac:dyDescent="0.25">
      <c r="B26" s="31">
        <v>1</v>
      </c>
      <c r="C26" s="1">
        <v>1</v>
      </c>
      <c r="D26" s="1">
        <v>1</v>
      </c>
      <c r="E26" s="1">
        <v>1</v>
      </c>
      <c r="F26" s="1">
        <v>-1</v>
      </c>
      <c r="G26" s="1">
        <v>-1</v>
      </c>
      <c r="H26" s="1">
        <v>-1</v>
      </c>
      <c r="I26" s="1">
        <v>-1</v>
      </c>
      <c r="J26" s="1">
        <v>-1</v>
      </c>
      <c r="K26" s="1">
        <v>-1</v>
      </c>
      <c r="L26" s="1">
        <v>-1</v>
      </c>
      <c r="M26" s="1">
        <v>-1</v>
      </c>
      <c r="N26" s="1">
        <v>1</v>
      </c>
      <c r="O26" s="1">
        <v>1</v>
      </c>
      <c r="P26" s="1">
        <v>1</v>
      </c>
      <c r="Q26" s="37">
        <v>1</v>
      </c>
      <c r="Z26" s="31">
        <v>-1</v>
      </c>
      <c r="AA26" s="1">
        <v>1</v>
      </c>
      <c r="AB26" s="1">
        <v>-1</v>
      </c>
      <c r="AC26" s="1">
        <v>-1</v>
      </c>
      <c r="AD26" s="1">
        <v>1</v>
      </c>
      <c r="AE26" s="1">
        <v>-1</v>
      </c>
      <c r="AF26" s="1">
        <v>1</v>
      </c>
      <c r="AG26" s="1">
        <v>1</v>
      </c>
      <c r="AH26" s="1">
        <v>-1</v>
      </c>
      <c r="AI26" s="1">
        <v>-1</v>
      </c>
      <c r="AJ26" s="1">
        <v>-1</v>
      </c>
      <c r="AK26" s="1">
        <v>1</v>
      </c>
      <c r="AL26" s="1">
        <v>-1</v>
      </c>
      <c r="AM26" s="1">
        <v>1</v>
      </c>
      <c r="AN26" s="1">
        <v>1</v>
      </c>
      <c r="AO26" s="37">
        <v>1</v>
      </c>
    </row>
    <row r="27" spans="1:41" x14ac:dyDescent="0.25">
      <c r="B27" s="33">
        <v>-1</v>
      </c>
      <c r="C27" s="34">
        <v>-1</v>
      </c>
      <c r="D27" s="34">
        <v>1</v>
      </c>
      <c r="E27" s="34">
        <v>1</v>
      </c>
      <c r="F27" s="34">
        <v>1</v>
      </c>
      <c r="G27" s="34">
        <v>1</v>
      </c>
      <c r="H27" s="34">
        <v>-1</v>
      </c>
      <c r="I27" s="34">
        <v>-1</v>
      </c>
      <c r="J27" s="34">
        <v>1</v>
      </c>
      <c r="K27" s="34">
        <v>1</v>
      </c>
      <c r="L27" s="34">
        <v>-1</v>
      </c>
      <c r="M27" s="34">
        <v>-1</v>
      </c>
      <c r="N27" s="34">
        <v>-1</v>
      </c>
      <c r="O27" s="34">
        <v>-1</v>
      </c>
      <c r="P27" s="34">
        <v>1</v>
      </c>
      <c r="Q27" s="38">
        <v>1</v>
      </c>
      <c r="R27" t="s">
        <v>162</v>
      </c>
      <c r="Z27" s="33">
        <v>1</v>
      </c>
      <c r="AA27" s="34">
        <v>-1</v>
      </c>
      <c r="AB27" s="34">
        <v>1</v>
      </c>
      <c r="AC27" s="34">
        <v>-1</v>
      </c>
      <c r="AD27" s="34">
        <v>1</v>
      </c>
      <c r="AE27" s="34">
        <v>1</v>
      </c>
      <c r="AF27" s="34">
        <v>1</v>
      </c>
      <c r="AG27" s="34">
        <v>-1</v>
      </c>
      <c r="AH27" s="34">
        <v>-1</v>
      </c>
      <c r="AI27" s="34">
        <v>1</v>
      </c>
      <c r="AJ27" s="34">
        <v>-1</v>
      </c>
      <c r="AK27" s="34">
        <v>1</v>
      </c>
      <c r="AL27" s="34">
        <v>-1</v>
      </c>
      <c r="AM27" s="34">
        <v>-1</v>
      </c>
      <c r="AN27" s="34">
        <v>-1</v>
      </c>
      <c r="AO27" s="38">
        <v>1</v>
      </c>
    </row>
    <row r="29" spans="1:41" ht="18" x14ac:dyDescent="0.35">
      <c r="A29" s="3" t="s">
        <v>116</v>
      </c>
      <c r="B29" s="39">
        <f t="array" ref="B29:B36">MMULT(B20:Q27,Q3:Q18)</f>
        <v>12417</v>
      </c>
      <c r="D29" s="3" t="s">
        <v>117</v>
      </c>
      <c r="E29" s="39">
        <f>B29/16</f>
        <v>776.0625</v>
      </c>
      <c r="G29" s="42" t="s">
        <v>118</v>
      </c>
      <c r="H29">
        <f>E29</f>
        <v>776.0625</v>
      </c>
    </row>
    <row r="30" spans="1:41" ht="18" x14ac:dyDescent="0.35">
      <c r="B30" s="40">
        <v>-813</v>
      </c>
      <c r="E30" s="39">
        <f t="shared" ref="E30:E36" si="8">B30/16</f>
        <v>-50.8125</v>
      </c>
      <c r="G30" s="42" t="s">
        <v>119</v>
      </c>
      <c r="H30">
        <f t="shared" ref="H30:H36" si="9">E30</f>
        <v>-50.8125</v>
      </c>
      <c r="Y30" s="3" t="s">
        <v>116</v>
      </c>
      <c r="Z30" s="39">
        <f t="array" ref="Z30:Z37">MMULT(Z20:AO27,AI3:AI18)</f>
        <v>12417</v>
      </c>
      <c r="AB30" s="26">
        <f>Z30/16</f>
        <v>776.0625</v>
      </c>
    </row>
    <row r="31" spans="1:41" ht="18" x14ac:dyDescent="0.35">
      <c r="B31" s="40">
        <v>59</v>
      </c>
      <c r="E31" s="39">
        <f t="shared" si="8"/>
        <v>3.6875</v>
      </c>
      <c r="G31" s="42" t="s">
        <v>120</v>
      </c>
      <c r="H31">
        <f t="shared" si="9"/>
        <v>3.6875</v>
      </c>
      <c r="Z31" s="40">
        <v>-813</v>
      </c>
      <c r="AB31" s="26">
        <f t="shared" ref="AB31:AB37" si="10">Z31/16</f>
        <v>-50.8125</v>
      </c>
    </row>
    <row r="32" spans="1:41" ht="18" x14ac:dyDescent="0.35">
      <c r="B32" s="40">
        <v>2449</v>
      </c>
      <c r="E32" s="39">
        <f t="shared" si="8"/>
        <v>153.0625</v>
      </c>
      <c r="G32" s="42" t="s">
        <v>122</v>
      </c>
      <c r="H32">
        <f t="shared" si="9"/>
        <v>153.0625</v>
      </c>
      <c r="Z32" s="40">
        <v>59</v>
      </c>
      <c r="AB32" s="26">
        <f t="shared" si="10"/>
        <v>3.6875</v>
      </c>
    </row>
    <row r="33" spans="1:28" ht="18" x14ac:dyDescent="0.35">
      <c r="B33" s="40">
        <v>-199</v>
      </c>
      <c r="E33" s="39">
        <f t="shared" si="8"/>
        <v>-12.4375</v>
      </c>
      <c r="G33" s="42" t="s">
        <v>121</v>
      </c>
      <c r="H33">
        <f t="shared" si="9"/>
        <v>-12.4375</v>
      </c>
      <c r="Z33" s="40">
        <v>2449</v>
      </c>
      <c r="AB33" s="26">
        <f t="shared" si="10"/>
        <v>153.0625</v>
      </c>
    </row>
    <row r="34" spans="1:28" ht="18" x14ac:dyDescent="0.35">
      <c r="B34" s="40">
        <v>-1229</v>
      </c>
      <c r="E34" s="39">
        <f t="shared" si="8"/>
        <v>-76.8125</v>
      </c>
      <c r="G34" s="42" t="s">
        <v>123</v>
      </c>
      <c r="H34">
        <f t="shared" si="9"/>
        <v>-76.8125</v>
      </c>
      <c r="Z34" s="40">
        <v>-199</v>
      </c>
      <c r="AB34" s="26">
        <f t="shared" si="10"/>
        <v>-12.4375</v>
      </c>
    </row>
    <row r="35" spans="1:28" ht="18" x14ac:dyDescent="0.35">
      <c r="B35" s="40">
        <v>-17</v>
      </c>
      <c r="E35" s="39">
        <f t="shared" si="8"/>
        <v>-1.0625</v>
      </c>
      <c r="G35" s="42" t="s">
        <v>124</v>
      </c>
      <c r="H35">
        <f t="shared" si="9"/>
        <v>-1.0625</v>
      </c>
      <c r="Z35" s="40">
        <v>-1229</v>
      </c>
      <c r="AB35" s="26">
        <f t="shared" si="10"/>
        <v>-76.8125</v>
      </c>
    </row>
    <row r="36" spans="1:28" ht="18" x14ac:dyDescent="0.35">
      <c r="B36" s="41">
        <v>45</v>
      </c>
      <c r="E36" s="39">
        <f t="shared" si="8"/>
        <v>2.8125</v>
      </c>
      <c r="G36" s="42" t="s">
        <v>126</v>
      </c>
      <c r="H36">
        <f t="shared" si="9"/>
        <v>2.8125</v>
      </c>
      <c r="Z36" s="40">
        <v>-17</v>
      </c>
      <c r="AB36" s="26">
        <f t="shared" si="10"/>
        <v>-1.0625</v>
      </c>
    </row>
    <row r="37" spans="1:28" x14ac:dyDescent="0.25">
      <c r="Z37" s="41">
        <v>45</v>
      </c>
      <c r="AB37" s="26">
        <f t="shared" si="10"/>
        <v>2.8125</v>
      </c>
    </row>
    <row r="39" spans="1:28" x14ac:dyDescent="0.25">
      <c r="A39" t="s">
        <v>140</v>
      </c>
    </row>
    <row r="40" spans="1:28" x14ac:dyDescent="0.25">
      <c r="A40" s="3" t="s">
        <v>114</v>
      </c>
      <c r="B40" s="29">
        <v>1</v>
      </c>
      <c r="C40" s="10">
        <v>-1</v>
      </c>
      <c r="D40" s="10">
        <v>-1</v>
      </c>
      <c r="E40" s="10">
        <v>-1</v>
      </c>
      <c r="F40" s="10">
        <f>C40*D40</f>
        <v>1</v>
      </c>
      <c r="G40" s="10">
        <f>C40*E40</f>
        <v>1</v>
      </c>
      <c r="H40" s="10">
        <f>D40*E40</f>
        <v>1</v>
      </c>
      <c r="I40" s="36">
        <f>C40*D40*E40</f>
        <v>-1</v>
      </c>
      <c r="P40" s="3" t="s">
        <v>115</v>
      </c>
      <c r="Q40" s="53">
        <v>577</v>
      </c>
    </row>
    <row r="41" spans="1:28" x14ac:dyDescent="0.25">
      <c r="B41" s="31">
        <v>1</v>
      </c>
      <c r="C41" s="1">
        <v>1</v>
      </c>
      <c r="D41" s="1">
        <v>-1</v>
      </c>
      <c r="E41" s="1">
        <v>-1</v>
      </c>
      <c r="F41" s="1">
        <f t="shared" ref="F41:F47" si="11">C41*D41</f>
        <v>-1</v>
      </c>
      <c r="G41" s="1">
        <f t="shared" ref="G41:G47" si="12">C41*E41</f>
        <v>-1</v>
      </c>
      <c r="H41" s="1">
        <f t="shared" ref="H41:H47" si="13">D41*E41</f>
        <v>1</v>
      </c>
      <c r="I41" s="37">
        <f t="shared" ref="I41:I47" si="14">C41*D41*E41</f>
        <v>1</v>
      </c>
      <c r="Q41" s="54">
        <v>659.5</v>
      </c>
    </row>
    <row r="42" spans="1:28" x14ac:dyDescent="0.25">
      <c r="B42" s="31">
        <v>1</v>
      </c>
      <c r="C42" s="1">
        <v>-1</v>
      </c>
      <c r="D42" s="1">
        <v>1</v>
      </c>
      <c r="E42" s="1">
        <v>-1</v>
      </c>
      <c r="F42" s="1">
        <f t="shared" si="11"/>
        <v>-1</v>
      </c>
      <c r="G42" s="1">
        <f t="shared" si="12"/>
        <v>1</v>
      </c>
      <c r="H42" s="1">
        <f t="shared" si="13"/>
        <v>-1</v>
      </c>
      <c r="I42" s="37">
        <f t="shared" si="14"/>
        <v>1</v>
      </c>
      <c r="Q42" s="54">
        <v>617</v>
      </c>
    </row>
    <row r="43" spans="1:28" x14ac:dyDescent="0.25">
      <c r="B43" s="31">
        <v>1</v>
      </c>
      <c r="C43" s="1">
        <v>1</v>
      </c>
      <c r="D43" s="1">
        <v>1</v>
      </c>
      <c r="E43" s="1">
        <v>-1</v>
      </c>
      <c r="F43" s="1">
        <f t="shared" si="11"/>
        <v>1</v>
      </c>
      <c r="G43" s="1">
        <f t="shared" si="12"/>
        <v>-1</v>
      </c>
      <c r="H43" s="1">
        <f t="shared" si="13"/>
        <v>-1</v>
      </c>
      <c r="I43" s="37">
        <f t="shared" si="14"/>
        <v>-1</v>
      </c>
      <c r="Q43" s="54">
        <v>638.5</v>
      </c>
    </row>
    <row r="44" spans="1:28" x14ac:dyDescent="0.25">
      <c r="B44" s="31">
        <v>1</v>
      </c>
      <c r="C44" s="1">
        <v>-1</v>
      </c>
      <c r="D44" s="1">
        <v>-1</v>
      </c>
      <c r="E44" s="1">
        <v>1</v>
      </c>
      <c r="F44" s="1">
        <f t="shared" si="11"/>
        <v>1</v>
      </c>
      <c r="G44" s="1">
        <f t="shared" si="12"/>
        <v>-1</v>
      </c>
      <c r="H44" s="1">
        <f t="shared" si="13"/>
        <v>-1</v>
      </c>
      <c r="I44" s="37">
        <f t="shared" si="14"/>
        <v>1</v>
      </c>
      <c r="Q44" s="54">
        <v>1044.5</v>
      </c>
    </row>
    <row r="45" spans="1:28" x14ac:dyDescent="0.25">
      <c r="B45" s="31">
        <v>1</v>
      </c>
      <c r="C45" s="1">
        <v>1</v>
      </c>
      <c r="D45" s="1">
        <v>-1</v>
      </c>
      <c r="E45" s="1">
        <v>1</v>
      </c>
      <c r="F45" s="1">
        <f t="shared" si="11"/>
        <v>-1</v>
      </c>
      <c r="G45" s="1">
        <f t="shared" si="12"/>
        <v>1</v>
      </c>
      <c r="H45" s="1">
        <f t="shared" si="13"/>
        <v>-1</v>
      </c>
      <c r="I45" s="37">
        <f t="shared" si="14"/>
        <v>-1</v>
      </c>
      <c r="Q45" s="54">
        <v>808.5</v>
      </c>
    </row>
    <row r="46" spans="1:28" x14ac:dyDescent="0.25">
      <c r="B46" s="31">
        <v>1</v>
      </c>
      <c r="C46" s="1">
        <v>-1</v>
      </c>
      <c r="D46" s="1">
        <v>1</v>
      </c>
      <c r="E46" s="1">
        <v>1</v>
      </c>
      <c r="F46" s="1">
        <f t="shared" si="11"/>
        <v>-1</v>
      </c>
      <c r="G46" s="1">
        <f t="shared" si="12"/>
        <v>-1</v>
      </c>
      <c r="H46" s="1">
        <f t="shared" si="13"/>
        <v>1</v>
      </c>
      <c r="I46" s="37">
        <f t="shared" si="14"/>
        <v>-1</v>
      </c>
      <c r="Q46" s="54">
        <v>1069</v>
      </c>
    </row>
    <row r="47" spans="1:28" x14ac:dyDescent="0.25">
      <c r="B47" s="33">
        <v>1</v>
      </c>
      <c r="C47" s="34">
        <v>1</v>
      </c>
      <c r="D47" s="34">
        <v>1</v>
      </c>
      <c r="E47" s="34">
        <v>1</v>
      </c>
      <c r="F47" s="34">
        <f t="shared" si="11"/>
        <v>1</v>
      </c>
      <c r="G47" s="34">
        <f t="shared" si="12"/>
        <v>1</v>
      </c>
      <c r="H47" s="34">
        <f t="shared" si="13"/>
        <v>1</v>
      </c>
      <c r="I47" s="38">
        <f t="shared" si="14"/>
        <v>1</v>
      </c>
      <c r="Q47" s="55">
        <v>794.5</v>
      </c>
      <c r="R47" t="s">
        <v>165</v>
      </c>
    </row>
    <row r="48" spans="1:28" x14ac:dyDescent="0.25">
      <c r="C48" s="1"/>
      <c r="D48" s="1"/>
    </row>
    <row r="49" spans="1:10" x14ac:dyDescent="0.25">
      <c r="A49" s="3" t="s">
        <v>113</v>
      </c>
      <c r="B49" s="29">
        <v>1</v>
      </c>
      <c r="C49" s="10">
        <v>1</v>
      </c>
      <c r="D49" s="10">
        <v>1</v>
      </c>
      <c r="E49" s="10">
        <v>1</v>
      </c>
      <c r="F49" s="10">
        <v>1</v>
      </c>
      <c r="G49" s="10">
        <v>1</v>
      </c>
      <c r="H49" s="10">
        <v>1</v>
      </c>
      <c r="I49" s="36">
        <v>1</v>
      </c>
    </row>
    <row r="50" spans="1:10" x14ac:dyDescent="0.25">
      <c r="B50" s="31">
        <v>-1</v>
      </c>
      <c r="C50" s="1">
        <v>1</v>
      </c>
      <c r="D50" s="1">
        <v>-1</v>
      </c>
      <c r="E50" s="1">
        <v>1</v>
      </c>
      <c r="F50" s="1">
        <v>-1</v>
      </c>
      <c r="G50" s="1">
        <v>1</v>
      </c>
      <c r="H50" s="1">
        <v>-1</v>
      </c>
      <c r="I50" s="37">
        <v>1</v>
      </c>
    </row>
    <row r="51" spans="1:10" x14ac:dyDescent="0.25">
      <c r="B51" s="31">
        <v>-1</v>
      </c>
      <c r="C51" s="1">
        <v>-1</v>
      </c>
      <c r="D51" s="1">
        <v>1</v>
      </c>
      <c r="E51" s="1">
        <v>1</v>
      </c>
      <c r="F51" s="1">
        <v>-1</v>
      </c>
      <c r="G51" s="1">
        <v>-1</v>
      </c>
      <c r="H51" s="1">
        <v>1</v>
      </c>
      <c r="I51" s="37">
        <v>1</v>
      </c>
    </row>
    <row r="52" spans="1:10" x14ac:dyDescent="0.25">
      <c r="B52" s="31">
        <v>-1</v>
      </c>
      <c r="C52" s="1">
        <v>-1</v>
      </c>
      <c r="D52" s="1">
        <v>-1</v>
      </c>
      <c r="E52" s="1">
        <v>-1</v>
      </c>
      <c r="F52" s="1">
        <v>1</v>
      </c>
      <c r="G52" s="1">
        <v>1</v>
      </c>
      <c r="H52" s="1">
        <v>1</v>
      </c>
      <c r="I52" s="37">
        <v>1</v>
      </c>
    </row>
    <row r="53" spans="1:10" x14ac:dyDescent="0.25">
      <c r="B53" s="31">
        <f t="shared" ref="B53:I53" si="15">B50*B51</f>
        <v>1</v>
      </c>
      <c r="C53" s="1">
        <f t="shared" si="15"/>
        <v>-1</v>
      </c>
      <c r="D53" s="1">
        <f t="shared" si="15"/>
        <v>-1</v>
      </c>
      <c r="E53" s="1">
        <f t="shared" si="15"/>
        <v>1</v>
      </c>
      <c r="F53" s="1">
        <f t="shared" si="15"/>
        <v>1</v>
      </c>
      <c r="G53" s="1">
        <f t="shared" si="15"/>
        <v>-1</v>
      </c>
      <c r="H53" s="1">
        <f t="shared" si="15"/>
        <v>-1</v>
      </c>
      <c r="I53" s="37">
        <f t="shared" si="15"/>
        <v>1</v>
      </c>
    </row>
    <row r="54" spans="1:10" x14ac:dyDescent="0.25">
      <c r="B54" s="31">
        <f t="shared" ref="B54:I54" si="16">B50*B52</f>
        <v>1</v>
      </c>
      <c r="C54" s="1">
        <f t="shared" si="16"/>
        <v>-1</v>
      </c>
      <c r="D54" s="1">
        <f t="shared" si="16"/>
        <v>1</v>
      </c>
      <c r="E54" s="1">
        <f t="shared" si="16"/>
        <v>-1</v>
      </c>
      <c r="F54" s="1">
        <f t="shared" si="16"/>
        <v>-1</v>
      </c>
      <c r="G54" s="1">
        <f t="shared" si="16"/>
        <v>1</v>
      </c>
      <c r="H54" s="1">
        <f t="shared" si="16"/>
        <v>-1</v>
      </c>
      <c r="I54" s="37">
        <f t="shared" si="16"/>
        <v>1</v>
      </c>
    </row>
    <row r="55" spans="1:10" x14ac:dyDescent="0.25">
      <c r="B55" s="31">
        <f t="shared" ref="B55:I55" si="17">B51*B52</f>
        <v>1</v>
      </c>
      <c r="C55" s="1">
        <f t="shared" si="17"/>
        <v>1</v>
      </c>
      <c r="D55" s="1">
        <f t="shared" si="17"/>
        <v>-1</v>
      </c>
      <c r="E55" s="1">
        <f t="shared" si="17"/>
        <v>-1</v>
      </c>
      <c r="F55" s="1">
        <f t="shared" si="17"/>
        <v>-1</v>
      </c>
      <c r="G55" s="1">
        <f t="shared" si="17"/>
        <v>-1</v>
      </c>
      <c r="H55" s="1">
        <f t="shared" si="17"/>
        <v>1</v>
      </c>
      <c r="I55" s="37">
        <f t="shared" si="17"/>
        <v>1</v>
      </c>
    </row>
    <row r="56" spans="1:10" x14ac:dyDescent="0.25">
      <c r="B56" s="33">
        <f t="shared" ref="B56:I56" si="18">B50*B51*B52</f>
        <v>-1</v>
      </c>
      <c r="C56" s="34">
        <f t="shared" si="18"/>
        <v>1</v>
      </c>
      <c r="D56" s="34">
        <f t="shared" si="18"/>
        <v>1</v>
      </c>
      <c r="E56" s="34">
        <f t="shared" si="18"/>
        <v>-1</v>
      </c>
      <c r="F56" s="34">
        <f t="shared" si="18"/>
        <v>1</v>
      </c>
      <c r="G56" s="34">
        <f t="shared" si="18"/>
        <v>-1</v>
      </c>
      <c r="H56" s="34">
        <f t="shared" si="18"/>
        <v>-1</v>
      </c>
      <c r="I56" s="38">
        <f t="shared" si="18"/>
        <v>1</v>
      </c>
      <c r="J56" t="s">
        <v>164</v>
      </c>
    </row>
    <row r="58" spans="1:10" ht="18" x14ac:dyDescent="0.35">
      <c r="A58" s="3" t="s">
        <v>116</v>
      </c>
      <c r="B58" s="39">
        <f t="array" ref="B58:B65">MMULT(B49:I56,Q40:Q47)</f>
        <v>6208.5</v>
      </c>
      <c r="D58" s="3" t="s">
        <v>117</v>
      </c>
      <c r="E58" s="39">
        <f>1/8*B58</f>
        <v>776.0625</v>
      </c>
      <c r="G58" s="42" t="s">
        <v>118</v>
      </c>
      <c r="H58">
        <f>E58</f>
        <v>776.0625</v>
      </c>
    </row>
    <row r="59" spans="1:10" ht="18" x14ac:dyDescent="0.35">
      <c r="B59" s="40">
        <v>-406.5</v>
      </c>
      <c r="E59" s="40">
        <f t="shared" ref="E59:E65" si="19">1/8*B59</f>
        <v>-50.8125</v>
      </c>
      <c r="G59" s="42" t="s">
        <v>119</v>
      </c>
      <c r="H59">
        <f t="shared" ref="H59:H65" si="20">E59</f>
        <v>-50.8125</v>
      </c>
    </row>
    <row r="60" spans="1:10" ht="18" x14ac:dyDescent="0.35">
      <c r="B60" s="40">
        <v>29.5</v>
      </c>
      <c r="E60" s="40">
        <f t="shared" si="19"/>
        <v>3.6875</v>
      </c>
      <c r="G60" s="42" t="s">
        <v>120</v>
      </c>
      <c r="H60">
        <f t="shared" si="20"/>
        <v>3.6875</v>
      </c>
    </row>
    <row r="61" spans="1:10" ht="18" x14ac:dyDescent="0.35">
      <c r="B61" s="40">
        <v>1224.5</v>
      </c>
      <c r="E61" s="40">
        <f t="shared" si="19"/>
        <v>153.0625</v>
      </c>
      <c r="G61" s="42" t="s">
        <v>122</v>
      </c>
      <c r="H61">
        <f t="shared" si="20"/>
        <v>153.0625</v>
      </c>
    </row>
    <row r="62" spans="1:10" ht="18" x14ac:dyDescent="0.35">
      <c r="B62" s="40">
        <v>-99.5</v>
      </c>
      <c r="E62" s="40">
        <f t="shared" si="19"/>
        <v>-12.4375</v>
      </c>
      <c r="G62" s="42" t="s">
        <v>121</v>
      </c>
      <c r="H62">
        <f t="shared" si="20"/>
        <v>-12.4375</v>
      </c>
    </row>
    <row r="63" spans="1:10" ht="18" x14ac:dyDescent="0.35">
      <c r="B63" s="40">
        <v>-614.5</v>
      </c>
      <c r="E63" s="40">
        <f t="shared" si="19"/>
        <v>-76.8125</v>
      </c>
      <c r="G63" s="42" t="s">
        <v>123</v>
      </c>
      <c r="H63">
        <f t="shared" si="20"/>
        <v>-76.8125</v>
      </c>
    </row>
    <row r="64" spans="1:10" ht="18" x14ac:dyDescent="0.35">
      <c r="B64" s="40">
        <v>-8.5</v>
      </c>
      <c r="E64" s="40">
        <f t="shared" si="19"/>
        <v>-1.0625</v>
      </c>
      <c r="G64" s="42" t="s">
        <v>124</v>
      </c>
      <c r="H64">
        <f t="shared" si="20"/>
        <v>-1.0625</v>
      </c>
    </row>
    <row r="65" spans="2:8" ht="18" x14ac:dyDescent="0.35">
      <c r="B65" s="41">
        <v>22.5</v>
      </c>
      <c r="E65" s="41">
        <f t="shared" si="19"/>
        <v>2.8125</v>
      </c>
      <c r="G65" s="42" t="s">
        <v>126</v>
      </c>
      <c r="H65">
        <f t="shared" si="20"/>
        <v>2.8125</v>
      </c>
    </row>
  </sheetData>
  <pageMargins left="0.7" right="0.7" top="0.75" bottom="0.75" header="0.3" footer="0.3"/>
  <pageSetup paperSize="9" scale="61" orientation="landscape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N93"/>
  <sheetViews>
    <sheetView topLeftCell="D1" zoomScaleNormal="100" workbookViewId="0">
      <selection activeCell="V24" sqref="V24"/>
    </sheetView>
  </sheetViews>
  <sheetFormatPr defaultRowHeight="15" x14ac:dyDescent="0.25"/>
  <cols>
    <col min="1" max="1" width="11.42578125" customWidth="1"/>
    <col min="2" max="2" width="11" customWidth="1"/>
    <col min="3" max="3" width="14.5703125" bestFit="1" customWidth="1"/>
    <col min="4" max="4" width="12.85546875" bestFit="1" customWidth="1"/>
    <col min="5" max="5" width="12.28515625" bestFit="1" customWidth="1"/>
    <col min="6" max="6" width="28.7109375" bestFit="1" customWidth="1"/>
    <col min="7" max="7" width="12.85546875" bestFit="1" customWidth="1"/>
    <col min="9" max="9" width="12.85546875" customWidth="1"/>
    <col min="10" max="10" width="23.28515625" bestFit="1" customWidth="1"/>
    <col min="11" max="11" width="13.42578125" bestFit="1" customWidth="1"/>
    <col min="12" max="12" width="17" bestFit="1" customWidth="1"/>
    <col min="13" max="13" width="16.28515625" bestFit="1" customWidth="1"/>
    <col min="14" max="15" width="12.85546875" bestFit="1" customWidth="1"/>
    <col min="16" max="16" width="22" bestFit="1" customWidth="1"/>
  </cols>
  <sheetData>
    <row r="1" spans="1:28" x14ac:dyDescent="0.25">
      <c r="O1" s="1" t="s">
        <v>0</v>
      </c>
      <c r="P1" s="1" t="s">
        <v>1</v>
      </c>
    </row>
    <row r="2" spans="1:28" x14ac:dyDescent="0.25">
      <c r="A2" s="1" t="s">
        <v>2</v>
      </c>
      <c r="B2" s="27" t="s">
        <v>3</v>
      </c>
      <c r="C2" s="1" t="s">
        <v>69</v>
      </c>
      <c r="D2" s="27" t="s">
        <v>4</v>
      </c>
      <c r="E2" s="1" t="s">
        <v>70</v>
      </c>
      <c r="F2" s="27" t="s">
        <v>71</v>
      </c>
      <c r="G2" s="27" t="s">
        <v>125</v>
      </c>
      <c r="H2" s="1" t="s">
        <v>5</v>
      </c>
      <c r="K2" s="2"/>
      <c r="L2" s="3" t="s">
        <v>75</v>
      </c>
      <c r="M2" t="s">
        <v>74</v>
      </c>
      <c r="O2" s="1">
        <f>(0.8+1.2)/2</f>
        <v>1</v>
      </c>
      <c r="P2" s="1">
        <f>(1.2-0.8)/2</f>
        <v>0.19999999999999996</v>
      </c>
      <c r="R2" t="s">
        <v>134</v>
      </c>
      <c r="W2" s="5"/>
      <c r="Z2" s="27"/>
      <c r="AA2" s="27"/>
      <c r="AB2" s="27"/>
    </row>
    <row r="3" spans="1:28" x14ac:dyDescent="0.25">
      <c r="A3" s="1">
        <v>-1</v>
      </c>
      <c r="B3" s="1">
        <v>-1</v>
      </c>
      <c r="C3" s="1">
        <v>-1</v>
      </c>
      <c r="D3" s="1">
        <f>A3*B3</f>
        <v>1</v>
      </c>
      <c r="E3" s="1">
        <f>A3*C3</f>
        <v>1</v>
      </c>
      <c r="F3" s="1">
        <f>B3*C3</f>
        <v>1</v>
      </c>
      <c r="G3" s="1">
        <f>A3*B3*C3</f>
        <v>-1</v>
      </c>
      <c r="H3" s="9">
        <v>550</v>
      </c>
      <c r="L3" s="3" t="s">
        <v>76</v>
      </c>
      <c r="M3" t="s">
        <v>79</v>
      </c>
      <c r="O3" s="1">
        <f>(125+200)/2</f>
        <v>162.5</v>
      </c>
      <c r="P3" s="1">
        <f>(200-125)/2</f>
        <v>37.5</v>
      </c>
      <c r="R3">
        <v>-1</v>
      </c>
      <c r="S3">
        <f>AVERAGE(H3:H4,H7:H8,H11:H12,H15:H16)</f>
        <v>826.875</v>
      </c>
      <c r="W3" s="5"/>
      <c r="Z3" s="27"/>
      <c r="AA3" s="27"/>
      <c r="AB3" s="27"/>
    </row>
    <row r="4" spans="1:28" x14ac:dyDescent="0.25">
      <c r="A4" s="1">
        <v>-1</v>
      </c>
      <c r="B4" s="1">
        <v>-1</v>
      </c>
      <c r="C4" s="1">
        <v>-1</v>
      </c>
      <c r="D4" s="1">
        <f t="shared" ref="D4:D18" si="0">A4*B4</f>
        <v>1</v>
      </c>
      <c r="E4" s="1">
        <f t="shared" ref="E4:E18" si="1">A4*C4</f>
        <v>1</v>
      </c>
      <c r="F4" s="1">
        <f t="shared" ref="F4:F18" si="2">B4*C4</f>
        <v>1</v>
      </c>
      <c r="G4" s="1">
        <f t="shared" ref="G4:G18" si="3">A4*B4*C4</f>
        <v>-1</v>
      </c>
      <c r="H4" s="9">
        <v>604</v>
      </c>
      <c r="J4" s="1"/>
      <c r="L4" s="3" t="s">
        <v>77</v>
      </c>
      <c r="M4" t="s">
        <v>78</v>
      </c>
      <c r="O4" s="1">
        <f>(275+325)/2</f>
        <v>300</v>
      </c>
      <c r="P4" s="1">
        <f>(325-275)/2</f>
        <v>25</v>
      </c>
      <c r="R4">
        <v>1</v>
      </c>
      <c r="S4">
        <f>AVERAGE(H5:H6,H9:H10,H13:H14,H17:H18)</f>
        <v>725.25</v>
      </c>
      <c r="Z4" s="27"/>
      <c r="AA4" s="27"/>
      <c r="AB4" s="27"/>
    </row>
    <row r="5" spans="1:28" x14ac:dyDescent="0.25">
      <c r="A5" s="1">
        <v>1</v>
      </c>
      <c r="B5" s="1">
        <v>-1</v>
      </c>
      <c r="C5" s="1">
        <v>-1</v>
      </c>
      <c r="D5" s="1">
        <f t="shared" si="0"/>
        <v>-1</v>
      </c>
      <c r="E5" s="1">
        <f t="shared" si="1"/>
        <v>-1</v>
      </c>
      <c r="F5" s="1">
        <f t="shared" si="2"/>
        <v>1</v>
      </c>
      <c r="G5" s="1">
        <f t="shared" si="3"/>
        <v>1</v>
      </c>
      <c r="H5" s="9">
        <v>669</v>
      </c>
      <c r="J5" s="1"/>
      <c r="R5" s="3" t="s">
        <v>159</v>
      </c>
      <c r="S5">
        <f>S4-S3</f>
        <v>-101.625</v>
      </c>
      <c r="Z5" s="1"/>
      <c r="AA5" s="1"/>
      <c r="AB5" s="1"/>
    </row>
    <row r="6" spans="1:28" x14ac:dyDescent="0.25">
      <c r="A6" s="1">
        <v>1</v>
      </c>
      <c r="B6" s="1">
        <v>-1</v>
      </c>
      <c r="C6" s="1">
        <v>-1</v>
      </c>
      <c r="D6" s="1">
        <f t="shared" si="0"/>
        <v>-1</v>
      </c>
      <c r="E6" s="1">
        <f t="shared" si="1"/>
        <v>-1</v>
      </c>
      <c r="F6" s="1">
        <f t="shared" si="2"/>
        <v>1</v>
      </c>
      <c r="G6" s="1">
        <f t="shared" si="3"/>
        <v>1</v>
      </c>
      <c r="H6" s="9">
        <v>650</v>
      </c>
      <c r="J6" s="69" t="s">
        <v>155</v>
      </c>
      <c r="K6" s="28"/>
      <c r="L6" s="28"/>
      <c r="M6" s="28"/>
      <c r="N6" s="28"/>
      <c r="O6" s="28"/>
      <c r="P6" s="47"/>
      <c r="Z6" s="1"/>
      <c r="AA6" s="1"/>
      <c r="AB6" s="1"/>
    </row>
    <row r="7" spans="1:28" x14ac:dyDescent="0.25">
      <c r="A7" s="1">
        <v>-1</v>
      </c>
      <c r="B7" s="1">
        <v>1</v>
      </c>
      <c r="C7" s="1">
        <v>-1</v>
      </c>
      <c r="D7" s="1">
        <f t="shared" si="0"/>
        <v>-1</v>
      </c>
      <c r="E7" s="1">
        <f t="shared" si="1"/>
        <v>1</v>
      </c>
      <c r="F7" s="1">
        <f t="shared" si="2"/>
        <v>-1</v>
      </c>
      <c r="G7" s="1">
        <f t="shared" si="3"/>
        <v>1</v>
      </c>
      <c r="H7" s="9">
        <v>633</v>
      </c>
      <c r="J7" s="48"/>
      <c r="N7" s="92" t="s">
        <v>133</v>
      </c>
      <c r="O7" s="92"/>
      <c r="P7" s="49"/>
      <c r="Z7" s="1"/>
      <c r="AA7" s="1"/>
      <c r="AB7" s="1"/>
    </row>
    <row r="8" spans="1:28" x14ac:dyDescent="0.25">
      <c r="A8" s="1">
        <v>-1</v>
      </c>
      <c r="B8" s="1">
        <v>1</v>
      </c>
      <c r="C8" s="1">
        <v>-1</v>
      </c>
      <c r="D8" s="1">
        <f t="shared" si="0"/>
        <v>-1</v>
      </c>
      <c r="E8" s="1">
        <f t="shared" si="1"/>
        <v>1</v>
      </c>
      <c r="F8" s="1">
        <f t="shared" si="2"/>
        <v>-1</v>
      </c>
      <c r="G8" s="1">
        <f t="shared" si="3"/>
        <v>1</v>
      </c>
      <c r="H8" s="9">
        <v>601</v>
      </c>
      <c r="J8" s="48"/>
      <c r="N8" s="43">
        <v>0.8</v>
      </c>
      <c r="O8" s="43">
        <v>1.2</v>
      </c>
      <c r="P8" s="49"/>
      <c r="R8" t="s">
        <v>198</v>
      </c>
      <c r="T8" s="9"/>
      <c r="U8" s="9"/>
      <c r="V8" s="9"/>
      <c r="Z8" s="1"/>
      <c r="AA8" s="1"/>
      <c r="AB8" s="1"/>
    </row>
    <row r="9" spans="1:28" x14ac:dyDescent="0.25">
      <c r="A9" s="1">
        <v>1</v>
      </c>
      <c r="B9" s="1">
        <v>1</v>
      </c>
      <c r="C9" s="1">
        <v>-1</v>
      </c>
      <c r="D9" s="1">
        <f t="shared" si="0"/>
        <v>1</v>
      </c>
      <c r="E9" s="1">
        <f t="shared" si="1"/>
        <v>-1</v>
      </c>
      <c r="F9" s="1">
        <f t="shared" si="2"/>
        <v>-1</v>
      </c>
      <c r="G9" s="1">
        <f t="shared" si="3"/>
        <v>-1</v>
      </c>
      <c r="H9" s="9">
        <v>642</v>
      </c>
      <c r="J9" s="31"/>
      <c r="N9" s="43">
        <v>-1</v>
      </c>
      <c r="O9" s="43">
        <v>1</v>
      </c>
      <c r="P9" s="49"/>
      <c r="R9">
        <v>-1</v>
      </c>
      <c r="S9">
        <f>AVERAGE(H9:H10,H13:H14,H17:H18,H21:H22)</f>
        <v>747.16666666666663</v>
      </c>
      <c r="T9" s="9"/>
      <c r="U9" s="9"/>
      <c r="V9" s="9"/>
      <c r="Z9" s="1"/>
      <c r="AA9" s="1"/>
      <c r="AB9" s="1"/>
    </row>
    <row r="10" spans="1:28" x14ac:dyDescent="0.25">
      <c r="A10" s="1">
        <v>1</v>
      </c>
      <c r="B10" s="1">
        <v>1</v>
      </c>
      <c r="C10" s="1">
        <v>-1</v>
      </c>
      <c r="D10" s="1">
        <f t="shared" si="0"/>
        <v>1</v>
      </c>
      <c r="E10" s="1">
        <f t="shared" si="1"/>
        <v>-1</v>
      </c>
      <c r="F10" s="1">
        <f t="shared" si="2"/>
        <v>-1</v>
      </c>
      <c r="G10" s="1">
        <f t="shared" si="3"/>
        <v>-1</v>
      </c>
      <c r="H10" s="9">
        <v>635</v>
      </c>
      <c r="J10" s="48"/>
      <c r="K10" s="91" t="s">
        <v>132</v>
      </c>
      <c r="L10" s="43">
        <v>275</v>
      </c>
      <c r="M10" s="45">
        <v>-1</v>
      </c>
      <c r="N10" s="44">
        <f>AVERAGE(H3:H4,H7:H8)</f>
        <v>597</v>
      </c>
      <c r="O10" s="44">
        <f>AVERAGE(H5:H6,H9:H10)</f>
        <v>649</v>
      </c>
      <c r="P10" s="49"/>
      <c r="R10">
        <v>1</v>
      </c>
      <c r="S10">
        <f>AVERAGE(H11:H12,H15:H16,H19:H20,H23:H24)</f>
        <v>1056.75</v>
      </c>
      <c r="T10" s="9"/>
      <c r="U10" s="9"/>
      <c r="V10" s="9"/>
      <c r="Z10" s="1"/>
      <c r="AA10" s="1"/>
      <c r="AB10" s="1"/>
    </row>
    <row r="11" spans="1:28" x14ac:dyDescent="0.25">
      <c r="A11" s="1">
        <v>-1</v>
      </c>
      <c r="B11" s="1">
        <v>-1</v>
      </c>
      <c r="C11" s="1">
        <v>1</v>
      </c>
      <c r="D11" s="1">
        <f t="shared" si="0"/>
        <v>1</v>
      </c>
      <c r="E11" s="1">
        <f t="shared" si="1"/>
        <v>-1</v>
      </c>
      <c r="F11" s="1">
        <f t="shared" si="2"/>
        <v>-1</v>
      </c>
      <c r="G11" s="1">
        <f t="shared" si="3"/>
        <v>1</v>
      </c>
      <c r="H11" s="9">
        <v>1037</v>
      </c>
      <c r="J11" s="48"/>
      <c r="K11" s="91"/>
      <c r="L11" s="43">
        <v>325</v>
      </c>
      <c r="M11" s="45">
        <v>1</v>
      </c>
      <c r="N11" s="44">
        <f>AVERAGE(H11:H12,H15:H16)</f>
        <v>1056.75</v>
      </c>
      <c r="O11" s="44">
        <f>AVERAGE(H17:H18,H13:H14)</f>
        <v>801.5</v>
      </c>
      <c r="P11" s="49"/>
      <c r="R11" s="3" t="s">
        <v>159</v>
      </c>
      <c r="S11">
        <f>S10-S9</f>
        <v>309.58333333333337</v>
      </c>
      <c r="T11" s="9"/>
      <c r="U11" s="9"/>
      <c r="V11" s="9"/>
      <c r="Z11" s="27"/>
      <c r="AA11" s="27"/>
      <c r="AB11" s="27"/>
    </row>
    <row r="12" spans="1:28" x14ac:dyDescent="0.25">
      <c r="A12" s="1">
        <v>-1</v>
      </c>
      <c r="B12" s="1">
        <v>-1</v>
      </c>
      <c r="C12" s="1">
        <v>1</v>
      </c>
      <c r="D12" s="1">
        <f t="shared" si="0"/>
        <v>1</v>
      </c>
      <c r="E12" s="1">
        <f t="shared" si="1"/>
        <v>-1</v>
      </c>
      <c r="F12" s="1">
        <f t="shared" si="2"/>
        <v>-1</v>
      </c>
      <c r="G12" s="1">
        <f t="shared" si="3"/>
        <v>1</v>
      </c>
      <c r="H12" s="9">
        <v>1052</v>
      </c>
      <c r="J12" s="31"/>
      <c r="P12" s="49"/>
      <c r="R12" s="9"/>
      <c r="S12" s="9"/>
      <c r="T12" s="9"/>
      <c r="U12" s="9"/>
      <c r="V12" s="9"/>
      <c r="Z12" s="27"/>
      <c r="AA12" s="27"/>
      <c r="AB12" s="27"/>
    </row>
    <row r="13" spans="1:28" x14ac:dyDescent="0.25">
      <c r="A13" s="1">
        <v>1</v>
      </c>
      <c r="B13" s="1">
        <v>-1</v>
      </c>
      <c r="C13" s="1">
        <v>1</v>
      </c>
      <c r="D13" s="1">
        <f t="shared" si="0"/>
        <v>-1</v>
      </c>
      <c r="E13" s="1">
        <f t="shared" si="1"/>
        <v>1</v>
      </c>
      <c r="F13" s="1">
        <f t="shared" si="2"/>
        <v>-1</v>
      </c>
      <c r="G13" s="1">
        <f t="shared" si="3"/>
        <v>-1</v>
      </c>
      <c r="H13" s="9">
        <v>749</v>
      </c>
      <c r="J13" s="68"/>
      <c r="P13" s="49"/>
      <c r="Z13" s="27"/>
      <c r="AA13" s="27"/>
      <c r="AB13" s="27"/>
    </row>
    <row r="14" spans="1:28" x14ac:dyDescent="0.25">
      <c r="A14" s="1">
        <v>1</v>
      </c>
      <c r="B14" s="1">
        <v>-1</v>
      </c>
      <c r="C14" s="1">
        <v>1</v>
      </c>
      <c r="D14" s="1">
        <f t="shared" si="0"/>
        <v>-1</v>
      </c>
      <c r="E14" s="1">
        <f t="shared" si="1"/>
        <v>1</v>
      </c>
      <c r="F14" s="1">
        <f t="shared" si="2"/>
        <v>-1</v>
      </c>
      <c r="G14" s="1">
        <f t="shared" si="3"/>
        <v>-1</v>
      </c>
      <c r="H14" s="9">
        <v>868</v>
      </c>
      <c r="J14" s="68"/>
      <c r="P14" s="49"/>
    </row>
    <row r="15" spans="1:28" x14ac:dyDescent="0.25">
      <c r="A15" s="1">
        <v>-1</v>
      </c>
      <c r="B15" s="1">
        <v>1</v>
      </c>
      <c r="C15" s="1">
        <v>1</v>
      </c>
      <c r="D15" s="1">
        <f t="shared" si="0"/>
        <v>-1</v>
      </c>
      <c r="E15" s="1">
        <f t="shared" si="1"/>
        <v>-1</v>
      </c>
      <c r="F15" s="1">
        <f t="shared" si="2"/>
        <v>1</v>
      </c>
      <c r="G15" s="1">
        <f t="shared" si="3"/>
        <v>-1</v>
      </c>
      <c r="H15" s="9">
        <v>1075</v>
      </c>
      <c r="J15" s="68"/>
      <c r="P15" s="49"/>
    </row>
    <row r="16" spans="1:28" x14ac:dyDescent="0.25">
      <c r="A16" s="1">
        <v>-1</v>
      </c>
      <c r="B16" s="1">
        <v>1</v>
      </c>
      <c r="C16" s="1">
        <v>1</v>
      </c>
      <c r="D16" s="1">
        <f t="shared" si="0"/>
        <v>-1</v>
      </c>
      <c r="E16" s="1">
        <f t="shared" si="1"/>
        <v>-1</v>
      </c>
      <c r="F16" s="1">
        <f t="shared" si="2"/>
        <v>1</v>
      </c>
      <c r="G16" s="1">
        <f t="shared" si="3"/>
        <v>-1</v>
      </c>
      <c r="H16" s="9">
        <v>1063</v>
      </c>
      <c r="J16" s="68"/>
      <c r="P16" s="49"/>
    </row>
    <row r="17" spans="1:16" x14ac:dyDescent="0.25">
      <c r="A17" s="1">
        <v>1</v>
      </c>
      <c r="B17" s="1">
        <v>1</v>
      </c>
      <c r="C17" s="1">
        <v>1</v>
      </c>
      <c r="D17" s="1">
        <f t="shared" si="0"/>
        <v>1</v>
      </c>
      <c r="E17" s="1">
        <f t="shared" si="1"/>
        <v>1</v>
      </c>
      <c r="F17" s="1">
        <f t="shared" si="2"/>
        <v>1</v>
      </c>
      <c r="G17" s="1">
        <f t="shared" si="3"/>
        <v>1</v>
      </c>
      <c r="H17" s="9">
        <v>729</v>
      </c>
      <c r="J17" s="68"/>
      <c r="P17" s="49"/>
    </row>
    <row r="18" spans="1:16" x14ac:dyDescent="0.25">
      <c r="A18" s="1">
        <v>1</v>
      </c>
      <c r="B18" s="1">
        <v>1</v>
      </c>
      <c r="C18" s="1">
        <v>1</v>
      </c>
      <c r="D18" s="1">
        <f t="shared" si="0"/>
        <v>1</v>
      </c>
      <c r="E18" s="1">
        <f t="shared" si="1"/>
        <v>1</v>
      </c>
      <c r="F18" s="1">
        <f t="shared" si="2"/>
        <v>1</v>
      </c>
      <c r="G18" s="1">
        <f t="shared" si="3"/>
        <v>1</v>
      </c>
      <c r="H18" s="9">
        <v>860</v>
      </c>
      <c r="J18" s="48"/>
      <c r="P18" s="49"/>
    </row>
    <row r="19" spans="1:16" x14ac:dyDescent="0.25">
      <c r="J19" s="31"/>
      <c r="P19" s="49"/>
    </row>
    <row r="20" spans="1:16" x14ac:dyDescent="0.25">
      <c r="A20" t="s">
        <v>6</v>
      </c>
      <c r="J20" s="48"/>
      <c r="P20" s="49"/>
    </row>
    <row r="21" spans="1:16" ht="15.75" thickBot="1" x14ac:dyDescent="0.3">
      <c r="J21" s="48"/>
      <c r="P21" s="49"/>
    </row>
    <row r="22" spans="1:16" x14ac:dyDescent="0.25">
      <c r="A22" s="11" t="s">
        <v>7</v>
      </c>
      <c r="B22" s="11"/>
      <c r="J22" s="48"/>
      <c r="P22" s="49"/>
    </row>
    <row r="23" spans="1:16" x14ac:dyDescent="0.25">
      <c r="A23" t="s">
        <v>8</v>
      </c>
      <c r="B23">
        <v>0.98289875871037669</v>
      </c>
      <c r="J23" s="50"/>
      <c r="K23" s="51"/>
      <c r="L23" s="51"/>
      <c r="M23" s="51"/>
      <c r="N23" s="51"/>
      <c r="O23" s="51"/>
      <c r="P23" s="52"/>
    </row>
    <row r="24" spans="1:16" x14ac:dyDescent="0.25">
      <c r="A24" t="s">
        <v>9</v>
      </c>
      <c r="B24">
        <v>0.96608996987439921</v>
      </c>
    </row>
    <row r="25" spans="1:16" x14ac:dyDescent="0.25">
      <c r="A25" t="s">
        <v>10</v>
      </c>
      <c r="B25">
        <v>0.93641869351449847</v>
      </c>
    </row>
    <row r="26" spans="1:16" x14ac:dyDescent="0.25">
      <c r="A26" t="s">
        <v>11</v>
      </c>
      <c r="B26">
        <v>47.461168337916014</v>
      </c>
    </row>
    <row r="27" spans="1:16" ht="15.75" thickBot="1" x14ac:dyDescent="0.3">
      <c r="A27" s="12" t="s">
        <v>12</v>
      </c>
      <c r="B27" s="12">
        <v>16</v>
      </c>
    </row>
    <row r="29" spans="1:16" ht="15.75" thickBot="1" x14ac:dyDescent="0.3">
      <c r="A29" t="s">
        <v>13</v>
      </c>
    </row>
    <row r="30" spans="1:16" x14ac:dyDescent="0.25">
      <c r="A30" s="13"/>
      <c r="B30" s="13" t="s">
        <v>14</v>
      </c>
      <c r="C30" s="13" t="s">
        <v>15</v>
      </c>
      <c r="D30" s="13" t="s">
        <v>16</v>
      </c>
      <c r="E30" s="13" t="s">
        <v>17</v>
      </c>
      <c r="F30" s="13" t="s">
        <v>18</v>
      </c>
    </row>
    <row r="31" spans="1:16" x14ac:dyDescent="0.25">
      <c r="A31" t="s">
        <v>19</v>
      </c>
      <c r="B31">
        <v>7</v>
      </c>
      <c r="C31">
        <v>513400.4375</v>
      </c>
      <c r="D31">
        <v>73342.919642857145</v>
      </c>
      <c r="E31">
        <v>32.559771212943971</v>
      </c>
      <c r="F31">
        <v>2.8961676992748017E-5</v>
      </c>
    </row>
    <row r="32" spans="1:16" x14ac:dyDescent="0.25">
      <c r="A32" t="s">
        <v>20</v>
      </c>
      <c r="B32">
        <v>8</v>
      </c>
      <c r="C32">
        <v>18020.500000000011</v>
      </c>
      <c r="D32">
        <v>2252.5625000000014</v>
      </c>
    </row>
    <row r="33" spans="1:40" ht="15.75" thickBot="1" x14ac:dyDescent="0.3">
      <c r="A33" s="12" t="s">
        <v>21</v>
      </c>
      <c r="B33" s="12">
        <v>15</v>
      </c>
      <c r="C33" s="12">
        <v>531420.9375</v>
      </c>
      <c r="D33" s="12"/>
      <c r="E33" s="12"/>
      <c r="F33" s="12"/>
    </row>
    <row r="34" spans="1:40" ht="15.75" thickBot="1" x14ac:dyDescent="0.3">
      <c r="AF34" t="s">
        <v>135</v>
      </c>
    </row>
    <row r="35" spans="1:40" x14ac:dyDescent="0.25">
      <c r="A35" s="13"/>
      <c r="B35" s="13" t="s">
        <v>22</v>
      </c>
      <c r="C35" s="13" t="s">
        <v>11</v>
      </c>
      <c r="D35" s="13" t="s">
        <v>23</v>
      </c>
      <c r="E35" s="13" t="s">
        <v>24</v>
      </c>
      <c r="F35" s="13" t="s">
        <v>25</v>
      </c>
      <c r="G35" s="13" t="s">
        <v>26</v>
      </c>
      <c r="H35" s="13" t="s">
        <v>72</v>
      </c>
      <c r="I35" s="13" t="s">
        <v>73</v>
      </c>
      <c r="J35" s="8"/>
      <c r="AG35" s="16">
        <v>-1</v>
      </c>
      <c r="AH35" s="17">
        <v>1</v>
      </c>
    </row>
    <row r="36" spans="1:40" x14ac:dyDescent="0.25">
      <c r="A36" t="s">
        <v>33</v>
      </c>
      <c r="B36" s="26">
        <v>776.0625</v>
      </c>
      <c r="C36">
        <v>11.865292084479004</v>
      </c>
      <c r="D36">
        <v>65.406101634461052</v>
      </c>
      <c r="E36">
        <v>3.3216268185791559E-12</v>
      </c>
      <c r="F36">
        <v>748.70108738778617</v>
      </c>
      <c r="G36">
        <v>803.42391261221383</v>
      </c>
      <c r="H36">
        <v>748.70108738778617</v>
      </c>
      <c r="I36">
        <v>803.42391261221383</v>
      </c>
      <c r="AF36" s="1" t="s">
        <v>2</v>
      </c>
      <c r="AL36" s="92" t="s">
        <v>133</v>
      </c>
      <c r="AM36" s="92"/>
    </row>
    <row r="37" spans="1:40" x14ac:dyDescent="0.25">
      <c r="A37" t="s">
        <v>2</v>
      </c>
      <c r="B37" s="26">
        <v>-50.812499999999993</v>
      </c>
      <c r="C37">
        <v>11.865292084479004</v>
      </c>
      <c r="D37">
        <v>-4.2824483070642536</v>
      </c>
      <c r="E37" s="26">
        <v>2.6786104709705431E-3</v>
      </c>
      <c r="F37">
        <v>-78.173912612213854</v>
      </c>
      <c r="G37">
        <v>-23.451087387786139</v>
      </c>
      <c r="H37">
        <v>-78.173912612213854</v>
      </c>
      <c r="I37">
        <v>-23.451087387786139</v>
      </c>
      <c r="M37" s="5"/>
      <c r="N37" s="5"/>
      <c r="AC37" s="8"/>
      <c r="AF37" s="1">
        <v>-1</v>
      </c>
      <c r="AG37" s="9">
        <v>550</v>
      </c>
      <c r="AL37" s="43">
        <v>0.8</v>
      </c>
      <c r="AM37" s="43">
        <v>1.2</v>
      </c>
    </row>
    <row r="38" spans="1:40" x14ac:dyDescent="0.25">
      <c r="A38" t="s">
        <v>3</v>
      </c>
      <c r="B38" s="26">
        <v>3.6874999999999876</v>
      </c>
      <c r="C38">
        <v>11.865292084479004</v>
      </c>
      <c r="D38">
        <v>0.31078038144746634</v>
      </c>
      <c r="E38" s="56">
        <v>0.76391070822423035</v>
      </c>
      <c r="F38">
        <v>-23.673912612213869</v>
      </c>
      <c r="G38">
        <v>31.04891261221384</v>
      </c>
      <c r="H38">
        <v>-23.673912612213869</v>
      </c>
      <c r="I38">
        <v>31.04891261221384</v>
      </c>
      <c r="AF38" s="1">
        <v>-1</v>
      </c>
      <c r="AG38" s="9">
        <v>604</v>
      </c>
      <c r="AL38" s="43">
        <v>-1</v>
      </c>
      <c r="AM38" s="43">
        <v>1</v>
      </c>
    </row>
    <row r="39" spans="1:40" x14ac:dyDescent="0.25">
      <c r="A39" t="s">
        <v>69</v>
      </c>
      <c r="B39" s="26">
        <v>153.06249999999997</v>
      </c>
      <c r="C39">
        <v>11.865292084479004</v>
      </c>
      <c r="D39">
        <v>12.900019562116059</v>
      </c>
      <c r="E39" s="26">
        <v>1.2332619993114216E-6</v>
      </c>
      <c r="F39">
        <v>125.70108738778612</v>
      </c>
      <c r="G39">
        <v>180.42391261221383</v>
      </c>
      <c r="H39">
        <v>125.70108738778612</v>
      </c>
      <c r="I39">
        <v>180.42391261221383</v>
      </c>
      <c r="AF39" s="1">
        <v>1</v>
      </c>
      <c r="AG39" s="9">
        <v>669</v>
      </c>
      <c r="AI39" s="91" t="s">
        <v>132</v>
      </c>
      <c r="AJ39" s="43">
        <v>275</v>
      </c>
      <c r="AK39" s="45">
        <v>-1</v>
      </c>
      <c r="AL39" s="44">
        <f>AVERAGE(AG37:AG38,AG41:AG42)</f>
        <v>597</v>
      </c>
      <c r="AM39" s="44">
        <f>AVERAGE(AG39:AG40,AG43:AG44)</f>
        <v>649</v>
      </c>
      <c r="AN39">
        <f>AVERAGE(AM40,AL39)</f>
        <v>699.25</v>
      </c>
    </row>
    <row r="40" spans="1:40" x14ac:dyDescent="0.25">
      <c r="A40" t="s">
        <v>4</v>
      </c>
      <c r="B40" s="26">
        <v>-12.437500000000018</v>
      </c>
      <c r="C40">
        <v>11.865292084479004</v>
      </c>
      <c r="D40">
        <v>-1.0482253543736626</v>
      </c>
      <c r="E40" s="56">
        <v>0.32516785612210664</v>
      </c>
      <c r="F40">
        <v>-39.798912612213869</v>
      </c>
      <c r="G40">
        <v>14.923912612213837</v>
      </c>
      <c r="H40">
        <v>-39.798912612213869</v>
      </c>
      <c r="I40">
        <v>14.923912612213837</v>
      </c>
      <c r="AF40" s="1">
        <v>1</v>
      </c>
      <c r="AG40" s="9">
        <v>650</v>
      </c>
      <c r="AI40" s="91"/>
      <c r="AJ40" s="43">
        <v>325</v>
      </c>
      <c r="AK40" s="45">
        <v>1</v>
      </c>
      <c r="AL40" s="44">
        <f>AVERAGE(AH45:AH46,AH49:AH50)</f>
        <v>1056.75</v>
      </c>
      <c r="AM40" s="44">
        <f>AVERAGE(AH47:AH48,AH51:AH52)</f>
        <v>801.5</v>
      </c>
      <c r="AN40">
        <f>AVERAGE(AL40,AM39)</f>
        <v>852.875</v>
      </c>
    </row>
    <row r="41" spans="1:40" x14ac:dyDescent="0.25">
      <c r="A41" t="s">
        <v>70</v>
      </c>
      <c r="B41" s="26">
        <v>-76.812500000000014</v>
      </c>
      <c r="C41">
        <v>11.865292084479004</v>
      </c>
      <c r="D41">
        <v>-6.4737133694735167</v>
      </c>
      <c r="E41" s="26">
        <v>1.9339576675897111E-4</v>
      </c>
      <c r="F41">
        <v>-104.17391261221387</v>
      </c>
      <c r="G41">
        <v>-49.45108738778616</v>
      </c>
      <c r="H41">
        <v>-104.17391261221387</v>
      </c>
      <c r="I41">
        <v>-49.45108738778616</v>
      </c>
      <c r="AF41" s="1">
        <v>-1</v>
      </c>
      <c r="AG41" s="9">
        <v>633</v>
      </c>
      <c r="AN41">
        <f>AN39-AN40</f>
        <v>-153.625</v>
      </c>
    </row>
    <row r="42" spans="1:40" x14ac:dyDescent="0.25">
      <c r="A42" t="s">
        <v>71</v>
      </c>
      <c r="B42" s="26">
        <v>-1.0624999999999916</v>
      </c>
      <c r="C42">
        <v>11.865292084479004</v>
      </c>
      <c r="D42">
        <v>-8.9546889569608532E-2</v>
      </c>
      <c r="E42" s="56">
        <v>0.9308485642080182</v>
      </c>
      <c r="F42">
        <v>-28.423912612213847</v>
      </c>
      <c r="G42">
        <v>26.298912612213861</v>
      </c>
      <c r="H42">
        <v>-28.423912612213847</v>
      </c>
      <c r="I42">
        <v>26.298912612213861</v>
      </c>
      <c r="AF42" s="1">
        <v>-1</v>
      </c>
      <c r="AG42" s="9">
        <v>601</v>
      </c>
    </row>
    <row r="43" spans="1:40" ht="15.75" thickBot="1" x14ac:dyDescent="0.3">
      <c r="A43" s="12" t="s">
        <v>125</v>
      </c>
      <c r="B43" s="67">
        <v>2.8125000000000084</v>
      </c>
      <c r="C43" s="12">
        <v>11.865292084479004</v>
      </c>
      <c r="D43" s="12">
        <v>0.23703588415484872</v>
      </c>
      <c r="E43" s="57">
        <v>0.81858605785395466</v>
      </c>
      <c r="F43" s="12">
        <v>-24.548912612213847</v>
      </c>
      <c r="G43" s="12">
        <v>30.173912612213861</v>
      </c>
      <c r="H43" s="12">
        <v>-24.548912612213847</v>
      </c>
      <c r="I43" s="12">
        <v>30.173912612213861</v>
      </c>
      <c r="AF43" s="1">
        <v>1</v>
      </c>
      <c r="AG43" s="9">
        <v>642</v>
      </c>
    </row>
    <row r="44" spans="1:40" x14ac:dyDescent="0.25">
      <c r="AF44" s="1">
        <v>1</v>
      </c>
      <c r="AG44" s="9">
        <v>635</v>
      </c>
    </row>
    <row r="45" spans="1:40" x14ac:dyDescent="0.25">
      <c r="A45" t="s">
        <v>106</v>
      </c>
      <c r="M45" s="8"/>
      <c r="N45" s="8"/>
      <c r="O45" s="8"/>
      <c r="P45" s="8"/>
      <c r="Q45" s="8"/>
      <c r="R45" s="8"/>
      <c r="AF45" s="1">
        <v>-1</v>
      </c>
      <c r="AH45" s="9">
        <v>1037</v>
      </c>
    </row>
    <row r="46" spans="1:40" x14ac:dyDescent="0.25">
      <c r="AF46" s="1">
        <v>-1</v>
      </c>
      <c r="AH46" s="9">
        <v>1052</v>
      </c>
    </row>
    <row r="47" spans="1:40" x14ac:dyDescent="0.25">
      <c r="AF47" s="1">
        <v>1</v>
      </c>
      <c r="AH47" s="9">
        <v>749</v>
      </c>
    </row>
    <row r="48" spans="1:40" x14ac:dyDescent="0.25">
      <c r="A48" s="1" t="s">
        <v>2</v>
      </c>
      <c r="B48" s="1" t="s">
        <v>69</v>
      </c>
      <c r="C48" s="1" t="s">
        <v>70</v>
      </c>
      <c r="D48" s="1" t="s">
        <v>5</v>
      </c>
      <c r="F48" t="s">
        <v>6</v>
      </c>
      <c r="AF48" s="1">
        <v>1</v>
      </c>
      <c r="AH48" s="9">
        <v>868</v>
      </c>
    </row>
    <row r="49" spans="1:34" ht="15.75" thickBot="1" x14ac:dyDescent="0.3">
      <c r="A49" s="1">
        <v>-1</v>
      </c>
      <c r="B49" s="1">
        <v>-1</v>
      </c>
      <c r="C49" s="1">
        <f t="shared" ref="C49:C64" si="4">A49*B49</f>
        <v>1</v>
      </c>
      <c r="D49" s="9">
        <v>550</v>
      </c>
      <c r="AF49" s="1">
        <v>-1</v>
      </c>
      <c r="AH49" s="9">
        <v>1075</v>
      </c>
    </row>
    <row r="50" spans="1:34" x14ac:dyDescent="0.25">
      <c r="A50" s="1">
        <v>-1</v>
      </c>
      <c r="B50" s="1">
        <v>-1</v>
      </c>
      <c r="C50" s="1">
        <f t="shared" si="4"/>
        <v>1</v>
      </c>
      <c r="D50" s="9">
        <v>604</v>
      </c>
      <c r="F50" s="11" t="s">
        <v>7</v>
      </c>
      <c r="G50" s="11"/>
      <c r="M50" s="8"/>
      <c r="N50" s="8"/>
      <c r="O50" s="8"/>
      <c r="P50" s="8"/>
      <c r="Q50" s="8"/>
      <c r="R50" s="8"/>
      <c r="S50" s="8"/>
      <c r="T50" s="8"/>
      <c r="U50" s="8"/>
      <c r="AF50" s="1">
        <v>-1</v>
      </c>
      <c r="AH50" s="9">
        <v>1063</v>
      </c>
    </row>
    <row r="51" spans="1:34" x14ac:dyDescent="0.25">
      <c r="A51" s="1">
        <v>1</v>
      </c>
      <c r="B51" s="1">
        <v>-1</v>
      </c>
      <c r="C51" s="1">
        <f t="shared" si="4"/>
        <v>-1</v>
      </c>
      <c r="D51" s="9">
        <v>669</v>
      </c>
      <c r="F51" t="s">
        <v>8</v>
      </c>
      <c r="G51">
        <v>0.98017905603514344</v>
      </c>
      <c r="AF51" s="1">
        <v>1</v>
      </c>
      <c r="AH51" s="9">
        <v>729</v>
      </c>
    </row>
    <row r="52" spans="1:34" x14ac:dyDescent="0.25">
      <c r="A52" s="1">
        <v>1</v>
      </c>
      <c r="B52" s="1">
        <v>-1</v>
      </c>
      <c r="C52" s="1">
        <f t="shared" si="4"/>
        <v>-1</v>
      </c>
      <c r="D52" s="9">
        <v>650</v>
      </c>
      <c r="F52" t="s">
        <v>9</v>
      </c>
      <c r="G52">
        <v>0.96075098188994479</v>
      </c>
      <c r="AF52" s="1">
        <v>1</v>
      </c>
      <c r="AH52" s="9">
        <v>860</v>
      </c>
    </row>
    <row r="53" spans="1:34" x14ac:dyDescent="0.25">
      <c r="A53" s="1">
        <v>-1</v>
      </c>
      <c r="B53" s="1">
        <v>-1</v>
      </c>
      <c r="C53" s="1">
        <f t="shared" si="4"/>
        <v>1</v>
      </c>
      <c r="D53" s="9">
        <v>633</v>
      </c>
      <c r="F53" t="s">
        <v>10</v>
      </c>
      <c r="G53">
        <v>0.95093872736243101</v>
      </c>
    </row>
    <row r="54" spans="1:34" x14ac:dyDescent="0.25">
      <c r="A54" s="1">
        <v>-1</v>
      </c>
      <c r="B54" s="1">
        <v>-1</v>
      </c>
      <c r="C54" s="1">
        <f t="shared" si="4"/>
        <v>1</v>
      </c>
      <c r="D54" s="9">
        <v>601</v>
      </c>
      <c r="F54" t="s">
        <v>11</v>
      </c>
      <c r="G54">
        <v>41.691076183439229</v>
      </c>
    </row>
    <row r="55" spans="1:34" ht="15.75" thickBot="1" x14ac:dyDescent="0.3">
      <c r="A55" s="1">
        <v>1</v>
      </c>
      <c r="B55" s="1">
        <v>-1</v>
      </c>
      <c r="C55" s="1">
        <f t="shared" si="4"/>
        <v>-1</v>
      </c>
      <c r="D55" s="9">
        <v>642</v>
      </c>
      <c r="F55" s="12" t="s">
        <v>12</v>
      </c>
      <c r="G55" s="12">
        <v>16</v>
      </c>
    </row>
    <row r="56" spans="1:34" x14ac:dyDescent="0.25">
      <c r="A56" s="1">
        <v>1</v>
      </c>
      <c r="B56" s="1">
        <v>-1</v>
      </c>
      <c r="C56" s="1">
        <f t="shared" si="4"/>
        <v>-1</v>
      </c>
      <c r="D56" s="9">
        <v>635</v>
      </c>
    </row>
    <row r="57" spans="1:34" ht="15.75" thickBot="1" x14ac:dyDescent="0.3">
      <c r="A57" s="1">
        <v>-1</v>
      </c>
      <c r="B57" s="1">
        <v>1</v>
      </c>
      <c r="C57" s="1">
        <f t="shared" si="4"/>
        <v>-1</v>
      </c>
      <c r="D57" s="9">
        <v>1037</v>
      </c>
      <c r="F57" t="s">
        <v>13</v>
      </c>
    </row>
    <row r="58" spans="1:34" x14ac:dyDescent="0.25">
      <c r="A58" s="1">
        <v>-1</v>
      </c>
      <c r="B58" s="1">
        <v>1</v>
      </c>
      <c r="C58" s="1">
        <f t="shared" si="4"/>
        <v>-1</v>
      </c>
      <c r="D58" s="9">
        <v>1052</v>
      </c>
      <c r="F58" s="13"/>
      <c r="G58" s="13" t="s">
        <v>14</v>
      </c>
      <c r="H58" s="13" t="s">
        <v>15</v>
      </c>
      <c r="I58" s="13" t="s">
        <v>16</v>
      </c>
      <c r="J58" s="13" t="s">
        <v>17</v>
      </c>
      <c r="K58" s="13" t="s">
        <v>18</v>
      </c>
    </row>
    <row r="59" spans="1:34" x14ac:dyDescent="0.25">
      <c r="A59" s="1">
        <v>1</v>
      </c>
      <c r="B59" s="1">
        <v>1</v>
      </c>
      <c r="C59" s="1">
        <f t="shared" si="4"/>
        <v>1</v>
      </c>
      <c r="D59" s="9">
        <v>749</v>
      </c>
      <c r="F59" t="s">
        <v>19</v>
      </c>
      <c r="G59">
        <v>3</v>
      </c>
      <c r="H59">
        <v>510563.1875</v>
      </c>
      <c r="I59">
        <v>170187.72916666666</v>
      </c>
      <c r="J59">
        <v>97.913377521544717</v>
      </c>
      <c r="K59">
        <v>1.0538912721918569E-8</v>
      </c>
    </row>
    <row r="60" spans="1:34" x14ac:dyDescent="0.25">
      <c r="A60" s="1">
        <v>1</v>
      </c>
      <c r="B60" s="1">
        <v>1</v>
      </c>
      <c r="C60" s="1">
        <f t="shared" si="4"/>
        <v>1</v>
      </c>
      <c r="D60" s="9">
        <v>868</v>
      </c>
      <c r="F60" t="s">
        <v>20</v>
      </c>
      <c r="G60">
        <v>12</v>
      </c>
      <c r="H60">
        <v>20857.750000000004</v>
      </c>
      <c r="I60">
        <v>1738.1458333333337</v>
      </c>
    </row>
    <row r="61" spans="1:34" ht="15.75" thickBot="1" x14ac:dyDescent="0.3">
      <c r="A61" s="1">
        <v>-1</v>
      </c>
      <c r="B61" s="1">
        <v>1</v>
      </c>
      <c r="C61" s="1">
        <f t="shared" si="4"/>
        <v>-1</v>
      </c>
      <c r="D61" s="9">
        <v>1075</v>
      </c>
      <c r="F61" s="12" t="s">
        <v>21</v>
      </c>
      <c r="G61" s="12">
        <v>15</v>
      </c>
      <c r="H61" s="12">
        <v>531420.9375</v>
      </c>
      <c r="I61" s="12"/>
      <c r="J61" s="12"/>
      <c r="K61" s="12"/>
    </row>
    <row r="62" spans="1:34" ht="15.75" thickBot="1" x14ac:dyDescent="0.3">
      <c r="A62" s="1">
        <v>-1</v>
      </c>
      <c r="B62" s="1">
        <v>1</v>
      </c>
      <c r="C62" s="1">
        <f t="shared" si="4"/>
        <v>-1</v>
      </c>
      <c r="D62" s="9">
        <v>1063</v>
      </c>
    </row>
    <row r="63" spans="1:34" x14ac:dyDescent="0.25">
      <c r="A63" s="1">
        <v>1</v>
      </c>
      <c r="B63" s="1">
        <v>1</v>
      </c>
      <c r="C63" s="1">
        <f t="shared" si="4"/>
        <v>1</v>
      </c>
      <c r="D63" s="9">
        <v>729</v>
      </c>
      <c r="E63" s="8"/>
      <c r="F63" s="13"/>
      <c r="G63" s="13" t="s">
        <v>22</v>
      </c>
      <c r="H63" s="13" t="s">
        <v>11</v>
      </c>
      <c r="I63" s="13" t="s">
        <v>23</v>
      </c>
      <c r="J63" s="13" t="s">
        <v>24</v>
      </c>
      <c r="K63" s="13" t="s">
        <v>25</v>
      </c>
      <c r="L63" s="13" t="s">
        <v>26</v>
      </c>
      <c r="M63" s="13" t="s">
        <v>72</v>
      </c>
      <c r="N63" s="13" t="s">
        <v>73</v>
      </c>
    </row>
    <row r="64" spans="1:34" x14ac:dyDescent="0.25">
      <c r="A64" s="1">
        <v>1</v>
      </c>
      <c r="B64" s="1">
        <v>1</v>
      </c>
      <c r="C64" s="1">
        <f t="shared" si="4"/>
        <v>1</v>
      </c>
      <c r="D64" s="9">
        <v>860</v>
      </c>
      <c r="F64" t="s">
        <v>33</v>
      </c>
      <c r="G64">
        <v>776.0625</v>
      </c>
      <c r="H64">
        <v>10.422769045859807</v>
      </c>
      <c r="I64">
        <v>74.458380166091473</v>
      </c>
      <c r="J64">
        <v>2.2919483767116968E-17</v>
      </c>
      <c r="K64">
        <v>753.35323708222222</v>
      </c>
      <c r="L64">
        <v>798.77176291777778</v>
      </c>
      <c r="M64">
        <v>753.35323708222222</v>
      </c>
      <c r="N64">
        <v>798.77176291777778</v>
      </c>
    </row>
    <row r="65" spans="1:16" x14ac:dyDescent="0.25">
      <c r="B65" s="26"/>
      <c r="F65" t="s">
        <v>2</v>
      </c>
      <c r="G65">
        <v>-50.812499999999986</v>
      </c>
      <c r="H65">
        <v>10.422769045859807</v>
      </c>
      <c r="I65">
        <v>-4.8751440021770431</v>
      </c>
      <c r="J65">
        <v>3.816422195910731E-4</v>
      </c>
      <c r="K65">
        <v>-73.521762917777792</v>
      </c>
      <c r="L65">
        <v>-28.103237082222179</v>
      </c>
      <c r="M65">
        <v>-73.521762917777792</v>
      </c>
      <c r="N65">
        <v>-28.103237082222179</v>
      </c>
    </row>
    <row r="66" spans="1:16" x14ac:dyDescent="0.25">
      <c r="B66" s="26"/>
      <c r="F66" t="s">
        <v>69</v>
      </c>
      <c r="G66">
        <v>153.0625</v>
      </c>
      <c r="H66">
        <v>10.422769045859807</v>
      </c>
      <c r="I66">
        <v>14.685396877406621</v>
      </c>
      <c r="J66">
        <v>4.9512608357750763E-9</v>
      </c>
      <c r="K66">
        <v>130.35323708222219</v>
      </c>
      <c r="L66">
        <v>175.77176291777781</v>
      </c>
      <c r="M66">
        <v>130.35323708222219</v>
      </c>
      <c r="N66">
        <v>175.77176291777781</v>
      </c>
    </row>
    <row r="67" spans="1:16" ht="15.75" thickBot="1" x14ac:dyDescent="0.3">
      <c r="B67" s="26"/>
      <c r="F67" s="12" t="s">
        <v>70</v>
      </c>
      <c r="G67" s="12">
        <v>-76.8125</v>
      </c>
      <c r="H67" s="12">
        <v>10.422769045859807</v>
      </c>
      <c r="I67" s="12">
        <v>-7.3696826305972811</v>
      </c>
      <c r="J67" s="12">
        <v>8.6208359676417243E-6</v>
      </c>
      <c r="K67" s="12">
        <v>-99.521762917777821</v>
      </c>
      <c r="L67" s="12">
        <v>-54.103237082222208</v>
      </c>
      <c r="M67" s="12">
        <v>-99.521762917777821</v>
      </c>
      <c r="N67" s="12">
        <v>-54.103237082222208</v>
      </c>
    </row>
    <row r="68" spans="1:16" x14ac:dyDescent="0.25">
      <c r="B68" s="26"/>
      <c r="F68" s="26" t="s">
        <v>156</v>
      </c>
      <c r="G68" s="26">
        <f>G64</f>
        <v>776.0625</v>
      </c>
      <c r="H68" s="26" t="s">
        <v>34</v>
      </c>
      <c r="I68" s="26">
        <f>G65</f>
        <v>-50.812499999999986</v>
      </c>
      <c r="J68" s="26" t="s">
        <v>157</v>
      </c>
      <c r="K68" s="26">
        <f>G66</f>
        <v>153.0625</v>
      </c>
      <c r="L68" s="26" t="s">
        <v>158</v>
      </c>
      <c r="M68" s="26">
        <f>G67</f>
        <v>-76.8125</v>
      </c>
      <c r="N68" s="26" t="s">
        <v>83</v>
      </c>
    </row>
    <row r="69" spans="1:16" x14ac:dyDescent="0.25">
      <c r="B69" s="26"/>
      <c r="F69" s="14" t="s">
        <v>96</v>
      </c>
      <c r="G69" s="14">
        <f>G64</f>
        <v>776.0625</v>
      </c>
      <c r="H69" s="14" t="s">
        <v>34</v>
      </c>
      <c r="I69" s="14">
        <f>G65</f>
        <v>-50.812499999999986</v>
      </c>
      <c r="J69" s="93" t="s">
        <v>84</v>
      </c>
      <c r="K69" s="93"/>
      <c r="L69" s="14">
        <f>G66</f>
        <v>153.0625</v>
      </c>
      <c r="M69" s="93" t="s">
        <v>85</v>
      </c>
      <c r="N69" s="93"/>
      <c r="O69" s="14">
        <f>G67</f>
        <v>-76.8125</v>
      </c>
      <c r="P69" s="14" t="s">
        <v>86</v>
      </c>
    </row>
    <row r="70" spans="1:16" x14ac:dyDescent="0.25">
      <c r="B70" s="26"/>
      <c r="F70" s="14"/>
    </row>
    <row r="71" spans="1:16" x14ac:dyDescent="0.25">
      <c r="B71" s="26"/>
      <c r="F71" s="14" t="s">
        <v>170</v>
      </c>
      <c r="G71">
        <f>G69+I69*(-1/0.2)+L69*(-300/25)+O69*(-1/0.2)*(-300/25)</f>
        <v>-5415.375</v>
      </c>
      <c r="H71" t="s">
        <v>34</v>
      </c>
      <c r="I71">
        <f>I69/0.2+(O69/0.2)*(-300/25)</f>
        <v>4354.6875</v>
      </c>
      <c r="J71" t="s">
        <v>167</v>
      </c>
      <c r="K71">
        <f>L69/25+(O69/25)*(-1/0.2)</f>
        <v>21.484999999999999</v>
      </c>
      <c r="L71" t="s">
        <v>168</v>
      </c>
      <c r="M71">
        <f>O69/(0.2*25)</f>
        <v>-15.362500000000001</v>
      </c>
      <c r="N71" t="s">
        <v>169</v>
      </c>
    </row>
    <row r="74" spans="1:16" x14ac:dyDescent="0.25">
      <c r="A74" s="1" t="s">
        <v>2</v>
      </c>
      <c r="B74" s="1" t="s">
        <v>69</v>
      </c>
      <c r="C74" s="1" t="s">
        <v>70</v>
      </c>
      <c r="D74" s="1" t="s">
        <v>5</v>
      </c>
      <c r="F74" s="27" t="s">
        <v>166</v>
      </c>
      <c r="G74" s="27"/>
      <c r="H74" t="s">
        <v>6</v>
      </c>
      <c r="M74" t="s">
        <v>64</v>
      </c>
    </row>
    <row r="75" spans="1:16" ht="15.75" thickBot="1" x14ac:dyDescent="0.3">
      <c r="A75" s="1">
        <v>-1</v>
      </c>
      <c r="B75" s="1">
        <v>-1</v>
      </c>
      <c r="C75" s="1">
        <f t="shared" ref="C75:C90" si="5">A75*B75</f>
        <v>1</v>
      </c>
      <c r="D75" s="9">
        <v>550</v>
      </c>
      <c r="F75" s="1"/>
      <c r="G75" s="1"/>
      <c r="M75" t="s">
        <v>171</v>
      </c>
      <c r="N75">
        <v>-0.5</v>
      </c>
    </row>
    <row r="76" spans="1:16" x14ac:dyDescent="0.25">
      <c r="A76" s="1">
        <v>-1</v>
      </c>
      <c r="B76" s="1">
        <v>-1</v>
      </c>
      <c r="C76" s="1">
        <f t="shared" si="5"/>
        <v>1</v>
      </c>
      <c r="D76" s="9">
        <v>604</v>
      </c>
      <c r="F76" s="1"/>
      <c r="G76" s="1"/>
      <c r="H76" s="11" t="s">
        <v>7</v>
      </c>
      <c r="I76" s="11"/>
      <c r="M76" t="s">
        <v>172</v>
      </c>
      <c r="N76">
        <v>-0.33333333333333331</v>
      </c>
    </row>
    <row r="77" spans="1:16" x14ac:dyDescent="0.25">
      <c r="A77" s="1">
        <v>1</v>
      </c>
      <c r="B77" s="1">
        <v>-1</v>
      </c>
      <c r="C77" s="1">
        <f t="shared" si="5"/>
        <v>-1</v>
      </c>
      <c r="D77" s="9">
        <v>669</v>
      </c>
      <c r="F77" s="1"/>
      <c r="G77" s="1"/>
      <c r="H77" t="s">
        <v>8</v>
      </c>
      <c r="I77">
        <v>0.98017905603514344</v>
      </c>
      <c r="M77" t="s">
        <v>173</v>
      </c>
      <c r="N77">
        <v>-0.8</v>
      </c>
    </row>
    <row r="78" spans="1:16" x14ac:dyDescent="0.25">
      <c r="A78" s="1">
        <v>1</v>
      </c>
      <c r="B78" s="1">
        <v>-1</v>
      </c>
      <c r="C78" s="1">
        <f t="shared" si="5"/>
        <v>-1</v>
      </c>
      <c r="D78" s="9">
        <v>650</v>
      </c>
      <c r="F78" s="1"/>
      <c r="G78" s="1"/>
      <c r="H78" t="s">
        <v>9</v>
      </c>
      <c r="I78">
        <v>0.96075098188994479</v>
      </c>
      <c r="M78" t="s">
        <v>128</v>
      </c>
      <c r="N78">
        <v>648.29374999999993</v>
      </c>
      <c r="O78">
        <f>G71+I71*0.9+K71*280+M71*0.9*280</f>
        <v>648.29374999999982</v>
      </c>
    </row>
    <row r="79" spans="1:16" x14ac:dyDescent="0.25">
      <c r="A79" s="1">
        <v>-1</v>
      </c>
      <c r="B79" s="1">
        <v>-1</v>
      </c>
      <c r="C79" s="1">
        <f t="shared" si="5"/>
        <v>1</v>
      </c>
      <c r="D79" s="9">
        <v>633</v>
      </c>
      <c r="F79" s="1"/>
      <c r="G79" s="1"/>
      <c r="H79" t="s">
        <v>10</v>
      </c>
      <c r="I79">
        <v>0.95093872736243101</v>
      </c>
    </row>
    <row r="80" spans="1:16" x14ac:dyDescent="0.25">
      <c r="A80" s="1">
        <v>-1</v>
      </c>
      <c r="B80" s="1">
        <v>-1</v>
      </c>
      <c r="C80" s="1">
        <f t="shared" si="5"/>
        <v>1</v>
      </c>
      <c r="D80" s="9">
        <v>601</v>
      </c>
      <c r="F80" s="1"/>
      <c r="G80" s="1"/>
      <c r="H80" t="s">
        <v>11</v>
      </c>
      <c r="I80">
        <v>41.691076183439229</v>
      </c>
    </row>
    <row r="81" spans="1:16" ht="15.75" thickBot="1" x14ac:dyDescent="0.3">
      <c r="A81" s="1">
        <v>1</v>
      </c>
      <c r="B81" s="1">
        <v>-1</v>
      </c>
      <c r="C81" s="1">
        <f t="shared" si="5"/>
        <v>-1</v>
      </c>
      <c r="D81" s="9">
        <v>642</v>
      </c>
      <c r="F81" s="1"/>
      <c r="G81" s="1"/>
      <c r="H81" s="12" t="s">
        <v>12</v>
      </c>
      <c r="I81" s="12">
        <v>16</v>
      </c>
    </row>
    <row r="82" spans="1:16" x14ac:dyDescent="0.25">
      <c r="A82" s="1">
        <v>1</v>
      </c>
      <c r="B82" s="1">
        <v>-1</v>
      </c>
      <c r="C82" s="1">
        <f t="shared" si="5"/>
        <v>-1</v>
      </c>
      <c r="D82" s="9">
        <v>635</v>
      </c>
      <c r="F82" s="1"/>
      <c r="G82" s="1"/>
    </row>
    <row r="83" spans="1:16" ht="15.75" thickBot="1" x14ac:dyDescent="0.3">
      <c r="A83" s="1">
        <v>-1</v>
      </c>
      <c r="B83" s="1">
        <v>1</v>
      </c>
      <c r="C83" s="1">
        <f t="shared" si="5"/>
        <v>-1</v>
      </c>
      <c r="D83" s="9">
        <v>1037</v>
      </c>
      <c r="F83" s="1"/>
      <c r="G83" s="1"/>
      <c r="H83" t="s">
        <v>13</v>
      </c>
    </row>
    <row r="84" spans="1:16" x14ac:dyDescent="0.25">
      <c r="A84" s="1">
        <v>-1</v>
      </c>
      <c r="B84" s="1">
        <v>1</v>
      </c>
      <c r="C84" s="1">
        <f t="shared" si="5"/>
        <v>-1</v>
      </c>
      <c r="D84" s="9">
        <v>1052</v>
      </c>
      <c r="F84" s="1"/>
      <c r="G84" s="1"/>
      <c r="H84" s="13"/>
      <c r="I84" s="13" t="s">
        <v>14</v>
      </c>
      <c r="J84" s="13" t="s">
        <v>15</v>
      </c>
      <c r="K84" s="13" t="s">
        <v>16</v>
      </c>
      <c r="L84" s="13" t="s">
        <v>17</v>
      </c>
      <c r="M84" s="13" t="s">
        <v>18</v>
      </c>
    </row>
    <row r="85" spans="1:16" x14ac:dyDescent="0.25">
      <c r="A85" s="1">
        <v>1</v>
      </c>
      <c r="B85" s="1">
        <v>1</v>
      </c>
      <c r="C85" s="1">
        <f t="shared" si="5"/>
        <v>1</v>
      </c>
      <c r="D85" s="9">
        <v>749</v>
      </c>
      <c r="F85" s="1"/>
      <c r="G85" s="1"/>
      <c r="H85" t="s">
        <v>19</v>
      </c>
      <c r="I85">
        <v>3</v>
      </c>
      <c r="J85">
        <v>510563.1875</v>
      </c>
      <c r="K85">
        <v>170187.72916666666</v>
      </c>
      <c r="L85">
        <v>97.913377521544717</v>
      </c>
      <c r="M85">
        <v>1.0538912721918569E-8</v>
      </c>
    </row>
    <row r="86" spans="1:16" x14ac:dyDescent="0.25">
      <c r="A86" s="1">
        <v>1</v>
      </c>
      <c r="B86" s="1">
        <v>1</v>
      </c>
      <c r="C86" s="1">
        <f t="shared" si="5"/>
        <v>1</v>
      </c>
      <c r="D86" s="9">
        <v>868</v>
      </c>
      <c r="F86" s="1"/>
      <c r="G86" s="1"/>
      <c r="H86" t="s">
        <v>20</v>
      </c>
      <c r="I86">
        <v>12</v>
      </c>
      <c r="J86">
        <v>20857.750000000004</v>
      </c>
      <c r="K86">
        <v>1738.1458333333337</v>
      </c>
    </row>
    <row r="87" spans="1:16" ht="15.75" thickBot="1" x14ac:dyDescent="0.3">
      <c r="A87" s="1">
        <v>-1</v>
      </c>
      <c r="B87" s="1">
        <v>1</v>
      </c>
      <c r="C87" s="1">
        <f t="shared" si="5"/>
        <v>-1</v>
      </c>
      <c r="D87" s="9">
        <v>1075</v>
      </c>
      <c r="F87" s="1"/>
      <c r="G87" s="1"/>
      <c r="H87" s="12" t="s">
        <v>21</v>
      </c>
      <c r="I87" s="12">
        <v>15</v>
      </c>
      <c r="J87" s="12">
        <v>531420.9375</v>
      </c>
      <c r="K87" s="12"/>
      <c r="L87" s="12"/>
      <c r="M87" s="12"/>
    </row>
    <row r="88" spans="1:16" ht="15.75" thickBot="1" x14ac:dyDescent="0.3">
      <c r="A88" s="1">
        <v>-1</v>
      </c>
      <c r="B88" s="1">
        <v>1</v>
      </c>
      <c r="C88" s="1">
        <f t="shared" si="5"/>
        <v>-1</v>
      </c>
      <c r="D88" s="9">
        <v>1063</v>
      </c>
      <c r="F88" s="1"/>
      <c r="G88" s="1"/>
    </row>
    <row r="89" spans="1:16" x14ac:dyDescent="0.25">
      <c r="A89" s="1">
        <v>1</v>
      </c>
      <c r="B89" s="1">
        <v>1</v>
      </c>
      <c r="C89" s="1">
        <f t="shared" si="5"/>
        <v>1</v>
      </c>
      <c r="D89" s="9">
        <v>729</v>
      </c>
      <c r="F89" s="1"/>
      <c r="G89" s="1"/>
      <c r="H89" s="13"/>
      <c r="I89" s="13" t="s">
        <v>22</v>
      </c>
      <c r="J89" s="13" t="s">
        <v>11</v>
      </c>
      <c r="K89" s="13" t="s">
        <v>23</v>
      </c>
      <c r="L89" s="13" t="s">
        <v>24</v>
      </c>
      <c r="M89" s="13" t="s">
        <v>25</v>
      </c>
      <c r="N89" s="13" t="s">
        <v>26</v>
      </c>
      <c r="O89" s="13" t="s">
        <v>72</v>
      </c>
      <c r="P89" s="13" t="s">
        <v>73</v>
      </c>
    </row>
    <row r="90" spans="1:16" x14ac:dyDescent="0.25">
      <c r="A90" s="1">
        <v>1</v>
      </c>
      <c r="B90" s="1">
        <v>1</v>
      </c>
      <c r="C90" s="1">
        <f t="shared" si="5"/>
        <v>1</v>
      </c>
      <c r="D90" s="9">
        <v>860</v>
      </c>
      <c r="F90" s="1"/>
      <c r="G90" s="1"/>
      <c r="H90" t="s">
        <v>33</v>
      </c>
      <c r="I90" s="26">
        <v>776.0625</v>
      </c>
      <c r="J90">
        <v>10.422769045859807</v>
      </c>
      <c r="K90">
        <v>74.458380166091473</v>
      </c>
      <c r="L90">
        <v>2.2919483767116968E-17</v>
      </c>
      <c r="M90">
        <v>753.35323708222222</v>
      </c>
      <c r="N90">
        <v>798.77176291777778</v>
      </c>
      <c r="O90">
        <v>753.35323708222222</v>
      </c>
      <c r="P90">
        <v>798.77176291777778</v>
      </c>
    </row>
    <row r="91" spans="1:16" x14ac:dyDescent="0.25">
      <c r="H91" t="s">
        <v>2</v>
      </c>
      <c r="I91" s="26">
        <v>-50.812499999999986</v>
      </c>
      <c r="J91">
        <v>10.422769045859807</v>
      </c>
      <c r="K91">
        <v>-4.8751440021770431</v>
      </c>
      <c r="L91">
        <v>3.816422195910731E-4</v>
      </c>
      <c r="M91">
        <v>-73.521762917777792</v>
      </c>
      <c r="N91">
        <v>-28.103237082222179</v>
      </c>
      <c r="O91">
        <v>-73.521762917777792</v>
      </c>
      <c r="P91">
        <v>-28.103237082222179</v>
      </c>
    </row>
    <row r="92" spans="1:16" x14ac:dyDescent="0.25">
      <c r="H92" t="s">
        <v>69</v>
      </c>
      <c r="I92" s="26">
        <v>153.0625</v>
      </c>
      <c r="J92">
        <v>10.422769045859807</v>
      </c>
      <c r="K92">
        <v>14.685396877406621</v>
      </c>
      <c r="L92">
        <v>4.9512608357750763E-9</v>
      </c>
      <c r="M92">
        <v>130.35323708222219</v>
      </c>
      <c r="N92">
        <v>175.77176291777781</v>
      </c>
      <c r="O92">
        <v>130.35323708222219</v>
      </c>
      <c r="P92">
        <v>175.77176291777781</v>
      </c>
    </row>
    <row r="93" spans="1:16" ht="15.75" thickBot="1" x14ac:dyDescent="0.3">
      <c r="H93" s="12" t="s">
        <v>70</v>
      </c>
      <c r="I93" s="67">
        <v>-76.812500000000014</v>
      </c>
      <c r="J93" s="12">
        <v>10.422769045859807</v>
      </c>
      <c r="K93" s="12">
        <v>-7.3696826305972811</v>
      </c>
      <c r="L93" s="12">
        <v>8.6208359676417243E-6</v>
      </c>
      <c r="M93" s="12">
        <v>-99.521762917777821</v>
      </c>
      <c r="N93" s="12">
        <v>-54.103237082222208</v>
      </c>
      <c r="O93" s="12">
        <v>-99.521762917777821</v>
      </c>
      <c r="P93" s="12">
        <v>-54.103237082222208</v>
      </c>
    </row>
  </sheetData>
  <mergeCells count="6">
    <mergeCell ref="AI39:AI40"/>
    <mergeCell ref="AL36:AM36"/>
    <mergeCell ref="N7:O7"/>
    <mergeCell ref="K10:K11"/>
    <mergeCell ref="J69:K69"/>
    <mergeCell ref="M69:N69"/>
  </mergeCells>
  <pageMargins left="0.25" right="0.25" top="0.75" bottom="0.75" header="0.3" footer="0.3"/>
  <pageSetup paperSize="9" scale="53" fitToHeight="0" orientation="landscape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150"/>
  <sheetViews>
    <sheetView zoomScaleNormal="100" workbookViewId="0">
      <selection activeCell="O64" sqref="O64"/>
    </sheetView>
  </sheetViews>
  <sheetFormatPr defaultRowHeight="15" x14ac:dyDescent="0.25"/>
  <cols>
    <col min="1" max="1" width="14.5703125" customWidth="1"/>
  </cols>
  <sheetData>
    <row r="1" spans="1:23" x14ac:dyDescent="0.25">
      <c r="A1" t="s">
        <v>94</v>
      </c>
      <c r="N1" s="1" t="s">
        <v>0</v>
      </c>
      <c r="O1" s="1" t="s">
        <v>1</v>
      </c>
    </row>
    <row r="2" spans="1:23" x14ac:dyDescent="0.25">
      <c r="A2" s="1" t="s">
        <v>2</v>
      </c>
      <c r="B2" s="1" t="s">
        <v>69</v>
      </c>
      <c r="C2" s="1" t="s">
        <v>70</v>
      </c>
      <c r="D2" s="1" t="s">
        <v>5</v>
      </c>
      <c r="E2" s="1" t="s">
        <v>81</v>
      </c>
      <c r="F2" s="1" t="s">
        <v>80</v>
      </c>
      <c r="J2" s="2"/>
      <c r="K2" s="3" t="s">
        <v>75</v>
      </c>
      <c r="L2" t="s">
        <v>74</v>
      </c>
      <c r="N2" s="1">
        <f>(0.8+1.2)/2</f>
        <v>1</v>
      </c>
      <c r="O2" s="1">
        <f>(1.2-0.8)/2</f>
        <v>0.19999999999999996</v>
      </c>
      <c r="T2" s="1"/>
      <c r="U2" s="1"/>
      <c r="V2" s="1"/>
      <c r="W2" s="1"/>
    </row>
    <row r="3" spans="1:23" x14ac:dyDescent="0.25">
      <c r="A3" s="1">
        <v>-1</v>
      </c>
      <c r="B3" s="1">
        <v>-1</v>
      </c>
      <c r="C3" s="1">
        <f t="shared" ref="C3:C23" si="0">A3*B3</f>
        <v>1</v>
      </c>
      <c r="D3" s="9">
        <v>550</v>
      </c>
      <c r="E3">
        <f>DEVSQ(D3:D4,D7:D8)</f>
        <v>3570</v>
      </c>
      <c r="F3" s="1">
        <v>3</v>
      </c>
      <c r="K3" s="3" t="s">
        <v>76</v>
      </c>
      <c r="L3" t="s">
        <v>79</v>
      </c>
      <c r="N3" s="1">
        <f>(125+200)/2</f>
        <v>162.5</v>
      </c>
      <c r="O3" s="1">
        <f>(200-125)/2</f>
        <v>37.5</v>
      </c>
      <c r="T3" s="1"/>
      <c r="U3" s="1"/>
      <c r="V3" s="1"/>
      <c r="W3" s="9"/>
    </row>
    <row r="4" spans="1:23" x14ac:dyDescent="0.25">
      <c r="A4" s="1">
        <v>-1</v>
      </c>
      <c r="B4" s="1">
        <v>-1</v>
      </c>
      <c r="C4" s="1">
        <f t="shared" si="0"/>
        <v>1</v>
      </c>
      <c r="D4" s="9">
        <v>604</v>
      </c>
      <c r="K4" s="3" t="s">
        <v>77</v>
      </c>
      <c r="L4" t="s">
        <v>78</v>
      </c>
      <c r="N4" s="1">
        <f>(275+325)/2</f>
        <v>300</v>
      </c>
      <c r="O4" s="1">
        <f>(325-275)/2</f>
        <v>25</v>
      </c>
      <c r="R4" s="5"/>
      <c r="S4" s="5"/>
      <c r="T4" s="1"/>
      <c r="U4" s="1"/>
      <c r="V4" s="1"/>
      <c r="W4" s="9"/>
    </row>
    <row r="5" spans="1:23" x14ac:dyDescent="0.25">
      <c r="A5" s="1">
        <v>1</v>
      </c>
      <c r="B5" s="1">
        <v>-1</v>
      </c>
      <c r="C5" s="1">
        <f t="shared" si="0"/>
        <v>-1</v>
      </c>
      <c r="D5" s="9">
        <v>669</v>
      </c>
      <c r="E5">
        <f>DEVSQ(D5:D6,D9:D10)</f>
        <v>646</v>
      </c>
      <c r="F5" s="1">
        <v>3</v>
      </c>
      <c r="T5" s="1"/>
      <c r="U5" s="1"/>
      <c r="V5" s="1"/>
      <c r="W5" s="9"/>
    </row>
    <row r="6" spans="1:23" x14ac:dyDescent="0.25">
      <c r="A6" s="1">
        <v>1</v>
      </c>
      <c r="B6" s="1">
        <v>-1</v>
      </c>
      <c r="C6" s="1">
        <f t="shared" si="0"/>
        <v>-1</v>
      </c>
      <c r="D6" s="9">
        <v>650</v>
      </c>
      <c r="T6" s="1"/>
      <c r="U6" s="1"/>
      <c r="V6" s="1"/>
      <c r="W6" s="9"/>
    </row>
    <row r="7" spans="1:23" x14ac:dyDescent="0.25">
      <c r="A7" s="1">
        <v>-1</v>
      </c>
      <c r="B7" s="1">
        <v>-1</v>
      </c>
      <c r="C7" s="1">
        <f t="shared" si="0"/>
        <v>1</v>
      </c>
      <c r="D7" s="9">
        <v>633</v>
      </c>
      <c r="F7" s="1"/>
      <c r="T7" s="1"/>
      <c r="U7" s="1"/>
      <c r="V7" s="1"/>
      <c r="W7" s="9"/>
    </row>
    <row r="8" spans="1:23" x14ac:dyDescent="0.25">
      <c r="A8" s="1">
        <v>-1</v>
      </c>
      <c r="B8" s="1">
        <v>-1</v>
      </c>
      <c r="C8" s="1">
        <f t="shared" si="0"/>
        <v>1</v>
      </c>
      <c r="D8" s="9">
        <v>601</v>
      </c>
      <c r="T8" s="1"/>
      <c r="U8" s="1"/>
      <c r="V8" s="1"/>
      <c r="W8" s="9"/>
    </row>
    <row r="9" spans="1:23" x14ac:dyDescent="0.25">
      <c r="A9" s="1">
        <v>1</v>
      </c>
      <c r="B9" s="1">
        <v>-1</v>
      </c>
      <c r="C9" s="1">
        <f t="shared" si="0"/>
        <v>-1</v>
      </c>
      <c r="D9" s="9">
        <v>642</v>
      </c>
      <c r="F9" s="1"/>
      <c r="T9" s="1"/>
      <c r="U9" s="1"/>
      <c r="V9" s="1"/>
      <c r="W9" s="9"/>
    </row>
    <row r="10" spans="1:23" x14ac:dyDescent="0.25">
      <c r="A10" s="1">
        <v>1</v>
      </c>
      <c r="B10" s="1">
        <v>-1</v>
      </c>
      <c r="C10" s="1">
        <f t="shared" si="0"/>
        <v>-1</v>
      </c>
      <c r="D10" s="9">
        <v>635</v>
      </c>
      <c r="T10" s="1"/>
      <c r="U10" s="1"/>
      <c r="V10" s="1"/>
      <c r="W10" s="9"/>
    </row>
    <row r="11" spans="1:23" x14ac:dyDescent="0.25">
      <c r="A11" s="1">
        <v>-1</v>
      </c>
      <c r="B11" s="1">
        <v>1</v>
      </c>
      <c r="C11" s="1">
        <f t="shared" si="0"/>
        <v>-1</v>
      </c>
      <c r="D11" s="9">
        <v>1037</v>
      </c>
      <c r="E11">
        <f>DEVSQ(D11:D12,D15:D16)</f>
        <v>784.75</v>
      </c>
      <c r="F11" s="1">
        <v>3</v>
      </c>
      <c r="T11" s="1"/>
      <c r="U11" s="1"/>
      <c r="V11" s="1"/>
      <c r="W11" s="9"/>
    </row>
    <row r="12" spans="1:23" x14ac:dyDescent="0.25">
      <c r="A12" s="1">
        <v>-1</v>
      </c>
      <c r="B12" s="1">
        <v>1</v>
      </c>
      <c r="C12" s="1">
        <f t="shared" si="0"/>
        <v>-1</v>
      </c>
      <c r="D12" s="9">
        <v>1052</v>
      </c>
      <c r="R12" s="8"/>
      <c r="S12" s="8"/>
      <c r="T12" s="1"/>
      <c r="U12" s="1"/>
      <c r="V12" s="1"/>
      <c r="W12" s="9"/>
    </row>
    <row r="13" spans="1:23" x14ac:dyDescent="0.25">
      <c r="A13" s="1">
        <v>1</v>
      </c>
      <c r="B13" s="1">
        <v>1</v>
      </c>
      <c r="C13" s="1">
        <f t="shared" si="0"/>
        <v>1</v>
      </c>
      <c r="D13" s="9">
        <v>749</v>
      </c>
      <c r="E13">
        <f>DEVSQ(D13:D14,D17:D18)</f>
        <v>15857</v>
      </c>
      <c r="F13" s="1">
        <v>3</v>
      </c>
      <c r="T13" s="1"/>
      <c r="U13" s="1"/>
      <c r="V13" s="1"/>
      <c r="W13" s="9"/>
    </row>
    <row r="14" spans="1:23" x14ac:dyDescent="0.25">
      <c r="A14" s="1">
        <v>1</v>
      </c>
      <c r="B14" s="1">
        <v>1</v>
      </c>
      <c r="C14" s="1">
        <f t="shared" si="0"/>
        <v>1</v>
      </c>
      <c r="D14" s="9">
        <v>868</v>
      </c>
      <c r="T14" s="1"/>
      <c r="U14" s="1"/>
      <c r="V14" s="1"/>
      <c r="W14" s="9"/>
    </row>
    <row r="15" spans="1:23" x14ac:dyDescent="0.25">
      <c r="A15" s="1">
        <v>-1</v>
      </c>
      <c r="B15" s="1">
        <v>1</v>
      </c>
      <c r="C15" s="1">
        <f t="shared" si="0"/>
        <v>-1</v>
      </c>
      <c r="D15" s="9">
        <v>1075</v>
      </c>
      <c r="F15" s="1"/>
      <c r="T15" s="1"/>
      <c r="U15" s="1"/>
      <c r="V15" s="1"/>
      <c r="W15" s="9"/>
    </row>
    <row r="16" spans="1:23" x14ac:dyDescent="0.25">
      <c r="A16" s="1">
        <v>-1</v>
      </c>
      <c r="B16" s="1">
        <v>1</v>
      </c>
      <c r="C16" s="1">
        <f t="shared" si="0"/>
        <v>-1</v>
      </c>
      <c r="D16" s="9">
        <v>1063</v>
      </c>
      <c r="T16" s="1"/>
      <c r="U16" s="1"/>
      <c r="V16" s="1"/>
      <c r="W16" s="9"/>
    </row>
    <row r="17" spans="1:26" x14ac:dyDescent="0.25">
      <c r="A17" s="1">
        <v>1</v>
      </c>
      <c r="B17" s="1">
        <v>1</v>
      </c>
      <c r="C17" s="1">
        <f t="shared" si="0"/>
        <v>1</v>
      </c>
      <c r="D17" s="9">
        <v>729</v>
      </c>
      <c r="F17" s="1"/>
      <c r="R17" s="8"/>
      <c r="S17" s="8"/>
      <c r="T17" s="1"/>
      <c r="U17" s="1"/>
      <c r="V17" s="1"/>
      <c r="W17" s="9"/>
      <c r="X17" s="8"/>
      <c r="Y17" s="8"/>
      <c r="Z17" s="8"/>
    </row>
    <row r="18" spans="1:26" x14ac:dyDescent="0.25">
      <c r="A18" s="1">
        <v>1</v>
      </c>
      <c r="B18" s="1">
        <v>1</v>
      </c>
      <c r="C18" s="1">
        <f t="shared" si="0"/>
        <v>1</v>
      </c>
      <c r="D18" s="9">
        <v>860</v>
      </c>
      <c r="T18" s="1"/>
      <c r="U18" s="1"/>
      <c r="V18" s="1"/>
      <c r="W18" s="9"/>
    </row>
    <row r="19" spans="1:26" x14ac:dyDescent="0.25">
      <c r="A19" s="29">
        <v>0</v>
      </c>
      <c r="B19" s="10">
        <v>0</v>
      </c>
      <c r="C19" s="10">
        <f t="shared" si="0"/>
        <v>0</v>
      </c>
      <c r="D19" s="30">
        <v>779</v>
      </c>
      <c r="E19">
        <f>DEVSQ(D19:D23)</f>
        <v>230.8</v>
      </c>
      <c r="F19" s="1">
        <v>4</v>
      </c>
      <c r="T19" s="1"/>
      <c r="U19" s="1"/>
      <c r="V19" s="1"/>
      <c r="W19" s="9"/>
    </row>
    <row r="20" spans="1:26" x14ac:dyDescent="0.25">
      <c r="A20" s="31">
        <v>0</v>
      </c>
      <c r="B20" s="1">
        <v>0</v>
      </c>
      <c r="C20" s="1">
        <f t="shared" si="0"/>
        <v>0</v>
      </c>
      <c r="D20" s="32">
        <v>770</v>
      </c>
      <c r="T20" s="1"/>
      <c r="U20" s="1"/>
      <c r="V20" s="1"/>
      <c r="W20" s="9"/>
    </row>
    <row r="21" spans="1:26" x14ac:dyDescent="0.25">
      <c r="A21" s="31">
        <v>0</v>
      </c>
      <c r="B21" s="1">
        <v>0</v>
      </c>
      <c r="C21" s="1">
        <f t="shared" si="0"/>
        <v>0</v>
      </c>
      <c r="D21" s="32">
        <v>775</v>
      </c>
      <c r="T21" s="1"/>
      <c r="U21" s="1"/>
      <c r="V21" s="1"/>
      <c r="W21" s="9"/>
    </row>
    <row r="22" spans="1:26" x14ac:dyDescent="0.25">
      <c r="A22" s="31">
        <v>0</v>
      </c>
      <c r="B22" s="1">
        <v>0</v>
      </c>
      <c r="C22" s="1">
        <f t="shared" si="0"/>
        <v>0</v>
      </c>
      <c r="D22" s="32">
        <v>777</v>
      </c>
      <c r="T22" s="1"/>
      <c r="U22" s="1"/>
      <c r="V22" s="1"/>
      <c r="W22" s="9"/>
    </row>
    <row r="23" spans="1:26" x14ac:dyDescent="0.25">
      <c r="A23" s="33">
        <v>0</v>
      </c>
      <c r="B23" s="34">
        <v>0</v>
      </c>
      <c r="C23" s="34">
        <f t="shared" si="0"/>
        <v>0</v>
      </c>
      <c r="D23" s="35">
        <v>760</v>
      </c>
      <c r="T23" s="1"/>
      <c r="U23" s="1"/>
      <c r="V23" s="1"/>
      <c r="W23" s="9"/>
    </row>
    <row r="24" spans="1:26" x14ac:dyDescent="0.25">
      <c r="E24" s="28">
        <f>SUM(E3:E23)</f>
        <v>21088.55</v>
      </c>
      <c r="F24" s="1">
        <f>SUM(F3:F23)</f>
        <v>16</v>
      </c>
    </row>
    <row r="25" spans="1:26" x14ac:dyDescent="0.25">
      <c r="A25" t="s">
        <v>6</v>
      </c>
    </row>
    <row r="26" spans="1:26" ht="15.75" thickBot="1" x14ac:dyDescent="0.3"/>
    <row r="27" spans="1:26" x14ac:dyDescent="0.25">
      <c r="A27" s="11" t="s">
        <v>7</v>
      </c>
      <c r="B27" s="11"/>
      <c r="U27" s="5"/>
      <c r="V27" s="5"/>
    </row>
    <row r="28" spans="1:26" x14ac:dyDescent="0.25">
      <c r="A28" t="s">
        <v>8</v>
      </c>
      <c r="B28">
        <v>0.98017905603514344</v>
      </c>
    </row>
    <row r="29" spans="1:26" x14ac:dyDescent="0.25">
      <c r="A29" t="s">
        <v>9</v>
      </c>
      <c r="B29">
        <v>0.96075098188994479</v>
      </c>
    </row>
    <row r="30" spans="1:26" x14ac:dyDescent="0.25">
      <c r="A30" t="s">
        <v>10</v>
      </c>
      <c r="B30">
        <v>0.95093872736243101</v>
      </c>
    </row>
    <row r="31" spans="1:26" x14ac:dyDescent="0.25">
      <c r="A31" t="s">
        <v>11</v>
      </c>
      <c r="B31">
        <v>41.691076183439229</v>
      </c>
    </row>
    <row r="32" spans="1:26" ht="15.75" thickBot="1" x14ac:dyDescent="0.3">
      <c r="A32" s="12" t="s">
        <v>12</v>
      </c>
      <c r="B32" s="12">
        <v>16</v>
      </c>
    </row>
    <row r="34" spans="1:29" ht="15.75" thickBot="1" x14ac:dyDescent="0.3">
      <c r="A34" t="s">
        <v>13</v>
      </c>
    </row>
    <row r="35" spans="1:29" x14ac:dyDescent="0.25">
      <c r="A35" s="13"/>
      <c r="B35" s="13" t="s">
        <v>14</v>
      </c>
      <c r="C35" s="13" t="s">
        <v>15</v>
      </c>
      <c r="D35" s="13" t="s">
        <v>16</v>
      </c>
      <c r="E35" s="13" t="s">
        <v>17</v>
      </c>
      <c r="F35" s="13" t="s">
        <v>18</v>
      </c>
      <c r="U35" s="8"/>
      <c r="V35" s="8"/>
      <c r="W35" s="8"/>
      <c r="X35" s="8"/>
      <c r="Y35" s="8"/>
      <c r="Z35" s="8"/>
    </row>
    <row r="36" spans="1:29" x14ac:dyDescent="0.25">
      <c r="A36" t="s">
        <v>19</v>
      </c>
      <c r="B36">
        <v>3</v>
      </c>
      <c r="C36">
        <v>510563.1875</v>
      </c>
      <c r="D36">
        <v>170187.72916666666</v>
      </c>
      <c r="E36">
        <v>97.913377521544717</v>
      </c>
      <c r="F36">
        <v>1.0538912721918569E-8</v>
      </c>
    </row>
    <row r="37" spans="1:29" x14ac:dyDescent="0.25">
      <c r="A37" t="s">
        <v>20</v>
      </c>
      <c r="B37">
        <v>12</v>
      </c>
      <c r="C37">
        <v>20857.750000000004</v>
      </c>
      <c r="D37">
        <v>1738.1458333333337</v>
      </c>
    </row>
    <row r="38" spans="1:29" ht="15.75" thickBot="1" x14ac:dyDescent="0.3">
      <c r="A38" s="12" t="s">
        <v>21</v>
      </c>
      <c r="B38" s="12">
        <v>15</v>
      </c>
      <c r="C38" s="12">
        <v>531420.9375</v>
      </c>
      <c r="D38" s="12"/>
      <c r="E38" s="12"/>
      <c r="F38" s="12"/>
    </row>
    <row r="39" spans="1:29" ht="15.75" thickBot="1" x14ac:dyDescent="0.3"/>
    <row r="40" spans="1:29" x14ac:dyDescent="0.25">
      <c r="A40" s="13"/>
      <c r="B40" s="13" t="s">
        <v>22</v>
      </c>
      <c r="C40" s="13" t="s">
        <v>11</v>
      </c>
      <c r="D40" s="13" t="s">
        <v>23</v>
      </c>
      <c r="E40" s="13" t="s">
        <v>24</v>
      </c>
      <c r="F40" s="13" t="s">
        <v>25</v>
      </c>
      <c r="G40" s="13" t="s">
        <v>26</v>
      </c>
      <c r="H40" s="13" t="s">
        <v>27</v>
      </c>
      <c r="I40" s="13" t="s">
        <v>28</v>
      </c>
      <c r="J40" s="13" t="s">
        <v>31</v>
      </c>
      <c r="K40" s="13" t="s">
        <v>32</v>
      </c>
      <c r="L40" s="13" t="s">
        <v>29</v>
      </c>
      <c r="M40" s="13" t="s">
        <v>30</v>
      </c>
      <c r="U40" s="8"/>
      <c r="V40" s="8"/>
      <c r="W40" s="8"/>
      <c r="X40" s="8"/>
      <c r="Y40" s="8"/>
      <c r="Z40" s="8"/>
      <c r="AA40" s="8"/>
      <c r="AB40" s="8"/>
      <c r="AC40" s="8"/>
    </row>
    <row r="41" spans="1:29" x14ac:dyDescent="0.25">
      <c r="A41" t="s">
        <v>33</v>
      </c>
      <c r="B41" s="26">
        <v>776.0625</v>
      </c>
      <c r="C41">
        <v>10.422769045859807</v>
      </c>
      <c r="D41">
        <v>74.458380166091473</v>
      </c>
      <c r="E41">
        <v>2.2919483767116968E-17</v>
      </c>
      <c r="F41">
        <v>753.35323708222222</v>
      </c>
      <c r="G41">
        <v>798.77176291777778</v>
      </c>
      <c r="H41">
        <v>750.41519047748</v>
      </c>
      <c r="I41">
        <v>801.70980952252</v>
      </c>
      <c r="J41">
        <v>748.11907710528703</v>
      </c>
      <c r="K41">
        <v>804.00592289471297</v>
      </c>
      <c r="L41">
        <v>744.22573931832233</v>
      </c>
      <c r="M41">
        <v>807.89926068167767</v>
      </c>
    </row>
    <row r="42" spans="1:29" x14ac:dyDescent="0.25">
      <c r="A42" t="s">
        <v>2</v>
      </c>
      <c r="B42" s="26">
        <v>-50.812499999999986</v>
      </c>
      <c r="C42">
        <v>10.422769045859807</v>
      </c>
      <c r="D42">
        <v>-4.8751440021770431</v>
      </c>
      <c r="E42">
        <v>3.816422195910731E-4</v>
      </c>
      <c r="F42">
        <v>-73.521762917777792</v>
      </c>
      <c r="G42">
        <v>-28.103237082222179</v>
      </c>
      <c r="H42">
        <v>-76.459809522520047</v>
      </c>
      <c r="I42">
        <v>-25.165190477479928</v>
      </c>
      <c r="J42">
        <v>-78.755922894712924</v>
      </c>
      <c r="K42">
        <v>-22.869077105287051</v>
      </c>
      <c r="L42">
        <v>-82.649260681677646</v>
      </c>
      <c r="M42">
        <v>-18.975739318322326</v>
      </c>
    </row>
    <row r="43" spans="1:29" x14ac:dyDescent="0.25">
      <c r="A43" t="s">
        <v>69</v>
      </c>
      <c r="B43" s="26">
        <v>153.0625</v>
      </c>
      <c r="C43">
        <v>10.422769045859807</v>
      </c>
      <c r="D43">
        <v>14.685396877406621</v>
      </c>
      <c r="E43">
        <v>4.9512608357750763E-9</v>
      </c>
      <c r="F43">
        <v>130.35323708222219</v>
      </c>
      <c r="G43">
        <v>175.77176291777781</v>
      </c>
      <c r="H43">
        <v>127.41519047747994</v>
      </c>
      <c r="I43">
        <v>178.70980952252006</v>
      </c>
      <c r="J43">
        <v>125.11907710528706</v>
      </c>
      <c r="K43">
        <v>181.00592289471294</v>
      </c>
      <c r="L43">
        <v>121.22573931832234</v>
      </c>
      <c r="M43">
        <v>184.89926068167767</v>
      </c>
    </row>
    <row r="44" spans="1:29" ht="15.75" thickBot="1" x14ac:dyDescent="0.3">
      <c r="A44" s="12" t="s">
        <v>70</v>
      </c>
      <c r="B44" s="67">
        <v>-76.812500000000014</v>
      </c>
      <c r="C44" s="12">
        <v>10.422769045859807</v>
      </c>
      <c r="D44" s="12">
        <v>-7.3696826305972811</v>
      </c>
      <c r="E44" s="12">
        <v>8.6208359676417243E-6</v>
      </c>
      <c r="F44" s="12">
        <v>-99.521762917777821</v>
      </c>
      <c r="G44" s="12">
        <v>-54.103237082222208</v>
      </c>
      <c r="H44" s="12">
        <v>-102.45980952252008</v>
      </c>
      <c r="I44" s="12">
        <v>-51.165190477479953</v>
      </c>
      <c r="J44" s="12">
        <v>-104.75592289471295</v>
      </c>
      <c r="K44" s="12">
        <v>-48.869077105287076</v>
      </c>
      <c r="L44" s="12">
        <v>-108.64926068167767</v>
      </c>
      <c r="M44" s="12">
        <v>-44.975739318322354</v>
      </c>
    </row>
    <row r="45" spans="1:29" x14ac:dyDescent="0.25">
      <c r="A45" s="14" t="s">
        <v>95</v>
      </c>
      <c r="B45" s="14">
        <f>B41</f>
        <v>776.0625</v>
      </c>
      <c r="C45" s="14" t="s">
        <v>34</v>
      </c>
      <c r="D45" s="14">
        <f>B42</f>
        <v>-50.812499999999986</v>
      </c>
      <c r="E45" s="14" t="s">
        <v>35</v>
      </c>
      <c r="F45" s="14" t="s">
        <v>34</v>
      </c>
      <c r="G45" s="14">
        <f>B43</f>
        <v>153.0625</v>
      </c>
      <c r="H45" s="14" t="s">
        <v>82</v>
      </c>
      <c r="I45" s="14" t="s">
        <v>34</v>
      </c>
      <c r="J45" s="14">
        <f>B44</f>
        <v>-76.812500000000014</v>
      </c>
      <c r="K45" s="14" t="s">
        <v>83</v>
      </c>
    </row>
    <row r="46" spans="1:29" x14ac:dyDescent="0.25">
      <c r="A46" s="14" t="s">
        <v>96</v>
      </c>
      <c r="B46" s="14">
        <f>B41</f>
        <v>776.0625</v>
      </c>
      <c r="C46" s="14" t="s">
        <v>34</v>
      </c>
      <c r="D46" s="14">
        <f>B42</f>
        <v>-50.812499999999986</v>
      </c>
      <c r="E46" s="93" t="s">
        <v>84</v>
      </c>
      <c r="F46" s="93"/>
      <c r="G46" s="14">
        <f>B43</f>
        <v>153.0625</v>
      </c>
      <c r="H46" s="93" t="s">
        <v>85</v>
      </c>
      <c r="I46" s="93"/>
      <c r="J46" s="14">
        <f>B44</f>
        <v>-76.812500000000014</v>
      </c>
      <c r="K46" s="14" t="s">
        <v>86</v>
      </c>
    </row>
    <row r="48" spans="1:29" x14ac:dyDescent="0.25">
      <c r="A48" s="15" t="s">
        <v>36</v>
      </c>
    </row>
    <row r="49" spans="1:27" x14ac:dyDescent="0.25">
      <c r="A49" t="s">
        <v>37</v>
      </c>
    </row>
    <row r="50" spans="1:27" x14ac:dyDescent="0.25">
      <c r="A50" t="s">
        <v>38</v>
      </c>
      <c r="H50" t="s">
        <v>39</v>
      </c>
      <c r="U50" s="8"/>
      <c r="V50" s="8"/>
      <c r="W50" s="8"/>
      <c r="X50" s="8"/>
      <c r="Z50" s="8"/>
      <c r="AA50" s="8"/>
    </row>
    <row r="51" spans="1:27" x14ac:dyDescent="0.25">
      <c r="A51" s="3" t="s">
        <v>40</v>
      </c>
      <c r="B51">
        <f>B42/C42</f>
        <v>-4.8751440021770431</v>
      </c>
      <c r="C51" t="s">
        <v>41</v>
      </c>
      <c r="E51" t="s">
        <v>42</v>
      </c>
      <c r="H51" t="s">
        <v>43</v>
      </c>
    </row>
    <row r="52" spans="1:27" x14ac:dyDescent="0.25">
      <c r="A52" s="3" t="s">
        <v>144</v>
      </c>
      <c r="B52">
        <f>_xlfn.T.INV(1-0.03/2,12)</f>
        <v>2.4607001661144765</v>
      </c>
      <c r="E52" t="s">
        <v>44</v>
      </c>
      <c r="H52" t="s">
        <v>91</v>
      </c>
    </row>
    <row r="53" spans="1:27" x14ac:dyDescent="0.25">
      <c r="A53" s="3" t="s">
        <v>45</v>
      </c>
      <c r="B53">
        <f>E42</f>
        <v>3.816422195910731E-4</v>
      </c>
      <c r="C53" t="s">
        <v>46</v>
      </c>
      <c r="H53" t="s">
        <v>47</v>
      </c>
    </row>
    <row r="54" spans="1:27" x14ac:dyDescent="0.25">
      <c r="A54" s="3" t="s">
        <v>48</v>
      </c>
      <c r="B54" s="16">
        <f>H42</f>
        <v>-76.459809522520047</v>
      </c>
      <c r="C54" s="70">
        <f>I42</f>
        <v>-25.165190477479928</v>
      </c>
      <c r="H54" t="s">
        <v>130</v>
      </c>
    </row>
    <row r="55" spans="1:27" x14ac:dyDescent="0.25">
      <c r="A55" s="3"/>
    </row>
    <row r="56" spans="1:27" x14ac:dyDescent="0.25">
      <c r="A56" s="3"/>
    </row>
    <row r="57" spans="1:27" x14ac:dyDescent="0.25">
      <c r="A57" s="3"/>
    </row>
    <row r="58" spans="1:27" x14ac:dyDescent="0.25">
      <c r="A58" s="3"/>
    </row>
    <row r="59" spans="1:27" x14ac:dyDescent="0.25">
      <c r="A59" s="3"/>
    </row>
    <row r="60" spans="1:27" x14ac:dyDescent="0.25">
      <c r="A60" s="3"/>
    </row>
    <row r="61" spans="1:27" x14ac:dyDescent="0.25">
      <c r="A61" s="3"/>
    </row>
    <row r="62" spans="1:27" x14ac:dyDescent="0.25">
      <c r="A62" s="3"/>
    </row>
    <row r="63" spans="1:27" x14ac:dyDescent="0.25">
      <c r="A63" s="3"/>
    </row>
    <row r="64" spans="1:27" x14ac:dyDescent="0.25">
      <c r="A64" s="3"/>
    </row>
    <row r="65" spans="1:8" x14ac:dyDescent="0.25">
      <c r="A65" s="3"/>
    </row>
    <row r="66" spans="1:8" x14ac:dyDescent="0.25">
      <c r="A66" s="3"/>
    </row>
    <row r="70" spans="1:8" x14ac:dyDescent="0.25">
      <c r="A70" s="15" t="s">
        <v>49</v>
      </c>
    </row>
    <row r="71" spans="1:8" x14ac:dyDescent="0.25">
      <c r="A71" t="s">
        <v>87</v>
      </c>
    </row>
    <row r="72" spans="1:8" x14ac:dyDescent="0.25">
      <c r="A72" t="s">
        <v>98</v>
      </c>
      <c r="H72" t="s">
        <v>50</v>
      </c>
    </row>
    <row r="73" spans="1:8" x14ac:dyDescent="0.25">
      <c r="A73" s="3" t="s">
        <v>99</v>
      </c>
      <c r="B73">
        <f>D43</f>
        <v>14.685396877406621</v>
      </c>
      <c r="C73" t="s">
        <v>41</v>
      </c>
      <c r="E73" t="s">
        <v>102</v>
      </c>
      <c r="H73" t="s">
        <v>90</v>
      </c>
    </row>
    <row r="74" spans="1:8" x14ac:dyDescent="0.25">
      <c r="A74" s="3" t="s">
        <v>145</v>
      </c>
      <c r="B74" s="18">
        <f>_xlfn.T.INV(1-0.02/2,12)</f>
        <v>2.6809979931209136</v>
      </c>
      <c r="E74" t="s">
        <v>103</v>
      </c>
      <c r="H74" t="s">
        <v>92</v>
      </c>
    </row>
    <row r="75" spans="1:8" x14ac:dyDescent="0.25">
      <c r="A75" s="3" t="s">
        <v>51</v>
      </c>
      <c r="B75">
        <f>E43</f>
        <v>4.9512608357750763E-9</v>
      </c>
      <c r="C75" t="s">
        <v>52</v>
      </c>
      <c r="H75" t="s">
        <v>53</v>
      </c>
    </row>
    <row r="76" spans="1:8" x14ac:dyDescent="0.25">
      <c r="A76" s="3" t="s">
        <v>48</v>
      </c>
      <c r="B76" s="16">
        <f>J43</f>
        <v>125.11907710528706</v>
      </c>
      <c r="C76" s="17">
        <f>K43</f>
        <v>181.00592289471294</v>
      </c>
      <c r="H76" t="s">
        <v>89</v>
      </c>
    </row>
    <row r="77" spans="1:8" x14ac:dyDescent="0.25">
      <c r="A77" s="3"/>
    </row>
    <row r="78" spans="1:8" x14ac:dyDescent="0.25">
      <c r="A78" s="3"/>
    </row>
    <row r="79" spans="1:8" x14ac:dyDescent="0.25">
      <c r="A79" s="3"/>
    </row>
    <row r="80" spans="1:8" x14ac:dyDescent="0.25">
      <c r="A80" s="3"/>
    </row>
    <row r="81" spans="1:8" x14ac:dyDescent="0.25">
      <c r="A81" s="3"/>
    </row>
    <row r="82" spans="1:8" x14ac:dyDescent="0.25">
      <c r="A82" s="3"/>
    </row>
    <row r="83" spans="1:8" x14ac:dyDescent="0.25">
      <c r="A83" s="3"/>
    </row>
    <row r="84" spans="1:8" x14ac:dyDescent="0.25">
      <c r="A84" s="3"/>
    </row>
    <row r="85" spans="1:8" x14ac:dyDescent="0.25">
      <c r="A85" s="3"/>
    </row>
    <row r="86" spans="1:8" x14ac:dyDescent="0.25">
      <c r="A86" s="3"/>
    </row>
    <row r="87" spans="1:8" x14ac:dyDescent="0.25">
      <c r="A87" s="3"/>
    </row>
    <row r="88" spans="1:8" x14ac:dyDescent="0.25">
      <c r="A88" s="3"/>
    </row>
    <row r="89" spans="1:8" x14ac:dyDescent="0.25">
      <c r="A89" s="3"/>
    </row>
    <row r="90" spans="1:8" x14ac:dyDescent="0.25">
      <c r="A90" s="3"/>
    </row>
    <row r="91" spans="1:8" x14ac:dyDescent="0.25">
      <c r="A91" s="3"/>
    </row>
    <row r="92" spans="1:8" x14ac:dyDescent="0.25">
      <c r="A92" s="3"/>
    </row>
    <row r="93" spans="1:8" x14ac:dyDescent="0.25">
      <c r="A93" s="15" t="s">
        <v>54</v>
      </c>
    </row>
    <row r="94" spans="1:8" x14ac:dyDescent="0.25">
      <c r="A94" t="s">
        <v>88</v>
      </c>
    </row>
    <row r="95" spans="1:8" x14ac:dyDescent="0.25">
      <c r="A95" t="s">
        <v>100</v>
      </c>
      <c r="H95" t="s">
        <v>39</v>
      </c>
    </row>
    <row r="96" spans="1:8" x14ac:dyDescent="0.25">
      <c r="A96" s="3" t="s">
        <v>101</v>
      </c>
      <c r="B96">
        <f>D44</f>
        <v>-7.3696826305972811</v>
      </c>
      <c r="C96" t="s">
        <v>41</v>
      </c>
      <c r="E96" t="s">
        <v>104</v>
      </c>
      <c r="H96" t="s">
        <v>55</v>
      </c>
    </row>
    <row r="97" spans="1:8" x14ac:dyDescent="0.25">
      <c r="A97" s="3" t="s">
        <v>146</v>
      </c>
      <c r="B97">
        <f>_xlfn.T.INV(0.995,12)</f>
        <v>3.0545395893929017</v>
      </c>
      <c r="E97" t="s">
        <v>105</v>
      </c>
      <c r="H97" t="s">
        <v>93</v>
      </c>
    </row>
    <row r="98" spans="1:8" x14ac:dyDescent="0.25">
      <c r="A98" s="3" t="s">
        <v>56</v>
      </c>
      <c r="B98">
        <f>E44</f>
        <v>8.6208359676417243E-6</v>
      </c>
      <c r="C98" t="s">
        <v>57</v>
      </c>
      <c r="H98" t="s">
        <v>53</v>
      </c>
    </row>
    <row r="99" spans="1:8" x14ac:dyDescent="0.25">
      <c r="A99" s="3" t="s">
        <v>48</v>
      </c>
      <c r="B99" s="16">
        <f>L44</f>
        <v>-108.64926068167767</v>
      </c>
      <c r="C99" s="17">
        <f>M44</f>
        <v>-44.975739318322354</v>
      </c>
      <c r="H99" t="s">
        <v>97</v>
      </c>
    </row>
    <row r="100" spans="1:8" x14ac:dyDescent="0.25">
      <c r="A100" s="3"/>
    </row>
    <row r="101" spans="1:8" x14ac:dyDescent="0.25">
      <c r="A101" s="3"/>
    </row>
    <row r="102" spans="1:8" x14ac:dyDescent="0.25">
      <c r="A102" s="3"/>
    </row>
    <row r="103" spans="1:8" x14ac:dyDescent="0.25">
      <c r="A103" s="3"/>
    </row>
    <row r="104" spans="1:8" x14ac:dyDescent="0.25">
      <c r="A104" s="3"/>
    </row>
    <row r="105" spans="1:8" x14ac:dyDescent="0.25">
      <c r="A105" s="3"/>
    </row>
    <row r="106" spans="1:8" x14ac:dyDescent="0.25">
      <c r="A106" s="3"/>
    </row>
    <row r="107" spans="1:8" x14ac:dyDescent="0.25">
      <c r="A107" s="3"/>
    </row>
    <row r="108" spans="1:8" x14ac:dyDescent="0.25">
      <c r="A108" s="3"/>
    </row>
    <row r="109" spans="1:8" x14ac:dyDescent="0.25">
      <c r="A109" s="3"/>
    </row>
    <row r="110" spans="1:8" x14ac:dyDescent="0.25">
      <c r="A110" s="3"/>
    </row>
    <row r="111" spans="1:8" x14ac:dyDescent="0.25">
      <c r="A111" s="3"/>
    </row>
    <row r="112" spans="1:8" x14ac:dyDescent="0.25">
      <c r="A112" s="3"/>
    </row>
    <row r="113" spans="1:8" x14ac:dyDescent="0.25">
      <c r="A113" s="3"/>
    </row>
    <row r="117" spans="1:8" x14ac:dyDescent="0.25">
      <c r="A117" s="3" t="s">
        <v>58</v>
      </c>
      <c r="B117">
        <f>B29</f>
        <v>0.96075098188994479</v>
      </c>
      <c r="C117" t="s">
        <v>107</v>
      </c>
    </row>
    <row r="118" spans="1:8" x14ac:dyDescent="0.25">
      <c r="C118" t="s">
        <v>109</v>
      </c>
    </row>
    <row r="121" spans="1:8" x14ac:dyDescent="0.25">
      <c r="A121" s="15" t="s">
        <v>36</v>
      </c>
    </row>
    <row r="122" spans="1:8" x14ac:dyDescent="0.25">
      <c r="A122" t="s">
        <v>59</v>
      </c>
    </row>
    <row r="123" spans="1:8" x14ac:dyDescent="0.25">
      <c r="A123" t="s">
        <v>108</v>
      </c>
    </row>
    <row r="124" spans="1:8" x14ac:dyDescent="0.25">
      <c r="A124" s="3" t="s">
        <v>60</v>
      </c>
      <c r="B124">
        <f>E36</f>
        <v>97.913377521544717</v>
      </c>
      <c r="C124" t="s">
        <v>41</v>
      </c>
      <c r="E124" t="s">
        <v>131</v>
      </c>
    </row>
    <row r="125" spans="1:8" x14ac:dyDescent="0.25">
      <c r="A125" s="3" t="s">
        <v>160</v>
      </c>
      <c r="B125">
        <f>_xlfn.F.INV(0.97,B36,B37)</f>
        <v>4.2049430676454289</v>
      </c>
      <c r="E125" t="s">
        <v>61</v>
      </c>
    </row>
    <row r="126" spans="1:8" x14ac:dyDescent="0.25">
      <c r="A126" s="3" t="s">
        <v>63</v>
      </c>
      <c r="B126">
        <f>F36</f>
        <v>1.0538912721918569E-8</v>
      </c>
      <c r="C126" t="s">
        <v>46</v>
      </c>
      <c r="H126" t="s">
        <v>62</v>
      </c>
    </row>
    <row r="127" spans="1:8" x14ac:dyDescent="0.25">
      <c r="A127" s="3"/>
    </row>
    <row r="128" spans="1:8" x14ac:dyDescent="0.25">
      <c r="A128" s="3"/>
    </row>
    <row r="129" spans="1:17" x14ac:dyDescent="0.25">
      <c r="A129" s="3"/>
    </row>
    <row r="130" spans="1:17" x14ac:dyDescent="0.25">
      <c r="A130" s="3"/>
    </row>
    <row r="131" spans="1:17" x14ac:dyDescent="0.25">
      <c r="A131" s="3"/>
    </row>
    <row r="132" spans="1:17" x14ac:dyDescent="0.25">
      <c r="A132" s="3"/>
    </row>
    <row r="133" spans="1:17" x14ac:dyDescent="0.25">
      <c r="A133" s="3"/>
    </row>
    <row r="134" spans="1:17" x14ac:dyDescent="0.25">
      <c r="A134" s="3"/>
    </row>
    <row r="135" spans="1:17" x14ac:dyDescent="0.25">
      <c r="A135" s="3"/>
    </row>
    <row r="136" spans="1:17" x14ac:dyDescent="0.25">
      <c r="A136" s="3"/>
    </row>
    <row r="137" spans="1:17" x14ac:dyDescent="0.25">
      <c r="A137" s="3"/>
    </row>
    <row r="138" spans="1:17" x14ac:dyDescent="0.25">
      <c r="A138" s="3"/>
    </row>
    <row r="139" spans="1:17" x14ac:dyDescent="0.25">
      <c r="A139" s="3"/>
    </row>
    <row r="140" spans="1:17" x14ac:dyDescent="0.25">
      <c r="A140" s="3"/>
    </row>
    <row r="141" spans="1:17" x14ac:dyDescent="0.25">
      <c r="A141" s="3"/>
    </row>
    <row r="142" spans="1:17" x14ac:dyDescent="0.25">
      <c r="A142" s="15" t="s">
        <v>112</v>
      </c>
      <c r="B142" s="18"/>
      <c r="D142" s="3"/>
      <c r="E142" s="18"/>
      <c r="G142" s="3"/>
      <c r="H142" s="18"/>
      <c r="I142" s="19"/>
      <c r="J142" s="20"/>
      <c r="K142" s="18"/>
      <c r="L142" s="21"/>
      <c r="M142" s="22"/>
      <c r="N142" s="23"/>
      <c r="O142" s="21"/>
      <c r="P142" s="22"/>
      <c r="Q142" s="23"/>
    </row>
    <row r="143" spans="1:17" x14ac:dyDescent="0.25">
      <c r="A143" s="18" t="s">
        <v>127</v>
      </c>
    </row>
    <row r="144" spans="1:17" ht="15.75" thickBot="1" x14ac:dyDescent="0.3">
      <c r="A144" t="s">
        <v>13</v>
      </c>
      <c r="I144" t="s">
        <v>174</v>
      </c>
    </row>
    <row r="145" spans="1:11" x14ac:dyDescent="0.25">
      <c r="A145" s="13"/>
      <c r="B145" s="13" t="s">
        <v>14</v>
      </c>
      <c r="C145" s="13" t="s">
        <v>15</v>
      </c>
      <c r="D145" s="13" t="s">
        <v>16</v>
      </c>
      <c r="E145" s="13" t="s">
        <v>17</v>
      </c>
      <c r="F145" s="8" t="s">
        <v>65</v>
      </c>
      <c r="G145" s="13" t="s">
        <v>18</v>
      </c>
      <c r="I145" s="3" t="s">
        <v>60</v>
      </c>
      <c r="J145">
        <f>E148</f>
        <v>4.3120217233652183E-2</v>
      </c>
      <c r="K145" t="s">
        <v>66</v>
      </c>
    </row>
    <row r="146" spans="1:11" x14ac:dyDescent="0.25">
      <c r="A146" t="s">
        <v>19</v>
      </c>
      <c r="B146">
        <v>3</v>
      </c>
      <c r="C146">
        <v>510563.18749999994</v>
      </c>
      <c r="D146">
        <v>170187.72916666666</v>
      </c>
      <c r="E146">
        <v>136.82378175806417</v>
      </c>
      <c r="F146">
        <f>_xlfn.F.INV(0.95,B146,B147)</f>
        <v>3.1967768409433432</v>
      </c>
      <c r="G146">
        <v>4.2057461480235756E-12</v>
      </c>
      <c r="I146" s="3" t="s">
        <v>142</v>
      </c>
      <c r="J146">
        <f>F148</f>
        <v>4.4939984776663584</v>
      </c>
    </row>
    <row r="147" spans="1:11" x14ac:dyDescent="0.25">
      <c r="A147" s="26" t="s">
        <v>20</v>
      </c>
      <c r="B147" s="26">
        <v>17</v>
      </c>
      <c r="C147" s="26">
        <v>21145.38392857142</v>
      </c>
      <c r="D147" s="26">
        <v>1243.8461134453776</v>
      </c>
      <c r="G147" s="26"/>
      <c r="I147" s="3" t="s">
        <v>63</v>
      </c>
      <c r="J147">
        <f>G148</f>
        <v>0.83811909291711106</v>
      </c>
      <c r="K147" t="s">
        <v>161</v>
      </c>
    </row>
    <row r="148" spans="1:11" x14ac:dyDescent="0.25">
      <c r="A148" s="26" t="s">
        <v>67</v>
      </c>
      <c r="B148" s="26">
        <f>B147-B149</f>
        <v>1</v>
      </c>
      <c r="C148" s="26">
        <f>C147-C149</f>
        <v>56.833928571420984</v>
      </c>
      <c r="D148" s="26">
        <f>C148/B148</f>
        <v>56.833928571420984</v>
      </c>
      <c r="E148" s="26">
        <f>D148/D149</f>
        <v>4.3120217233652183E-2</v>
      </c>
      <c r="F148" s="26">
        <f>_xlfn.F.INV(0.95,B148,B149)</f>
        <v>4.4939984776663584</v>
      </c>
      <c r="G148" s="26">
        <f>1-_xlfn.F.DIST(E148,B148,B149,1)</f>
        <v>0.83811909291711106</v>
      </c>
    </row>
    <row r="149" spans="1:11" x14ac:dyDescent="0.25">
      <c r="A149" s="26" t="s">
        <v>68</v>
      </c>
      <c r="B149" s="26">
        <f>F24</f>
        <v>16</v>
      </c>
      <c r="C149" s="26">
        <f>E24</f>
        <v>21088.55</v>
      </c>
      <c r="D149" s="26">
        <f>C149/B149</f>
        <v>1318.034375</v>
      </c>
      <c r="E149" s="26"/>
      <c r="F149" s="26"/>
      <c r="I149" s="18" t="s">
        <v>143</v>
      </c>
    </row>
    <row r="150" spans="1:11" ht="15.75" thickBot="1" x14ac:dyDescent="0.3">
      <c r="A150" s="12" t="s">
        <v>21</v>
      </c>
      <c r="B150" s="12">
        <v>20</v>
      </c>
      <c r="C150" s="12">
        <v>531708.57142857136</v>
      </c>
      <c r="D150" s="12"/>
      <c r="E150" s="12"/>
      <c r="F150" s="12"/>
      <c r="I150" s="18" t="s">
        <v>175</v>
      </c>
    </row>
  </sheetData>
  <sortState ref="AA48:AA63">
    <sortCondition ref="AA48"/>
  </sortState>
  <mergeCells count="2">
    <mergeCell ref="E46:F46"/>
    <mergeCell ref="H46:I46"/>
  </mergeCells>
  <pageMargins left="0.23622047244094491" right="0.23622047244094491" top="0.19685039370078741" bottom="0.74803149606299213" header="0" footer="0"/>
  <pageSetup paperSize="9" scale="55" fitToWidth="0" orientation="portrait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24"/>
  <sheetViews>
    <sheetView workbookViewId="0">
      <selection activeCell="G36" sqref="G36"/>
    </sheetView>
  </sheetViews>
  <sheetFormatPr defaultRowHeight="15" x14ac:dyDescent="0.25"/>
  <cols>
    <col min="1" max="1" width="18.28515625" customWidth="1"/>
    <col min="2" max="2" width="18.5703125" customWidth="1"/>
    <col min="5" max="5" width="18.5703125" customWidth="1"/>
    <col min="6" max="6" width="9.7109375" customWidth="1"/>
  </cols>
  <sheetData>
    <row r="1" spans="1:6" x14ac:dyDescent="0.25">
      <c r="A1" t="s">
        <v>188</v>
      </c>
    </row>
    <row r="3" spans="1:6" x14ac:dyDescent="0.25">
      <c r="A3" s="3" t="s">
        <v>58</v>
      </c>
      <c r="B3" s="18">
        <f>F13</f>
        <v>0.96075098188994479</v>
      </c>
      <c r="C3" t="s">
        <v>107</v>
      </c>
    </row>
    <row r="4" spans="1:6" x14ac:dyDescent="0.25">
      <c r="C4" t="s">
        <v>109</v>
      </c>
    </row>
    <row r="5" spans="1:6" x14ac:dyDescent="0.25">
      <c r="C5" t="s">
        <v>191</v>
      </c>
    </row>
    <row r="7" spans="1:6" x14ac:dyDescent="0.25">
      <c r="A7" s="3" t="s">
        <v>184</v>
      </c>
      <c r="B7" s="18">
        <f>F14</f>
        <v>0.95093872736243101</v>
      </c>
      <c r="C7" t="s">
        <v>186</v>
      </c>
    </row>
    <row r="8" spans="1:6" x14ac:dyDescent="0.25">
      <c r="C8" t="s">
        <v>189</v>
      </c>
    </row>
    <row r="10" spans="1:6" ht="15.75" thickBot="1" x14ac:dyDescent="0.3">
      <c r="B10" t="s">
        <v>185</v>
      </c>
      <c r="E10" t="s">
        <v>187</v>
      </c>
    </row>
    <row r="11" spans="1:6" x14ac:dyDescent="0.25">
      <c r="B11" s="11" t="s">
        <v>7</v>
      </c>
      <c r="C11" s="11"/>
      <c r="E11" s="11" t="s">
        <v>7</v>
      </c>
      <c r="F11" s="11"/>
    </row>
    <row r="12" spans="1:6" x14ac:dyDescent="0.25">
      <c r="B12" t="s">
        <v>8</v>
      </c>
      <c r="C12">
        <v>0.98289875871037669</v>
      </c>
      <c r="E12" t="s">
        <v>8</v>
      </c>
      <c r="F12">
        <v>0.98017905603514344</v>
      </c>
    </row>
    <row r="13" spans="1:6" x14ac:dyDescent="0.25">
      <c r="B13" t="s">
        <v>9</v>
      </c>
      <c r="C13">
        <v>0.96608996987439921</v>
      </c>
      <c r="E13" t="s">
        <v>9</v>
      </c>
      <c r="F13">
        <v>0.96075098188994479</v>
      </c>
    </row>
    <row r="14" spans="1:6" x14ac:dyDescent="0.25">
      <c r="B14" t="s">
        <v>10</v>
      </c>
      <c r="C14">
        <v>0.93641869351449847</v>
      </c>
      <c r="E14" t="s">
        <v>10</v>
      </c>
      <c r="F14">
        <v>0.95093872736243101</v>
      </c>
    </row>
    <row r="15" spans="1:6" x14ac:dyDescent="0.25">
      <c r="B15" t="s">
        <v>11</v>
      </c>
      <c r="C15">
        <v>47.461168337916014</v>
      </c>
      <c r="E15" t="s">
        <v>11</v>
      </c>
      <c r="F15">
        <v>41.691076183439229</v>
      </c>
    </row>
    <row r="16" spans="1:6" ht="15.75" thickBot="1" x14ac:dyDescent="0.3">
      <c r="B16" s="12" t="s">
        <v>12</v>
      </c>
      <c r="C16" s="12">
        <v>16</v>
      </c>
      <c r="E16" s="12" t="s">
        <v>12</v>
      </c>
      <c r="F16" s="12">
        <v>16</v>
      </c>
    </row>
    <row r="19" spans="1:2" x14ac:dyDescent="0.25">
      <c r="A19" s="3" t="s">
        <v>190</v>
      </c>
      <c r="B19" t="s">
        <v>196</v>
      </c>
    </row>
    <row r="20" spans="1:2" x14ac:dyDescent="0.25">
      <c r="A20" s="3"/>
      <c r="B20" t="s">
        <v>192</v>
      </c>
    </row>
    <row r="21" spans="1:2" x14ac:dyDescent="0.25">
      <c r="B21" t="s">
        <v>193</v>
      </c>
    </row>
    <row r="22" spans="1:2" x14ac:dyDescent="0.25">
      <c r="B22" t="s">
        <v>194</v>
      </c>
    </row>
    <row r="24" spans="1:2" x14ac:dyDescent="0.25">
      <c r="B24" t="s">
        <v>195</v>
      </c>
    </row>
  </sheetData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7"/>
  <sheetViews>
    <sheetView zoomScale="85" zoomScaleNormal="85" workbookViewId="0">
      <selection activeCell="Y32" sqref="Y32"/>
    </sheetView>
  </sheetViews>
  <sheetFormatPr defaultRowHeight="15" x14ac:dyDescent="0.25"/>
  <cols>
    <col min="1" max="3" width="9.140625" customWidth="1"/>
    <col min="4" max="7" width="0" hidden="1" customWidth="1"/>
    <col min="8" max="11" width="9.140625" customWidth="1"/>
    <col min="12" max="12" width="18.28515625" customWidth="1"/>
  </cols>
  <sheetData>
    <row r="1" spans="1:21" x14ac:dyDescent="0.25">
      <c r="A1" s="1" t="s">
        <v>202</v>
      </c>
      <c r="B1" s="77" t="s">
        <v>203</v>
      </c>
      <c r="C1" s="1" t="s">
        <v>204</v>
      </c>
      <c r="D1" s="27" t="s">
        <v>4</v>
      </c>
      <c r="E1" s="1" t="s">
        <v>70</v>
      </c>
      <c r="F1" s="27" t="s">
        <v>71</v>
      </c>
      <c r="G1" s="27" t="s">
        <v>125</v>
      </c>
      <c r="H1" s="1" t="s">
        <v>5</v>
      </c>
    </row>
    <row r="2" spans="1:21" x14ac:dyDescent="0.25">
      <c r="A2" s="1">
        <v>-1</v>
      </c>
      <c r="B2" s="1">
        <v>-1</v>
      </c>
      <c r="C2" s="1">
        <v>-1</v>
      </c>
      <c r="D2" s="1">
        <f>A2*B2</f>
        <v>1</v>
      </c>
      <c r="E2" s="1">
        <f>A2*C2</f>
        <v>1</v>
      </c>
      <c r="F2" s="1">
        <f>B2*C2</f>
        <v>1</v>
      </c>
      <c r="G2" s="1">
        <f>A2*B2*C2</f>
        <v>-1</v>
      </c>
      <c r="H2" s="9">
        <v>550</v>
      </c>
      <c r="K2" t="s">
        <v>199</v>
      </c>
    </row>
    <row r="3" spans="1:21" x14ac:dyDescent="0.25">
      <c r="A3" s="1">
        <v>-1</v>
      </c>
      <c r="B3" s="1">
        <v>-1</v>
      </c>
      <c r="C3" s="1">
        <v>-1</v>
      </c>
      <c r="D3" s="1">
        <f t="shared" ref="D3:D17" si="0">A3*B3</f>
        <v>1</v>
      </c>
      <c r="E3" s="1">
        <f t="shared" ref="E3:E17" si="1">A3*C3</f>
        <v>1</v>
      </c>
      <c r="F3" s="1">
        <f t="shared" ref="F3:F17" si="2">B3*C3</f>
        <v>1</v>
      </c>
      <c r="G3" s="1">
        <f t="shared" ref="G3:G17" si="3">A3*B3*C3</f>
        <v>-1</v>
      </c>
      <c r="H3" s="9">
        <v>604</v>
      </c>
      <c r="K3">
        <v>-1</v>
      </c>
      <c r="L3">
        <f>AVERAGE(H2:H3,H6:H7,H10:H11,H14:H15)</f>
        <v>826.875</v>
      </c>
      <c r="P3" s="5"/>
      <c r="S3" s="27"/>
      <c r="T3" s="27"/>
      <c r="U3" s="27"/>
    </row>
    <row r="4" spans="1:21" x14ac:dyDescent="0.25">
      <c r="A4" s="1">
        <v>1</v>
      </c>
      <c r="B4" s="1">
        <v>-1</v>
      </c>
      <c r="C4" s="1">
        <v>-1</v>
      </c>
      <c r="D4" s="1">
        <f t="shared" si="0"/>
        <v>-1</v>
      </c>
      <c r="E4" s="1">
        <f t="shared" si="1"/>
        <v>-1</v>
      </c>
      <c r="F4" s="1">
        <f t="shared" si="2"/>
        <v>1</v>
      </c>
      <c r="G4" s="1">
        <f t="shared" si="3"/>
        <v>1</v>
      </c>
      <c r="H4" s="9">
        <v>669</v>
      </c>
      <c r="K4">
        <v>1</v>
      </c>
      <c r="L4">
        <f>AVERAGE(H4:H5,H8:H9,H12:H13,H16:H17)</f>
        <v>725.25</v>
      </c>
      <c r="P4" s="5"/>
      <c r="S4" s="27"/>
      <c r="T4" s="27"/>
      <c r="U4" s="27"/>
    </row>
    <row r="5" spans="1:21" x14ac:dyDescent="0.25">
      <c r="A5" s="1">
        <v>1</v>
      </c>
      <c r="B5" s="1">
        <v>-1</v>
      </c>
      <c r="C5" s="1">
        <v>-1</v>
      </c>
      <c r="D5" s="1">
        <f t="shared" si="0"/>
        <v>-1</v>
      </c>
      <c r="E5" s="1">
        <f t="shared" si="1"/>
        <v>-1</v>
      </c>
      <c r="F5" s="1">
        <f t="shared" si="2"/>
        <v>1</v>
      </c>
      <c r="G5" s="1">
        <f t="shared" si="3"/>
        <v>1</v>
      </c>
      <c r="H5" s="9">
        <v>650</v>
      </c>
      <c r="K5" s="3" t="s">
        <v>159</v>
      </c>
      <c r="L5">
        <f>L4-L3</f>
        <v>-101.625</v>
      </c>
      <c r="S5" s="27"/>
      <c r="T5" s="27"/>
      <c r="U5" s="27"/>
    </row>
    <row r="6" spans="1:21" x14ac:dyDescent="0.25">
      <c r="A6" s="1">
        <v>-1</v>
      </c>
      <c r="B6" s="1">
        <v>1</v>
      </c>
      <c r="C6" s="1">
        <v>-1</v>
      </c>
      <c r="D6" s="1">
        <f t="shared" si="0"/>
        <v>-1</v>
      </c>
      <c r="E6" s="1">
        <f t="shared" si="1"/>
        <v>1</v>
      </c>
      <c r="F6" s="1">
        <f t="shared" si="2"/>
        <v>-1</v>
      </c>
      <c r="G6" s="1">
        <f t="shared" si="3"/>
        <v>1</v>
      </c>
      <c r="H6" s="9">
        <v>633</v>
      </c>
      <c r="S6" s="1"/>
      <c r="T6" s="1"/>
      <c r="U6" s="1"/>
    </row>
    <row r="7" spans="1:21" x14ac:dyDescent="0.25">
      <c r="A7" s="1">
        <v>-1</v>
      </c>
      <c r="B7" s="1">
        <v>1</v>
      </c>
      <c r="C7" s="1">
        <v>-1</v>
      </c>
      <c r="D7" s="1">
        <f t="shared" si="0"/>
        <v>-1</v>
      </c>
      <c r="E7" s="1">
        <f t="shared" si="1"/>
        <v>1</v>
      </c>
      <c r="F7" s="1">
        <f t="shared" si="2"/>
        <v>-1</v>
      </c>
      <c r="G7" s="1">
        <f t="shared" si="3"/>
        <v>1</v>
      </c>
      <c r="H7" s="9">
        <v>601</v>
      </c>
      <c r="S7" s="1"/>
      <c r="T7" s="1"/>
      <c r="U7" s="1"/>
    </row>
    <row r="8" spans="1:21" x14ac:dyDescent="0.25">
      <c r="A8" s="1">
        <v>1</v>
      </c>
      <c r="B8" s="1">
        <v>1</v>
      </c>
      <c r="C8" s="1">
        <v>-1</v>
      </c>
      <c r="D8" s="1">
        <f t="shared" si="0"/>
        <v>1</v>
      </c>
      <c r="E8" s="1">
        <f t="shared" si="1"/>
        <v>-1</v>
      </c>
      <c r="F8" s="1">
        <f t="shared" si="2"/>
        <v>-1</v>
      </c>
      <c r="G8" s="1">
        <f t="shared" si="3"/>
        <v>-1</v>
      </c>
      <c r="H8" s="9">
        <v>642</v>
      </c>
      <c r="K8" t="s">
        <v>200</v>
      </c>
      <c r="S8" s="1"/>
      <c r="T8" s="1"/>
      <c r="U8" s="1"/>
    </row>
    <row r="9" spans="1:21" x14ac:dyDescent="0.25">
      <c r="A9" s="1">
        <v>1</v>
      </c>
      <c r="B9" s="1">
        <v>1</v>
      </c>
      <c r="C9" s="1">
        <v>-1</v>
      </c>
      <c r="D9" s="1">
        <f t="shared" si="0"/>
        <v>1</v>
      </c>
      <c r="E9" s="1">
        <f t="shared" si="1"/>
        <v>-1</v>
      </c>
      <c r="F9" s="1">
        <f t="shared" si="2"/>
        <v>-1</v>
      </c>
      <c r="G9" s="1">
        <f t="shared" si="3"/>
        <v>-1</v>
      </c>
      <c r="H9" s="9">
        <v>635</v>
      </c>
      <c r="K9">
        <v>-1</v>
      </c>
      <c r="L9">
        <f>AVERAGE(H2:H5,H10:H13)</f>
        <v>772.375</v>
      </c>
      <c r="M9" s="9"/>
      <c r="N9" s="9"/>
      <c r="O9" s="9"/>
      <c r="S9" s="1"/>
      <c r="T9" s="1"/>
      <c r="U9" s="1"/>
    </row>
    <row r="10" spans="1:21" x14ac:dyDescent="0.25">
      <c r="A10" s="1">
        <v>-1</v>
      </c>
      <c r="B10" s="1">
        <v>-1</v>
      </c>
      <c r="C10" s="1">
        <v>1</v>
      </c>
      <c r="D10" s="1">
        <f t="shared" si="0"/>
        <v>1</v>
      </c>
      <c r="E10" s="1">
        <f t="shared" si="1"/>
        <v>-1</v>
      </c>
      <c r="F10" s="1">
        <f t="shared" si="2"/>
        <v>-1</v>
      </c>
      <c r="G10" s="1">
        <f t="shared" si="3"/>
        <v>1</v>
      </c>
      <c r="H10" s="9">
        <v>1037</v>
      </c>
      <c r="K10">
        <v>1</v>
      </c>
      <c r="L10">
        <f>AVERAGE(H6:H9,H14:H17)</f>
        <v>779.75</v>
      </c>
      <c r="M10" s="9"/>
      <c r="N10" s="9"/>
      <c r="O10" s="9"/>
      <c r="S10" s="1"/>
      <c r="T10" s="1"/>
      <c r="U10" s="1"/>
    </row>
    <row r="11" spans="1:21" x14ac:dyDescent="0.25">
      <c r="A11" s="1">
        <v>-1</v>
      </c>
      <c r="B11" s="1">
        <v>-1</v>
      </c>
      <c r="C11" s="1">
        <v>1</v>
      </c>
      <c r="D11" s="1">
        <f t="shared" si="0"/>
        <v>1</v>
      </c>
      <c r="E11" s="1">
        <f t="shared" si="1"/>
        <v>-1</v>
      </c>
      <c r="F11" s="1">
        <f t="shared" si="2"/>
        <v>-1</v>
      </c>
      <c r="G11" s="1">
        <f t="shared" si="3"/>
        <v>1</v>
      </c>
      <c r="H11" s="9">
        <v>1052</v>
      </c>
      <c r="K11" s="3" t="s">
        <v>205</v>
      </c>
      <c r="L11">
        <f>L10-L9</f>
        <v>7.375</v>
      </c>
      <c r="M11" s="9"/>
      <c r="N11" s="9"/>
      <c r="O11" s="9"/>
      <c r="S11" s="1"/>
      <c r="T11" s="1"/>
      <c r="U11" s="1"/>
    </row>
    <row r="12" spans="1:21" x14ac:dyDescent="0.25">
      <c r="A12" s="1">
        <v>1</v>
      </c>
      <c r="B12" s="1">
        <v>-1</v>
      </c>
      <c r="C12" s="1">
        <v>1</v>
      </c>
      <c r="D12" s="1">
        <f t="shared" si="0"/>
        <v>-1</v>
      </c>
      <c r="E12" s="1">
        <f t="shared" si="1"/>
        <v>1</v>
      </c>
      <c r="F12" s="1">
        <f t="shared" si="2"/>
        <v>-1</v>
      </c>
      <c r="G12" s="1">
        <f t="shared" si="3"/>
        <v>-1</v>
      </c>
      <c r="H12" s="9">
        <v>749</v>
      </c>
      <c r="M12" s="9"/>
      <c r="N12" s="9"/>
      <c r="O12" s="9"/>
      <c r="S12" s="27"/>
      <c r="T12" s="27"/>
      <c r="U12" s="27"/>
    </row>
    <row r="13" spans="1:21" x14ac:dyDescent="0.25">
      <c r="A13" s="1">
        <v>1</v>
      </c>
      <c r="B13" s="1">
        <v>-1</v>
      </c>
      <c r="C13" s="1">
        <v>1</v>
      </c>
      <c r="D13" s="1">
        <f t="shared" si="0"/>
        <v>-1</v>
      </c>
      <c r="E13" s="1">
        <f t="shared" si="1"/>
        <v>1</v>
      </c>
      <c r="F13" s="1">
        <f t="shared" si="2"/>
        <v>-1</v>
      </c>
      <c r="G13" s="1">
        <f t="shared" si="3"/>
        <v>-1</v>
      </c>
      <c r="H13" s="9">
        <v>868</v>
      </c>
      <c r="M13" s="9"/>
      <c r="N13" s="9"/>
      <c r="O13" s="9"/>
      <c r="S13" s="27"/>
      <c r="T13" s="27"/>
      <c r="U13" s="27"/>
    </row>
    <row r="14" spans="1:21" x14ac:dyDescent="0.25">
      <c r="A14" s="1">
        <v>-1</v>
      </c>
      <c r="B14" s="1">
        <v>1</v>
      </c>
      <c r="C14" s="1">
        <v>1</v>
      </c>
      <c r="D14" s="1">
        <f t="shared" si="0"/>
        <v>-1</v>
      </c>
      <c r="E14" s="1">
        <f t="shared" si="1"/>
        <v>-1</v>
      </c>
      <c r="F14" s="1">
        <f t="shared" si="2"/>
        <v>1</v>
      </c>
      <c r="G14" s="1">
        <f t="shared" si="3"/>
        <v>-1</v>
      </c>
      <c r="H14" s="9">
        <v>1075</v>
      </c>
      <c r="K14" t="s">
        <v>201</v>
      </c>
    </row>
    <row r="15" spans="1:21" x14ac:dyDescent="0.25">
      <c r="A15" s="1">
        <v>-1</v>
      </c>
      <c r="B15" s="1">
        <v>1</v>
      </c>
      <c r="C15" s="1">
        <v>1</v>
      </c>
      <c r="D15" s="1">
        <f t="shared" si="0"/>
        <v>-1</v>
      </c>
      <c r="E15" s="1">
        <f t="shared" si="1"/>
        <v>-1</v>
      </c>
      <c r="F15" s="1">
        <f t="shared" si="2"/>
        <v>1</v>
      </c>
      <c r="G15" s="1">
        <f t="shared" si="3"/>
        <v>-1</v>
      </c>
      <c r="H15" s="9">
        <v>1063</v>
      </c>
      <c r="K15">
        <v>-1</v>
      </c>
      <c r="L15">
        <f>AVERAGE(H2:H9)</f>
        <v>623</v>
      </c>
    </row>
    <row r="16" spans="1:21" x14ac:dyDescent="0.25">
      <c r="A16" s="1">
        <v>1</v>
      </c>
      <c r="B16" s="1">
        <v>1</v>
      </c>
      <c r="C16" s="1">
        <v>1</v>
      </c>
      <c r="D16" s="1">
        <f t="shared" si="0"/>
        <v>1</v>
      </c>
      <c r="E16" s="1">
        <f t="shared" si="1"/>
        <v>1</v>
      </c>
      <c r="F16" s="1">
        <f t="shared" si="2"/>
        <v>1</v>
      </c>
      <c r="G16" s="1">
        <f t="shared" si="3"/>
        <v>1</v>
      </c>
      <c r="H16" s="9">
        <v>729</v>
      </c>
      <c r="K16">
        <v>1</v>
      </c>
      <c r="L16">
        <f>AVERAGE(H10:H17)</f>
        <v>929.125</v>
      </c>
    </row>
    <row r="17" spans="1:12" x14ac:dyDescent="0.25">
      <c r="A17" s="1">
        <v>1</v>
      </c>
      <c r="B17" s="1">
        <v>1</v>
      </c>
      <c r="C17" s="1">
        <v>1</v>
      </c>
      <c r="D17" s="1">
        <f t="shared" si="0"/>
        <v>1</v>
      </c>
      <c r="E17" s="1">
        <f t="shared" si="1"/>
        <v>1</v>
      </c>
      <c r="F17" s="1">
        <f t="shared" si="2"/>
        <v>1</v>
      </c>
      <c r="G17" s="1">
        <f t="shared" si="3"/>
        <v>1</v>
      </c>
      <c r="H17" s="9">
        <v>860</v>
      </c>
      <c r="K17" s="3" t="s">
        <v>206</v>
      </c>
      <c r="L17">
        <f>L16-L15</f>
        <v>306.125</v>
      </c>
    </row>
  </sheetData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52"/>
  <sheetViews>
    <sheetView topLeftCell="A13" workbookViewId="0">
      <selection activeCell="B1" sqref="B1"/>
    </sheetView>
  </sheetViews>
  <sheetFormatPr defaultRowHeight="15" x14ac:dyDescent="0.25"/>
  <cols>
    <col min="1" max="1" width="4.85546875" customWidth="1"/>
    <col min="2" max="2" width="5" customWidth="1"/>
    <col min="3" max="3" width="4.5703125" customWidth="1"/>
    <col min="4" max="4" width="13.5703125" customWidth="1"/>
    <col min="5" max="5" width="13.28515625" customWidth="1"/>
    <col min="6" max="6" width="9.85546875" customWidth="1"/>
    <col min="7" max="7" width="43.28515625" customWidth="1"/>
    <col min="8" max="8" width="18.28515625" customWidth="1"/>
  </cols>
  <sheetData>
    <row r="1" spans="1:17" x14ac:dyDescent="0.25">
      <c r="A1" s="1" t="s">
        <v>202</v>
      </c>
      <c r="B1" s="77" t="s">
        <v>203</v>
      </c>
      <c r="C1" s="1" t="s">
        <v>204</v>
      </c>
      <c r="D1" s="1" t="s">
        <v>5</v>
      </c>
    </row>
    <row r="2" spans="1:17" x14ac:dyDescent="0.25">
      <c r="A2" s="1">
        <v>-1</v>
      </c>
      <c r="B2" s="1">
        <v>-1</v>
      </c>
      <c r="C2" s="1">
        <v>-1</v>
      </c>
      <c r="D2" s="78">
        <v>550</v>
      </c>
    </row>
    <row r="3" spans="1:17" x14ac:dyDescent="0.25">
      <c r="A3" s="1">
        <v>-1</v>
      </c>
      <c r="B3" s="1">
        <v>-1</v>
      </c>
      <c r="C3" s="1">
        <v>-1</v>
      </c>
      <c r="D3" s="78">
        <v>604</v>
      </c>
      <c r="L3" s="5"/>
      <c r="O3" s="27"/>
      <c r="P3" s="27"/>
      <c r="Q3" s="27"/>
    </row>
    <row r="4" spans="1:17" x14ac:dyDescent="0.25">
      <c r="A4" s="1">
        <v>1</v>
      </c>
      <c r="B4" s="1">
        <v>-1</v>
      </c>
      <c r="C4" s="1">
        <v>-1</v>
      </c>
      <c r="D4" s="78">
        <v>669</v>
      </c>
      <c r="L4" s="5"/>
      <c r="O4" s="27"/>
      <c r="P4" s="27"/>
      <c r="Q4" s="27"/>
    </row>
    <row r="5" spans="1:17" x14ac:dyDescent="0.25">
      <c r="A5" s="1">
        <v>1</v>
      </c>
      <c r="B5" s="1">
        <v>-1</v>
      </c>
      <c r="C5" s="1">
        <v>-1</v>
      </c>
      <c r="D5" s="78">
        <v>650</v>
      </c>
      <c r="G5" s="3"/>
      <c r="O5" s="27"/>
      <c r="P5" s="27"/>
      <c r="Q5" s="27"/>
    </row>
    <row r="6" spans="1:17" x14ac:dyDescent="0.25">
      <c r="A6" s="1">
        <v>-1</v>
      </c>
      <c r="B6" s="1">
        <v>1</v>
      </c>
      <c r="C6" s="1">
        <v>-1</v>
      </c>
      <c r="D6" s="78">
        <v>633</v>
      </c>
      <c r="O6" s="1"/>
      <c r="P6" s="1"/>
      <c r="Q6" s="1"/>
    </row>
    <row r="7" spans="1:17" x14ac:dyDescent="0.25">
      <c r="A7" s="1">
        <v>-1</v>
      </c>
      <c r="B7" s="1">
        <v>1</v>
      </c>
      <c r="C7" s="1">
        <v>-1</v>
      </c>
      <c r="D7" s="78">
        <v>601</v>
      </c>
      <c r="O7" s="1"/>
      <c r="P7" s="1"/>
      <c r="Q7" s="1"/>
    </row>
    <row r="8" spans="1:17" x14ac:dyDescent="0.25">
      <c r="A8" s="1">
        <v>1</v>
      </c>
      <c r="B8" s="1">
        <v>1</v>
      </c>
      <c r="C8" s="1">
        <v>-1</v>
      </c>
      <c r="D8" s="78">
        <v>642</v>
      </c>
      <c r="O8" s="1"/>
      <c r="P8" s="1"/>
      <c r="Q8" s="1"/>
    </row>
    <row r="9" spans="1:17" x14ac:dyDescent="0.25">
      <c r="A9" s="1">
        <v>1</v>
      </c>
      <c r="B9" s="1">
        <v>1</v>
      </c>
      <c r="C9" s="1">
        <v>-1</v>
      </c>
      <c r="D9" s="78">
        <v>635</v>
      </c>
      <c r="I9" s="9"/>
      <c r="J9" s="9"/>
      <c r="K9" s="9"/>
      <c r="O9" s="1"/>
      <c r="P9" s="1"/>
      <c r="Q9" s="1"/>
    </row>
    <row r="10" spans="1:17" x14ac:dyDescent="0.25">
      <c r="A10" s="1">
        <v>-1</v>
      </c>
      <c r="B10" s="1">
        <v>-1</v>
      </c>
      <c r="C10" s="1">
        <v>1</v>
      </c>
      <c r="D10" s="78">
        <v>1037</v>
      </c>
      <c r="I10" s="9"/>
      <c r="J10" s="9"/>
      <c r="K10" s="9"/>
      <c r="O10" s="1"/>
      <c r="P10" s="1"/>
      <c r="Q10" s="1"/>
    </row>
    <row r="11" spans="1:17" x14ac:dyDescent="0.25">
      <c r="A11" s="1">
        <v>-1</v>
      </c>
      <c r="B11" s="1">
        <v>-1</v>
      </c>
      <c r="C11" s="1">
        <v>1</v>
      </c>
      <c r="D11" s="78">
        <v>1052</v>
      </c>
      <c r="G11" s="3"/>
      <c r="I11" s="9"/>
      <c r="J11" s="9"/>
      <c r="K11" s="9"/>
      <c r="O11" s="1"/>
      <c r="P11" s="1"/>
      <c r="Q11" s="1"/>
    </row>
    <row r="12" spans="1:17" x14ac:dyDescent="0.25">
      <c r="A12" s="1">
        <v>1</v>
      </c>
      <c r="B12" s="1">
        <v>-1</v>
      </c>
      <c r="C12" s="1">
        <v>1</v>
      </c>
      <c r="D12" s="78">
        <v>749</v>
      </c>
      <c r="I12" s="9"/>
      <c r="J12" s="9"/>
      <c r="K12" s="9"/>
      <c r="O12" s="27"/>
      <c r="P12" s="27"/>
      <c r="Q12" s="27"/>
    </row>
    <row r="13" spans="1:17" x14ac:dyDescent="0.25">
      <c r="A13" s="1">
        <v>1</v>
      </c>
      <c r="B13" s="1">
        <v>-1</v>
      </c>
      <c r="C13" s="1">
        <v>1</v>
      </c>
      <c r="D13" s="78">
        <v>868</v>
      </c>
      <c r="I13" s="9"/>
      <c r="J13" s="9"/>
      <c r="K13" s="9"/>
      <c r="O13" s="27"/>
      <c r="P13" s="27"/>
      <c r="Q13" s="27"/>
    </row>
    <row r="14" spans="1:17" x14ac:dyDescent="0.25">
      <c r="A14" s="1">
        <v>-1</v>
      </c>
      <c r="B14" s="1">
        <v>1</v>
      </c>
      <c r="C14" s="1">
        <v>1</v>
      </c>
      <c r="D14" s="78">
        <v>1075</v>
      </c>
    </row>
    <row r="15" spans="1:17" x14ac:dyDescent="0.25">
      <c r="A15" s="1">
        <v>-1</v>
      </c>
      <c r="B15" s="1">
        <v>1</v>
      </c>
      <c r="C15" s="1">
        <v>1</v>
      </c>
      <c r="D15" s="78">
        <v>1063</v>
      </c>
    </row>
    <row r="16" spans="1:17" x14ac:dyDescent="0.25">
      <c r="A16" s="1">
        <v>1</v>
      </c>
      <c r="B16" s="1">
        <v>1</v>
      </c>
      <c r="C16" s="1">
        <v>1</v>
      </c>
      <c r="D16" s="78">
        <v>729</v>
      </c>
    </row>
    <row r="17" spans="1:7" x14ac:dyDescent="0.25">
      <c r="A17" s="1">
        <v>1</v>
      </c>
      <c r="B17" s="1">
        <v>1</v>
      </c>
      <c r="C17" s="1">
        <v>1</v>
      </c>
      <c r="D17" s="78">
        <v>860</v>
      </c>
      <c r="G17" s="3"/>
    </row>
    <row r="19" spans="1:7" x14ac:dyDescent="0.25">
      <c r="A19" s="94" t="s">
        <v>135</v>
      </c>
      <c r="B19" s="94"/>
      <c r="C19" s="94"/>
      <c r="D19" s="94"/>
      <c r="E19" s="94"/>
      <c r="F19" s="94"/>
      <c r="G19" s="94"/>
    </row>
    <row r="21" spans="1:7" x14ac:dyDescent="0.25">
      <c r="D21" s="92" t="s">
        <v>133</v>
      </c>
      <c r="E21" s="92"/>
    </row>
    <row r="22" spans="1:7" x14ac:dyDescent="0.25">
      <c r="D22" s="76">
        <v>0.8</v>
      </c>
      <c r="E22" s="76">
        <v>1.2</v>
      </c>
    </row>
    <row r="23" spans="1:7" x14ac:dyDescent="0.25">
      <c r="D23" s="76">
        <v>-1</v>
      </c>
      <c r="E23" s="76">
        <v>1</v>
      </c>
    </row>
    <row r="24" spans="1:7" x14ac:dyDescent="0.25">
      <c r="A24" s="91" t="s">
        <v>132</v>
      </c>
      <c r="B24" s="76">
        <v>275</v>
      </c>
      <c r="C24" s="45">
        <v>-1</v>
      </c>
      <c r="D24" s="44">
        <f>AVERAGE(D2:D3,D6:D7)</f>
        <v>597</v>
      </c>
      <c r="E24" s="44">
        <f>AVERAGE(D4,D5,D8,D9)</f>
        <v>649</v>
      </c>
      <c r="F24">
        <f>AVERAGE(E25,D24)</f>
        <v>699.25</v>
      </c>
    </row>
    <row r="25" spans="1:7" x14ac:dyDescent="0.25">
      <c r="A25" s="91"/>
      <c r="B25" s="76">
        <v>325</v>
      </c>
      <c r="C25" s="45">
        <v>1</v>
      </c>
      <c r="D25" s="44">
        <f>AVERAGE(D10,D11,D14,D15)</f>
        <v>1056.75</v>
      </c>
      <c r="E25" s="44">
        <f>AVERAGE(D12,D13,D16,D17)</f>
        <v>801.5</v>
      </c>
      <c r="F25">
        <f>AVERAGE(D25,E24)</f>
        <v>852.875</v>
      </c>
    </row>
    <row r="26" spans="1:7" x14ac:dyDescent="0.25">
      <c r="E26" s="3" t="s">
        <v>207</v>
      </c>
      <c r="F26" s="28">
        <f>F24-F25</f>
        <v>-153.625</v>
      </c>
    </row>
    <row r="28" spans="1:7" x14ac:dyDescent="0.25">
      <c r="A28" s="94" t="s">
        <v>208</v>
      </c>
      <c r="B28" s="94"/>
      <c r="C28" s="94"/>
      <c r="D28" s="94"/>
      <c r="E28" s="94"/>
      <c r="F28" s="94"/>
      <c r="G28" s="94"/>
    </row>
    <row r="30" spans="1:7" x14ac:dyDescent="0.25">
      <c r="D30" s="92" t="s">
        <v>133</v>
      </c>
      <c r="E30" s="92"/>
    </row>
    <row r="31" spans="1:7" x14ac:dyDescent="0.25">
      <c r="D31" s="76">
        <v>0.8</v>
      </c>
      <c r="E31" s="76">
        <v>1.2</v>
      </c>
    </row>
    <row r="32" spans="1:7" x14ac:dyDescent="0.25">
      <c r="D32" s="76">
        <v>-1</v>
      </c>
      <c r="E32" s="76">
        <v>1</v>
      </c>
    </row>
    <row r="33" spans="1:14" x14ac:dyDescent="0.25">
      <c r="A33" s="91" t="s">
        <v>210</v>
      </c>
      <c r="B33" s="76">
        <v>125</v>
      </c>
      <c r="C33" s="45">
        <v>-1</v>
      </c>
      <c r="D33" s="44">
        <f>AVERAGE(D2,D3,D10,D11)</f>
        <v>810.75</v>
      </c>
      <c r="E33" s="44">
        <f>AVERAGE(D4,D5,D12,D13)</f>
        <v>734</v>
      </c>
      <c r="F33">
        <f>AVERAGE(E34,D33)</f>
        <v>763.625</v>
      </c>
    </row>
    <row r="34" spans="1:14" x14ac:dyDescent="0.25">
      <c r="A34" s="91"/>
      <c r="B34" s="76">
        <v>200</v>
      </c>
      <c r="C34" s="45">
        <v>1</v>
      </c>
      <c r="D34" s="44">
        <f>AVERAGE(D6,D7,D14,D15)</f>
        <v>843</v>
      </c>
      <c r="E34" s="44">
        <f>AVERAGE(D8,D9,D16,D17)</f>
        <v>716.5</v>
      </c>
      <c r="F34">
        <f>AVERAGE(D34,E33)</f>
        <v>788.5</v>
      </c>
    </row>
    <row r="35" spans="1:14" x14ac:dyDescent="0.25">
      <c r="E35" s="3" t="s">
        <v>211</v>
      </c>
      <c r="F35" s="28">
        <f>F33-F34</f>
        <v>-24.875</v>
      </c>
    </row>
    <row r="36" spans="1:14" x14ac:dyDescent="0.25">
      <c r="G36" s="1"/>
      <c r="M36" s="92"/>
      <c r="N36" s="92"/>
    </row>
    <row r="37" spans="1:14" x14ac:dyDescent="0.25">
      <c r="A37" s="94" t="s">
        <v>209</v>
      </c>
      <c r="B37" s="94"/>
      <c r="C37" s="94"/>
      <c r="D37" s="94"/>
      <c r="E37" s="94"/>
      <c r="F37" s="94"/>
      <c r="G37" s="94"/>
    </row>
    <row r="39" spans="1:14" x14ac:dyDescent="0.25">
      <c r="D39" s="92" t="s">
        <v>210</v>
      </c>
      <c r="E39" s="92"/>
    </row>
    <row r="40" spans="1:14" x14ac:dyDescent="0.25">
      <c r="D40" s="76">
        <v>125</v>
      </c>
      <c r="E40" s="76">
        <v>200</v>
      </c>
    </row>
    <row r="41" spans="1:14" x14ac:dyDescent="0.25">
      <c r="D41" s="76">
        <v>-1</v>
      </c>
      <c r="E41" s="76">
        <v>1</v>
      </c>
    </row>
    <row r="42" spans="1:14" x14ac:dyDescent="0.25">
      <c r="A42" s="91" t="s">
        <v>132</v>
      </c>
      <c r="B42" s="76">
        <v>275</v>
      </c>
      <c r="C42" s="45">
        <v>-1</v>
      </c>
      <c r="D42" s="44">
        <f>AVERAGE(D2,D3,D4,D5)</f>
        <v>618.25</v>
      </c>
      <c r="E42" s="44">
        <f>AVERAGE(D6,D7,D8,D9)</f>
        <v>627.75</v>
      </c>
      <c r="F42">
        <f>AVERAGE(E43,D42)</f>
        <v>775</v>
      </c>
    </row>
    <row r="43" spans="1:14" x14ac:dyDescent="0.25">
      <c r="A43" s="91"/>
      <c r="B43" s="76">
        <v>325</v>
      </c>
      <c r="C43" s="45">
        <v>1</v>
      </c>
      <c r="D43" s="44">
        <f>AVERAGE(D10,D11,D12,D13)</f>
        <v>926.5</v>
      </c>
      <c r="E43" s="44">
        <f>AVERAGE(D14,D15,D16,D17)</f>
        <v>931.75</v>
      </c>
      <c r="F43">
        <f>AVERAGE(D43,E42)</f>
        <v>777.125</v>
      </c>
    </row>
    <row r="44" spans="1:14" x14ac:dyDescent="0.25">
      <c r="E44" s="3" t="s">
        <v>212</v>
      </c>
      <c r="F44" s="28">
        <f>F42-F43</f>
        <v>-2.125</v>
      </c>
    </row>
    <row r="45" spans="1:14" x14ac:dyDescent="0.25">
      <c r="G45" s="1"/>
      <c r="I45" s="9"/>
    </row>
    <row r="46" spans="1:14" x14ac:dyDescent="0.25">
      <c r="G46" s="1"/>
      <c r="I46" s="9"/>
    </row>
    <row r="47" spans="1:14" x14ac:dyDescent="0.25">
      <c r="G47" s="1"/>
      <c r="I47" s="9"/>
    </row>
    <row r="48" spans="1:14" x14ac:dyDescent="0.25">
      <c r="G48" s="1"/>
      <c r="I48" s="9"/>
    </row>
    <row r="49" spans="7:9" x14ac:dyDescent="0.25">
      <c r="G49" s="1"/>
      <c r="I49" s="9"/>
    </row>
    <row r="50" spans="7:9" x14ac:dyDescent="0.25">
      <c r="G50" s="1"/>
      <c r="I50" s="9"/>
    </row>
    <row r="51" spans="7:9" x14ac:dyDescent="0.25">
      <c r="G51" s="1"/>
      <c r="I51" s="9"/>
    </row>
    <row r="52" spans="7:9" x14ac:dyDescent="0.25">
      <c r="G52" s="1"/>
      <c r="I52" s="9"/>
    </row>
  </sheetData>
  <autoFilter ref="A1:D17"/>
  <mergeCells count="10">
    <mergeCell ref="A19:G19"/>
    <mergeCell ref="A28:G28"/>
    <mergeCell ref="D30:E30"/>
    <mergeCell ref="A33:A34"/>
    <mergeCell ref="A37:G37"/>
    <mergeCell ref="D39:E39"/>
    <mergeCell ref="A42:A43"/>
    <mergeCell ref="M36:N36"/>
    <mergeCell ref="D21:E21"/>
    <mergeCell ref="A24:A25"/>
  </mergeCells>
  <pageMargins left="0.25" right="0.25" top="0.75" bottom="0.75" header="0.3" footer="0.3"/>
  <pageSetup paperSize="9" scale="60" fitToHeight="0" orientation="landscape" horizontalDpi="300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zoomScale="85" zoomScaleNormal="85" workbookViewId="0">
      <selection activeCell="F41" sqref="F41"/>
    </sheetView>
  </sheetViews>
  <sheetFormatPr defaultRowHeight="15" x14ac:dyDescent="0.25"/>
  <cols>
    <col min="1" max="1" width="11.7109375" customWidth="1"/>
    <col min="2" max="2" width="39.85546875" customWidth="1"/>
  </cols>
  <sheetData>
    <row r="1" spans="1:5" x14ac:dyDescent="0.25">
      <c r="A1" t="s">
        <v>213</v>
      </c>
    </row>
    <row r="2" spans="1:5" x14ac:dyDescent="0.25">
      <c r="B2" s="3" t="s">
        <v>159</v>
      </c>
      <c r="C2" s="79">
        <v>-101.625</v>
      </c>
      <c r="E2" s="3"/>
    </row>
    <row r="3" spans="1:5" x14ac:dyDescent="0.25">
      <c r="B3" s="3" t="s">
        <v>205</v>
      </c>
      <c r="C3" s="79">
        <v>7.375</v>
      </c>
    </row>
    <row r="4" spans="1:5" x14ac:dyDescent="0.25">
      <c r="B4" s="3" t="s">
        <v>206</v>
      </c>
      <c r="C4" s="79">
        <v>306.125</v>
      </c>
    </row>
    <row r="5" spans="1:5" x14ac:dyDescent="0.25">
      <c r="B5" s="3" t="s">
        <v>207</v>
      </c>
      <c r="C5" s="79">
        <v>-153.625</v>
      </c>
    </row>
    <row r="6" spans="1:5" x14ac:dyDescent="0.25">
      <c r="B6" s="3" t="s">
        <v>211</v>
      </c>
      <c r="C6" s="79">
        <v>-24.875</v>
      </c>
    </row>
    <row r="7" spans="1:5" x14ac:dyDescent="0.25">
      <c r="B7" s="3" t="s">
        <v>212</v>
      </c>
      <c r="C7" s="79">
        <v>-2.125</v>
      </c>
    </row>
    <row r="9" spans="1:5" x14ac:dyDescent="0.25">
      <c r="B9" s="81" t="s">
        <v>238</v>
      </c>
    </row>
    <row r="10" spans="1:5" x14ac:dyDescent="0.25">
      <c r="B10" t="s">
        <v>133</v>
      </c>
      <c r="C10">
        <v>-4.28</v>
      </c>
    </row>
    <row r="11" spans="1:5" x14ac:dyDescent="0.25">
      <c r="B11" t="s">
        <v>210</v>
      </c>
      <c r="C11">
        <v>0.31</v>
      </c>
    </row>
    <row r="12" spans="1:5" x14ac:dyDescent="0.25">
      <c r="B12" t="s">
        <v>132</v>
      </c>
      <c r="C12">
        <v>12.9</v>
      </c>
    </row>
    <row r="13" spans="1:5" x14ac:dyDescent="0.25">
      <c r="B13" t="s">
        <v>215</v>
      </c>
      <c r="C13">
        <v>-1.05</v>
      </c>
    </row>
    <row r="14" spans="1:5" x14ac:dyDescent="0.25">
      <c r="B14" t="s">
        <v>214</v>
      </c>
      <c r="C14">
        <v>-6.47</v>
      </c>
    </row>
    <row r="15" spans="1:5" x14ac:dyDescent="0.25">
      <c r="B15" t="s">
        <v>216</v>
      </c>
      <c r="C15">
        <v>-0.09</v>
      </c>
    </row>
    <row r="16" spans="1:5" x14ac:dyDescent="0.25">
      <c r="B16" t="s">
        <v>217</v>
      </c>
      <c r="C16">
        <v>0.24</v>
      </c>
    </row>
    <row r="19" spans="2:3" x14ac:dyDescent="0.25">
      <c r="B19" t="s">
        <v>218</v>
      </c>
    </row>
    <row r="20" spans="2:3" x14ac:dyDescent="0.25">
      <c r="B20" t="s">
        <v>133</v>
      </c>
      <c r="C20">
        <f>ABS(C10)</f>
        <v>4.28</v>
      </c>
    </row>
    <row r="21" spans="2:3" x14ac:dyDescent="0.25">
      <c r="B21" t="s">
        <v>210</v>
      </c>
      <c r="C21">
        <f t="shared" ref="C21:C26" si="0">ABS(C11)</f>
        <v>0.31</v>
      </c>
    </row>
    <row r="22" spans="2:3" x14ac:dyDescent="0.25">
      <c r="B22" t="s">
        <v>132</v>
      </c>
      <c r="C22">
        <f t="shared" si="0"/>
        <v>12.9</v>
      </c>
    </row>
    <row r="23" spans="2:3" x14ac:dyDescent="0.25">
      <c r="B23" t="s">
        <v>215</v>
      </c>
      <c r="C23">
        <f t="shared" si="0"/>
        <v>1.05</v>
      </c>
    </row>
    <row r="24" spans="2:3" x14ac:dyDescent="0.25">
      <c r="B24" t="s">
        <v>214</v>
      </c>
      <c r="C24">
        <f t="shared" si="0"/>
        <v>6.47</v>
      </c>
    </row>
    <row r="25" spans="2:3" x14ac:dyDescent="0.25">
      <c r="B25" t="s">
        <v>216</v>
      </c>
      <c r="C25">
        <f>ABS(C15)</f>
        <v>0.09</v>
      </c>
    </row>
    <row r="26" spans="2:3" x14ac:dyDescent="0.25">
      <c r="B26" t="s">
        <v>217</v>
      </c>
      <c r="C26">
        <f t="shared" si="0"/>
        <v>0.24</v>
      </c>
    </row>
    <row r="29" spans="2:3" x14ac:dyDescent="0.25">
      <c r="B29" t="s">
        <v>240</v>
      </c>
    </row>
    <row r="31" spans="2:3" x14ac:dyDescent="0.25">
      <c r="B31" t="s">
        <v>216</v>
      </c>
      <c r="C31">
        <v>0.09</v>
      </c>
    </row>
    <row r="32" spans="2:3" x14ac:dyDescent="0.25">
      <c r="B32" t="s">
        <v>217</v>
      </c>
      <c r="C32">
        <v>0.24</v>
      </c>
    </row>
    <row r="33" spans="2:3" x14ac:dyDescent="0.25">
      <c r="B33" t="s">
        <v>210</v>
      </c>
      <c r="C33">
        <v>0.31</v>
      </c>
    </row>
    <row r="34" spans="2:3" x14ac:dyDescent="0.25">
      <c r="B34" t="s">
        <v>215</v>
      </c>
      <c r="C34">
        <v>1.05</v>
      </c>
    </row>
    <row r="35" spans="2:3" x14ac:dyDescent="0.25">
      <c r="B35" t="s">
        <v>133</v>
      </c>
      <c r="C35" s="19">
        <v>4.28</v>
      </c>
    </row>
    <row r="36" spans="2:3" x14ac:dyDescent="0.25">
      <c r="B36" t="s">
        <v>214</v>
      </c>
      <c r="C36" s="19">
        <v>6.47</v>
      </c>
    </row>
    <row r="37" spans="2:3" x14ac:dyDescent="0.25">
      <c r="B37" t="s">
        <v>132</v>
      </c>
      <c r="C37" s="19">
        <v>12.9</v>
      </c>
    </row>
    <row r="41" spans="2:3" x14ac:dyDescent="0.25">
      <c r="B41" t="s">
        <v>239</v>
      </c>
    </row>
    <row r="42" spans="2:3" ht="18.75" x14ac:dyDescent="0.35">
      <c r="B42" s="3" t="s">
        <v>219</v>
      </c>
      <c r="C42">
        <f>_xlfn.T.INV(0.975,7)</f>
        <v>2.3646242515927849</v>
      </c>
    </row>
  </sheetData>
  <sortState ref="B72:C78">
    <sortCondition ref="C72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75"/>
  <sheetViews>
    <sheetView topLeftCell="A13" workbookViewId="0">
      <selection activeCell="S24" sqref="S24"/>
    </sheetView>
  </sheetViews>
  <sheetFormatPr defaultRowHeight="15" x14ac:dyDescent="0.25"/>
  <cols>
    <col min="1" max="1" width="2.42578125" customWidth="1"/>
    <col min="2" max="2" width="10.28515625" customWidth="1"/>
    <col min="3" max="3" width="13.7109375" customWidth="1"/>
    <col min="4" max="4" width="10" customWidth="1"/>
    <col min="5" max="5" width="10.140625" customWidth="1"/>
    <col min="6" max="6" width="11.7109375" customWidth="1"/>
    <col min="7" max="7" width="5.7109375" customWidth="1"/>
    <col min="8" max="8" width="8.85546875" customWidth="1"/>
    <col min="9" max="9" width="8.5703125" customWidth="1"/>
    <col min="12" max="12" width="20.28515625" customWidth="1"/>
  </cols>
  <sheetData>
    <row r="1" spans="2:17" x14ac:dyDescent="0.25">
      <c r="B1" s="80" t="s">
        <v>177</v>
      </c>
      <c r="N1" s="29" t="s">
        <v>0</v>
      </c>
      <c r="O1" s="36" t="s">
        <v>1</v>
      </c>
    </row>
    <row r="2" spans="2:17" x14ac:dyDescent="0.25">
      <c r="B2" s="19" t="s">
        <v>221</v>
      </c>
      <c r="C2" s="19">
        <v>776.0625</v>
      </c>
      <c r="D2" s="19" t="s">
        <v>34</v>
      </c>
      <c r="E2" s="19">
        <v>-50.812499999999986</v>
      </c>
      <c r="F2" s="19" t="s">
        <v>157</v>
      </c>
      <c r="G2" s="19">
        <v>153.0625</v>
      </c>
      <c r="H2" s="19" t="s">
        <v>158</v>
      </c>
      <c r="I2" s="19">
        <v>-76.8125</v>
      </c>
      <c r="J2" s="19" t="s">
        <v>83</v>
      </c>
      <c r="N2" s="29">
        <f>(0.8+1.2)/2</f>
        <v>1</v>
      </c>
      <c r="O2" s="36">
        <f>(1.2-0.8)/2</f>
        <v>0.19999999999999996</v>
      </c>
    </row>
    <row r="3" spans="2:17" x14ac:dyDescent="0.25">
      <c r="B3" s="82" t="s">
        <v>181</v>
      </c>
      <c r="C3">
        <v>-5415.375</v>
      </c>
      <c r="D3" t="s">
        <v>34</v>
      </c>
      <c r="E3">
        <v>4354.6875</v>
      </c>
      <c r="F3" t="s">
        <v>167</v>
      </c>
      <c r="G3">
        <v>21.484999999999999</v>
      </c>
      <c r="H3" t="s">
        <v>168</v>
      </c>
      <c r="I3">
        <v>-15.362500000000001</v>
      </c>
      <c r="J3" t="s">
        <v>169</v>
      </c>
      <c r="N3" s="31">
        <f>(125+200)/2</f>
        <v>162.5</v>
      </c>
      <c r="O3" s="37">
        <f>(200-125)/2</f>
        <v>37.5</v>
      </c>
    </row>
    <row r="4" spans="2:17" x14ac:dyDescent="0.25">
      <c r="C4" s="1"/>
      <c r="E4" s="1"/>
      <c r="N4" s="33">
        <f>(275+325)/2</f>
        <v>300</v>
      </c>
      <c r="O4" s="38">
        <f>(325-275)/2</f>
        <v>25</v>
      </c>
    </row>
    <row r="5" spans="2:17" x14ac:dyDescent="0.25">
      <c r="B5" t="s">
        <v>220</v>
      </c>
    </row>
    <row r="6" spans="2:17" x14ac:dyDescent="0.25">
      <c r="I6" t="s">
        <v>224</v>
      </c>
      <c r="N6" t="s">
        <v>223</v>
      </c>
    </row>
    <row r="7" spans="2:17" x14ac:dyDescent="0.25">
      <c r="B7" s="1" t="s">
        <v>225</v>
      </c>
      <c r="C7" s="1" t="s">
        <v>136</v>
      </c>
      <c r="D7" s="1" t="s">
        <v>137</v>
      </c>
      <c r="E7" s="1" t="s">
        <v>138</v>
      </c>
      <c r="F7" s="80" t="s">
        <v>227</v>
      </c>
      <c r="I7" s="1" t="s">
        <v>136</v>
      </c>
      <c r="J7" s="1" t="s">
        <v>137</v>
      </c>
      <c r="K7" s="1" t="s">
        <v>138</v>
      </c>
      <c r="L7" s="1" t="s">
        <v>228</v>
      </c>
      <c r="N7" s="1" t="s">
        <v>2</v>
      </c>
      <c r="O7" s="1" t="s">
        <v>3</v>
      </c>
      <c r="P7" s="1" t="s">
        <v>69</v>
      </c>
      <c r="Q7" s="1" t="s">
        <v>222</v>
      </c>
    </row>
    <row r="8" spans="2:17" x14ac:dyDescent="0.25">
      <c r="B8">
        <v>1</v>
      </c>
      <c r="C8" s="83">
        <v>0.8</v>
      </c>
      <c r="D8" s="83">
        <v>125</v>
      </c>
      <c r="E8" s="83">
        <v>275</v>
      </c>
      <c r="F8" s="1">
        <v>602</v>
      </c>
      <c r="I8" s="83">
        <v>0.8</v>
      </c>
      <c r="J8" s="83">
        <v>125</v>
      </c>
      <c r="K8" s="83">
        <v>275</v>
      </c>
      <c r="L8" s="83">
        <f>$C$3+$E$3*I8+$G$3*K8+$I$3*I8*K8</f>
        <v>596.99999999999955</v>
      </c>
      <c r="N8">
        <f t="shared" ref="N8:N22" si="0">(I8-$N$2)/$O$2</f>
        <v>-1</v>
      </c>
      <c r="O8">
        <f>(J8-$N$3)/$O$3</f>
        <v>-1</v>
      </c>
      <c r="P8">
        <f>(K8-$N$4)/$O$4</f>
        <v>-1</v>
      </c>
      <c r="Q8">
        <f>$C$2+$E$2*N8+$G$2*P8+$I$2*N8*P8</f>
        <v>597</v>
      </c>
    </row>
    <row r="9" spans="2:17" x14ac:dyDescent="0.25">
      <c r="B9">
        <v>2</v>
      </c>
      <c r="C9" s="83">
        <v>1.2</v>
      </c>
      <c r="D9" s="83">
        <v>200</v>
      </c>
      <c r="E9" s="83">
        <v>325</v>
      </c>
      <c r="F9" s="1">
        <v>804</v>
      </c>
      <c r="I9" s="83">
        <v>1.2</v>
      </c>
      <c r="J9" s="83">
        <v>200</v>
      </c>
      <c r="K9" s="83">
        <v>325</v>
      </c>
      <c r="L9" s="83">
        <f t="shared" ref="L9:L21" si="1">$C$3+$E$3*I9+$G$3*K9+$I$3*I9*K9</f>
        <v>801.5</v>
      </c>
      <c r="N9">
        <f t="shared" si="0"/>
        <v>1</v>
      </c>
      <c r="O9">
        <f t="shared" ref="O9:O22" si="2">(J9-$N$3)/$O$3</f>
        <v>1</v>
      </c>
      <c r="P9">
        <f t="shared" ref="P9:P22" si="3">(K9-$N$4)/$O$4</f>
        <v>1</v>
      </c>
      <c r="Q9">
        <f t="shared" ref="Q9:Q22" si="4">$C$2+$E$2*N9+$G$2*P9+$I$2*N9*P9</f>
        <v>801.5</v>
      </c>
    </row>
    <row r="10" spans="2:17" x14ac:dyDescent="0.25">
      <c r="B10">
        <v>3</v>
      </c>
      <c r="C10" s="83">
        <v>0.9</v>
      </c>
      <c r="D10" s="83">
        <v>150</v>
      </c>
      <c r="E10" s="83">
        <v>300</v>
      </c>
      <c r="F10" s="1">
        <v>800</v>
      </c>
      <c r="I10" s="83">
        <v>0.9</v>
      </c>
      <c r="J10" s="83">
        <v>150</v>
      </c>
      <c r="K10" s="83">
        <v>300</v>
      </c>
      <c r="L10" s="83">
        <f t="shared" si="1"/>
        <v>801.46874999999909</v>
      </c>
      <c r="N10">
        <f t="shared" si="0"/>
        <v>-0.5</v>
      </c>
      <c r="O10">
        <f t="shared" si="2"/>
        <v>-0.33333333333333331</v>
      </c>
      <c r="P10">
        <f t="shared" si="3"/>
        <v>0</v>
      </c>
      <c r="Q10">
        <f t="shared" si="4"/>
        <v>801.46875</v>
      </c>
    </row>
    <row r="11" spans="2:17" x14ac:dyDescent="0.25">
      <c r="B11">
        <v>4</v>
      </c>
      <c r="C11" s="83">
        <v>1</v>
      </c>
      <c r="D11" s="83">
        <v>130</v>
      </c>
      <c r="E11" s="83">
        <v>280</v>
      </c>
      <c r="F11" s="1">
        <v>681</v>
      </c>
      <c r="I11" s="83">
        <v>1</v>
      </c>
      <c r="J11" s="83">
        <v>130</v>
      </c>
      <c r="K11" s="83">
        <v>280</v>
      </c>
      <c r="L11" s="83">
        <f t="shared" si="1"/>
        <v>653.61250000000018</v>
      </c>
      <c r="N11">
        <f t="shared" si="0"/>
        <v>0</v>
      </c>
      <c r="O11">
        <f t="shared" si="2"/>
        <v>-0.8666666666666667</v>
      </c>
      <c r="P11">
        <f t="shared" si="3"/>
        <v>-0.8</v>
      </c>
      <c r="Q11">
        <f t="shared" si="4"/>
        <v>653.61249999999995</v>
      </c>
    </row>
    <row r="12" spans="2:17" x14ac:dyDescent="0.25">
      <c r="B12">
        <v>5</v>
      </c>
      <c r="C12" s="83">
        <v>0.9</v>
      </c>
      <c r="D12" s="83">
        <v>190</v>
      </c>
      <c r="E12" s="83">
        <v>310</v>
      </c>
      <c r="F12" s="1">
        <v>900</v>
      </c>
      <c r="I12" s="83">
        <v>0.9</v>
      </c>
      <c r="J12" s="83">
        <v>190</v>
      </c>
      <c r="K12" s="83">
        <v>310</v>
      </c>
      <c r="L12" s="83">
        <f t="shared" si="1"/>
        <v>878.05624999999873</v>
      </c>
      <c r="N12">
        <f t="shared" si="0"/>
        <v>-0.5</v>
      </c>
      <c r="O12">
        <f t="shared" si="2"/>
        <v>0.73333333333333328</v>
      </c>
      <c r="P12">
        <f t="shared" si="3"/>
        <v>0.4</v>
      </c>
      <c r="Q12">
        <f t="shared" si="4"/>
        <v>878.05624999999998</v>
      </c>
    </row>
    <row r="13" spans="2:17" x14ac:dyDescent="0.25">
      <c r="B13">
        <v>6</v>
      </c>
      <c r="C13" s="83">
        <v>1.1000000000000001</v>
      </c>
      <c r="D13" s="83">
        <v>130</v>
      </c>
      <c r="E13" s="83">
        <v>320</v>
      </c>
      <c r="F13" s="1">
        <v>755</v>
      </c>
      <c r="I13" s="83">
        <v>1.1000000000000001</v>
      </c>
      <c r="J13" s="83">
        <v>130</v>
      </c>
      <c r="K13" s="83">
        <v>320</v>
      </c>
      <c r="L13" s="83">
        <f t="shared" si="1"/>
        <v>842.38124999999854</v>
      </c>
      <c r="N13">
        <f t="shared" si="0"/>
        <v>0.50000000000000056</v>
      </c>
      <c r="O13">
        <f t="shared" si="2"/>
        <v>-0.8666666666666667</v>
      </c>
      <c r="P13">
        <f t="shared" si="3"/>
        <v>0.8</v>
      </c>
      <c r="Q13">
        <f t="shared" si="4"/>
        <v>842.38125000000002</v>
      </c>
    </row>
    <row r="14" spans="2:17" x14ac:dyDescent="0.25">
      <c r="B14">
        <v>7</v>
      </c>
      <c r="C14" s="83">
        <v>0.8</v>
      </c>
      <c r="D14" s="83">
        <v>140</v>
      </c>
      <c r="E14" s="83">
        <v>290</v>
      </c>
      <c r="F14" s="1">
        <v>750</v>
      </c>
      <c r="I14" s="83">
        <v>0.8</v>
      </c>
      <c r="J14" s="83">
        <v>140</v>
      </c>
      <c r="K14" s="83">
        <v>290</v>
      </c>
      <c r="L14" s="83">
        <f t="shared" si="1"/>
        <v>734.92499999999927</v>
      </c>
      <c r="N14">
        <f t="shared" si="0"/>
        <v>-1</v>
      </c>
      <c r="O14">
        <f t="shared" si="2"/>
        <v>-0.6</v>
      </c>
      <c r="P14">
        <f t="shared" si="3"/>
        <v>-0.4</v>
      </c>
      <c r="Q14">
        <f t="shared" si="4"/>
        <v>734.92499999999995</v>
      </c>
    </row>
    <row r="15" spans="2:17" x14ac:dyDescent="0.25">
      <c r="B15">
        <v>8</v>
      </c>
      <c r="C15" s="83">
        <v>1</v>
      </c>
      <c r="D15" s="83">
        <v>190</v>
      </c>
      <c r="E15" s="83">
        <v>310</v>
      </c>
      <c r="F15" s="1">
        <v>840</v>
      </c>
      <c r="I15" s="83">
        <v>1</v>
      </c>
      <c r="J15" s="83">
        <v>190</v>
      </c>
      <c r="K15" s="83">
        <v>310</v>
      </c>
      <c r="L15" s="83">
        <f t="shared" si="1"/>
        <v>837.28749999999945</v>
      </c>
      <c r="N15">
        <f t="shared" si="0"/>
        <v>0</v>
      </c>
      <c r="O15">
        <f t="shared" si="2"/>
        <v>0.73333333333333328</v>
      </c>
      <c r="P15">
        <f t="shared" si="3"/>
        <v>0.4</v>
      </c>
      <c r="Q15">
        <f t="shared" si="4"/>
        <v>837.28750000000002</v>
      </c>
    </row>
    <row r="16" spans="2:17" x14ac:dyDescent="0.25">
      <c r="B16">
        <v>9</v>
      </c>
      <c r="C16" s="83">
        <v>1</v>
      </c>
      <c r="D16" s="83">
        <v>160</v>
      </c>
      <c r="E16" s="83">
        <v>275</v>
      </c>
      <c r="F16" s="1">
        <v>621</v>
      </c>
      <c r="I16" s="83">
        <v>1</v>
      </c>
      <c r="J16" s="83">
        <v>160</v>
      </c>
      <c r="K16" s="83">
        <v>275</v>
      </c>
      <c r="L16" s="83">
        <f t="shared" si="1"/>
        <v>623</v>
      </c>
      <c r="N16">
        <f t="shared" si="0"/>
        <v>0</v>
      </c>
      <c r="O16">
        <f t="shared" si="2"/>
        <v>-6.6666666666666666E-2</v>
      </c>
      <c r="P16">
        <f>(K16-$N$4)/$O$4</f>
        <v>-1</v>
      </c>
      <c r="Q16">
        <f t="shared" si="4"/>
        <v>623</v>
      </c>
    </row>
    <row r="17" spans="2:17" x14ac:dyDescent="0.25">
      <c r="B17">
        <v>10</v>
      </c>
      <c r="C17" s="83">
        <v>1.1000000000000001</v>
      </c>
      <c r="D17" s="83">
        <v>180</v>
      </c>
      <c r="E17" s="83">
        <v>300</v>
      </c>
      <c r="F17" s="1">
        <v>750</v>
      </c>
      <c r="I17" s="83">
        <v>1.1000000000000001</v>
      </c>
      <c r="J17" s="83">
        <v>180</v>
      </c>
      <c r="K17" s="83">
        <v>300</v>
      </c>
      <c r="L17" s="83">
        <f t="shared" si="1"/>
        <v>750.65624999999909</v>
      </c>
      <c r="N17">
        <f t="shared" si="0"/>
        <v>0.50000000000000056</v>
      </c>
      <c r="O17">
        <f t="shared" si="2"/>
        <v>0.46666666666666667</v>
      </c>
      <c r="P17">
        <f t="shared" si="3"/>
        <v>0</v>
      </c>
      <c r="Q17">
        <f t="shared" si="4"/>
        <v>750.65625</v>
      </c>
    </row>
    <row r="18" spans="2:17" x14ac:dyDescent="0.25">
      <c r="B18">
        <v>11</v>
      </c>
      <c r="C18" s="83">
        <v>1.2</v>
      </c>
      <c r="D18" s="83">
        <v>160</v>
      </c>
      <c r="E18" s="83">
        <v>300</v>
      </c>
      <c r="F18" s="1">
        <v>730</v>
      </c>
      <c r="I18" s="83">
        <v>1.2</v>
      </c>
      <c r="J18" s="83">
        <v>160</v>
      </c>
      <c r="K18" s="83">
        <v>300</v>
      </c>
      <c r="L18" s="83">
        <f t="shared" si="1"/>
        <v>725.25</v>
      </c>
      <c r="N18">
        <f t="shared" si="0"/>
        <v>1</v>
      </c>
      <c r="O18">
        <f t="shared" si="2"/>
        <v>-6.6666666666666666E-2</v>
      </c>
      <c r="P18">
        <f t="shared" si="3"/>
        <v>0</v>
      </c>
      <c r="Q18">
        <f t="shared" si="4"/>
        <v>725.25</v>
      </c>
    </row>
    <row r="19" spans="2:17" x14ac:dyDescent="0.25">
      <c r="B19">
        <v>12</v>
      </c>
      <c r="C19" s="83">
        <v>0.9</v>
      </c>
      <c r="D19" s="83">
        <v>130</v>
      </c>
      <c r="E19" s="83">
        <v>300</v>
      </c>
      <c r="F19" s="1">
        <v>800</v>
      </c>
      <c r="I19" s="83">
        <v>0.9</v>
      </c>
      <c r="J19" s="83">
        <v>130</v>
      </c>
      <c r="K19" s="83">
        <v>300</v>
      </c>
      <c r="L19" s="83">
        <f t="shared" si="1"/>
        <v>801.46874999999909</v>
      </c>
      <c r="N19">
        <f t="shared" si="0"/>
        <v>-0.5</v>
      </c>
      <c r="O19">
        <f t="shared" si="2"/>
        <v>-0.8666666666666667</v>
      </c>
      <c r="P19">
        <f t="shared" si="3"/>
        <v>0</v>
      </c>
      <c r="Q19">
        <f t="shared" si="4"/>
        <v>801.46875</v>
      </c>
    </row>
    <row r="20" spans="2:17" x14ac:dyDescent="0.25">
      <c r="B20">
        <v>13</v>
      </c>
      <c r="C20" s="83">
        <v>1</v>
      </c>
      <c r="D20" s="83">
        <v>180</v>
      </c>
      <c r="E20" s="83">
        <v>280</v>
      </c>
      <c r="F20" s="1">
        <v>654</v>
      </c>
      <c r="I20" s="83">
        <v>1</v>
      </c>
      <c r="J20" s="83">
        <v>180</v>
      </c>
      <c r="K20" s="83">
        <v>280</v>
      </c>
      <c r="L20" s="83">
        <f t="shared" si="1"/>
        <v>653.61250000000018</v>
      </c>
      <c r="N20">
        <f t="shared" si="0"/>
        <v>0</v>
      </c>
      <c r="O20">
        <f t="shared" si="2"/>
        <v>0.46666666666666667</v>
      </c>
      <c r="P20">
        <f t="shared" si="3"/>
        <v>-0.8</v>
      </c>
      <c r="Q20">
        <f t="shared" si="4"/>
        <v>653.61249999999995</v>
      </c>
    </row>
    <row r="21" spans="2:17" x14ac:dyDescent="0.25">
      <c r="B21">
        <v>14</v>
      </c>
      <c r="C21" s="83">
        <v>0.8</v>
      </c>
      <c r="D21" s="83">
        <v>190</v>
      </c>
      <c r="E21" s="83">
        <v>290</v>
      </c>
      <c r="F21" s="1">
        <v>695</v>
      </c>
      <c r="I21" s="83">
        <v>0.8</v>
      </c>
      <c r="J21" s="83">
        <v>190</v>
      </c>
      <c r="K21" s="83">
        <v>290</v>
      </c>
      <c r="L21" s="83">
        <f t="shared" si="1"/>
        <v>734.92499999999927</v>
      </c>
      <c r="N21">
        <f t="shared" si="0"/>
        <v>-1</v>
      </c>
      <c r="O21">
        <f t="shared" si="2"/>
        <v>0.73333333333333328</v>
      </c>
      <c r="P21">
        <f t="shared" si="3"/>
        <v>-0.4</v>
      </c>
      <c r="Q21">
        <f t="shared" si="4"/>
        <v>734.92499999999995</v>
      </c>
    </row>
    <row r="22" spans="2:17" x14ac:dyDescent="0.25">
      <c r="B22">
        <v>15</v>
      </c>
      <c r="C22" s="83">
        <v>0.9</v>
      </c>
      <c r="D22" s="83">
        <v>150</v>
      </c>
      <c r="E22" s="83">
        <v>320</v>
      </c>
      <c r="F22" s="1">
        <v>1000</v>
      </c>
      <c r="I22" s="83">
        <v>0.9</v>
      </c>
      <c r="J22" s="83">
        <v>150</v>
      </c>
      <c r="K22" s="83">
        <v>320</v>
      </c>
      <c r="L22" s="83">
        <f>$C$3+$E$3*I22+$G$3*K22+$I$3*I22*K22</f>
        <v>954.64374999999927</v>
      </c>
      <c r="N22">
        <f t="shared" si="0"/>
        <v>-0.5</v>
      </c>
      <c r="O22">
        <f t="shared" si="2"/>
        <v>-0.33333333333333331</v>
      </c>
      <c r="P22">
        <f t="shared" si="3"/>
        <v>0.8</v>
      </c>
      <c r="Q22">
        <f t="shared" si="4"/>
        <v>954.64375000000007</v>
      </c>
    </row>
    <row r="23" spans="2:17" x14ac:dyDescent="0.25">
      <c r="B23" s="84"/>
      <c r="C23" s="85"/>
      <c r="D23" s="85"/>
      <c r="E23" s="85"/>
      <c r="F23" s="85"/>
      <c r="I23" s="83"/>
    </row>
    <row r="24" spans="2:17" x14ac:dyDescent="0.25">
      <c r="B24" s="3" t="s">
        <v>226</v>
      </c>
      <c r="C24">
        <f>CORREL(F8:F22,L8:L22)</f>
        <v>0.95805511939326715</v>
      </c>
    </row>
    <row r="42" spans="3:4" x14ac:dyDescent="0.25">
      <c r="C42" t="s">
        <v>6</v>
      </c>
    </row>
    <row r="43" spans="3:4" ht="15.75" thickBot="1" x14ac:dyDescent="0.3"/>
    <row r="44" spans="3:4" x14ac:dyDescent="0.25">
      <c r="C44" s="89" t="s">
        <v>7</v>
      </c>
      <c r="D44" s="89"/>
    </row>
    <row r="45" spans="3:4" x14ac:dyDescent="0.25">
      <c r="C45" s="86" t="s">
        <v>8</v>
      </c>
      <c r="D45" s="86">
        <v>0.95805511939326737</v>
      </c>
    </row>
    <row r="46" spans="3:4" x14ac:dyDescent="0.25">
      <c r="C46" s="86" t="s">
        <v>9</v>
      </c>
      <c r="D46" s="86">
        <v>0.91786961179564774</v>
      </c>
    </row>
    <row r="47" spans="3:4" x14ac:dyDescent="0.25">
      <c r="C47" s="86" t="s">
        <v>10</v>
      </c>
      <c r="D47" s="86">
        <v>0.91155188962608225</v>
      </c>
    </row>
    <row r="48" spans="3:4" x14ac:dyDescent="0.25">
      <c r="C48" s="86" t="s">
        <v>11</v>
      </c>
      <c r="D48" s="86">
        <v>31.376231479952946</v>
      </c>
    </row>
    <row r="49" spans="3:11" ht="15.75" thickBot="1" x14ac:dyDescent="0.3">
      <c r="C49" s="87" t="s">
        <v>12</v>
      </c>
      <c r="D49" s="87">
        <v>15</v>
      </c>
    </row>
    <row r="51" spans="3:11" ht="15.75" thickBot="1" x14ac:dyDescent="0.3">
      <c r="C51" t="s">
        <v>13</v>
      </c>
    </row>
    <row r="52" spans="3:11" x14ac:dyDescent="0.25">
      <c r="C52" s="88"/>
      <c r="D52" s="88" t="s">
        <v>14</v>
      </c>
      <c r="E52" s="88" t="s">
        <v>15</v>
      </c>
      <c r="F52" s="88" t="s">
        <v>16</v>
      </c>
      <c r="G52" s="88" t="s">
        <v>17</v>
      </c>
      <c r="H52" s="88" t="s">
        <v>18</v>
      </c>
    </row>
    <row r="53" spans="3:11" x14ac:dyDescent="0.25">
      <c r="C53" s="86" t="s">
        <v>19</v>
      </c>
      <c r="D53" s="86">
        <v>1</v>
      </c>
      <c r="E53" s="86">
        <v>143028.31727551334</v>
      </c>
      <c r="F53" s="86">
        <v>143028.31727551334</v>
      </c>
      <c r="G53" s="86">
        <v>145.28489654345879</v>
      </c>
      <c r="H53" s="86">
        <v>1.9813043947210985E-8</v>
      </c>
    </row>
    <row r="54" spans="3:11" x14ac:dyDescent="0.25">
      <c r="C54" s="86" t="s">
        <v>20</v>
      </c>
      <c r="D54" s="86">
        <v>13</v>
      </c>
      <c r="E54" s="86">
        <v>12798.082724486672</v>
      </c>
      <c r="F54" s="86">
        <v>984.46790188359023</v>
      </c>
      <c r="G54" s="86"/>
      <c r="H54" s="86"/>
    </row>
    <row r="55" spans="3:11" ht="15.75" thickBot="1" x14ac:dyDescent="0.3">
      <c r="C55" s="87" t="s">
        <v>21</v>
      </c>
      <c r="D55" s="87">
        <v>14</v>
      </c>
      <c r="E55" s="87">
        <v>155826.40000000002</v>
      </c>
      <c r="F55" s="87"/>
      <c r="G55" s="87"/>
      <c r="H55" s="87"/>
    </row>
    <row r="56" spans="3:11" ht="15.75" thickBot="1" x14ac:dyDescent="0.3"/>
    <row r="57" spans="3:11" x14ac:dyDescent="0.25">
      <c r="C57" s="88"/>
      <c r="D57" s="88" t="s">
        <v>22</v>
      </c>
      <c r="E57" s="88" t="s">
        <v>11</v>
      </c>
      <c r="F57" s="88" t="s">
        <v>23</v>
      </c>
      <c r="G57" s="88" t="s">
        <v>24</v>
      </c>
      <c r="H57" s="88" t="s">
        <v>25</v>
      </c>
      <c r="I57" s="88" t="s">
        <v>26</v>
      </c>
      <c r="J57" s="88" t="s">
        <v>72</v>
      </c>
      <c r="K57" s="88" t="s">
        <v>73</v>
      </c>
    </row>
    <row r="58" spans="3:11" x14ac:dyDescent="0.25">
      <c r="C58" s="86" t="s">
        <v>33</v>
      </c>
      <c r="D58" s="86">
        <v>-7.9620056375407557</v>
      </c>
      <c r="E58" s="86">
        <v>64.127438116840338</v>
      </c>
      <c r="F58" s="86">
        <v>-0.12415910991226506</v>
      </c>
      <c r="G58" s="86">
        <v>0.90308854195191257</v>
      </c>
      <c r="H58" s="86">
        <v>-146.50091296442</v>
      </c>
      <c r="I58" s="86">
        <v>130.57690168933848</v>
      </c>
      <c r="J58" s="86">
        <v>-146.50091296442</v>
      </c>
      <c r="K58" s="86">
        <v>130.57690168933848</v>
      </c>
    </row>
    <row r="59" spans="3:11" ht="15.75" thickBot="1" x14ac:dyDescent="0.3">
      <c r="C59" s="87" t="s">
        <v>229</v>
      </c>
      <c r="D59" s="87">
        <v>1.0098019901216875</v>
      </c>
      <c r="E59" s="87">
        <v>8.3777228308426238E-2</v>
      </c>
      <c r="F59" s="87">
        <v>12.053418458821495</v>
      </c>
      <c r="G59" s="87">
        <v>1.9813043947211058E-8</v>
      </c>
      <c r="H59" s="87">
        <v>0.8288122919588361</v>
      </c>
      <c r="I59" s="87">
        <v>1.1907916882845389</v>
      </c>
      <c r="J59" s="87">
        <v>0.8288122919588361</v>
      </c>
      <c r="K59" s="87">
        <v>1.1907916882845389</v>
      </c>
    </row>
    <row r="60" spans="3:11" x14ac:dyDescent="0.25">
      <c r="C60" s="86"/>
      <c r="D60" s="86"/>
      <c r="E60" s="86"/>
      <c r="F60" s="86"/>
      <c r="G60" s="86"/>
      <c r="H60" s="86"/>
      <c r="I60" s="86"/>
      <c r="J60" s="86"/>
      <c r="K60" s="86"/>
    </row>
    <row r="61" spans="3:11" x14ac:dyDescent="0.25">
      <c r="C61" t="s">
        <v>235</v>
      </c>
      <c r="E61" s="86"/>
      <c r="F61" s="86"/>
      <c r="G61" s="86"/>
      <c r="H61" s="86"/>
      <c r="I61" s="86"/>
      <c r="J61" s="86"/>
      <c r="K61" s="86"/>
    </row>
    <row r="62" spans="3:11" x14ac:dyDescent="0.25">
      <c r="C62" s="3" t="s">
        <v>230</v>
      </c>
      <c r="D62">
        <f>D58/E58</f>
        <v>-0.12415910991226506</v>
      </c>
      <c r="E62" s="86"/>
      <c r="F62" s="86"/>
      <c r="G62" s="86"/>
      <c r="H62" s="86"/>
      <c r="I62" s="86"/>
      <c r="J62" s="86"/>
      <c r="K62" s="86"/>
    </row>
    <row r="63" spans="3:11" ht="18.75" x14ac:dyDescent="0.35">
      <c r="C63" s="3" t="s">
        <v>231</v>
      </c>
      <c r="D63">
        <f>_xlfn.T.INV(0.975,13)</f>
        <v>2.1603686564627917</v>
      </c>
      <c r="E63" s="86"/>
      <c r="F63" s="86"/>
      <c r="G63" s="86"/>
      <c r="H63" s="86"/>
      <c r="I63" s="86"/>
      <c r="J63" s="86"/>
      <c r="K63" s="86"/>
    </row>
    <row r="64" spans="3:11" x14ac:dyDescent="0.25">
      <c r="C64" s="3" t="s">
        <v>63</v>
      </c>
      <c r="D64" s="95">
        <f>2*MIN(_xlfn.T.DIST(D62,13,1),1-_xlfn.T.DIST(D62,13,1))</f>
        <v>0.90308854195191257</v>
      </c>
      <c r="E64" s="95"/>
      <c r="F64" s="86"/>
      <c r="G64" s="86"/>
      <c r="H64" s="86"/>
      <c r="I64" s="86"/>
      <c r="J64" s="86"/>
      <c r="K64" s="86"/>
    </row>
    <row r="65" spans="3:11" x14ac:dyDescent="0.25">
      <c r="C65" s="3" t="s">
        <v>233</v>
      </c>
      <c r="D65">
        <f>E58*D63</f>
        <v>138.53890732687918</v>
      </c>
      <c r="E65" s="86"/>
      <c r="F65" s="86"/>
      <c r="G65" s="86"/>
      <c r="H65" s="86"/>
      <c r="I65" s="86"/>
      <c r="J65" s="86"/>
      <c r="K65" s="86"/>
    </row>
    <row r="66" spans="3:11" x14ac:dyDescent="0.25">
      <c r="C66" s="3" t="s">
        <v>234</v>
      </c>
      <c r="E66" s="86"/>
      <c r="F66" s="86"/>
      <c r="G66" s="86"/>
      <c r="H66" s="86"/>
      <c r="I66" s="86"/>
      <c r="J66" s="86"/>
      <c r="K66" s="86"/>
    </row>
    <row r="67" spans="3:11" x14ac:dyDescent="0.25">
      <c r="C67" s="16">
        <f>D58-D65</f>
        <v>-146.50091296441994</v>
      </c>
      <c r="D67" s="17">
        <f>D58+D65</f>
        <v>130.57690168933843</v>
      </c>
      <c r="E67" s="86"/>
      <c r="F67" s="86"/>
      <c r="G67" s="86"/>
      <c r="H67" s="86"/>
      <c r="I67" s="86"/>
      <c r="J67" s="86"/>
      <c r="K67" s="86"/>
    </row>
    <row r="69" spans="3:11" x14ac:dyDescent="0.25">
      <c r="C69" t="s">
        <v>232</v>
      </c>
    </row>
    <row r="70" spans="3:11" x14ac:dyDescent="0.25">
      <c r="C70" s="3" t="s">
        <v>230</v>
      </c>
      <c r="D70">
        <f>(D59-1)/E59</f>
        <v>0.11700064945573761</v>
      </c>
    </row>
    <row r="71" spans="3:11" ht="18.75" x14ac:dyDescent="0.35">
      <c r="C71" s="3" t="s">
        <v>231</v>
      </c>
      <c r="D71">
        <f>_xlfn.T.INV(0.975,13)</f>
        <v>2.1603686564627917</v>
      </c>
    </row>
    <row r="72" spans="3:11" x14ac:dyDescent="0.25">
      <c r="C72" s="3" t="s">
        <v>63</v>
      </c>
      <c r="D72">
        <f>2*MIN(_xlfn.T.DIST(D70,13,1),1-_xlfn.T.DIST(D70,13,1))</f>
        <v>0.9086478008206158</v>
      </c>
    </row>
    <row r="73" spans="3:11" x14ac:dyDescent="0.25">
      <c r="C73" s="3" t="s">
        <v>233</v>
      </c>
      <c r="D73">
        <f>E59*D71</f>
        <v>0.18098969816285135</v>
      </c>
    </row>
    <row r="74" spans="3:11" x14ac:dyDescent="0.25">
      <c r="C74" s="3" t="s">
        <v>234</v>
      </c>
    </row>
    <row r="75" spans="3:11" x14ac:dyDescent="0.25">
      <c r="C75" s="16">
        <f>D59-D73</f>
        <v>0.8288122919588361</v>
      </c>
      <c r="D75" s="17">
        <f>D59+D73</f>
        <v>1.1907916882845389</v>
      </c>
    </row>
  </sheetData>
  <mergeCells count="1">
    <mergeCell ref="D64:E64"/>
  </mergeCells>
  <pageMargins left="0.25" right="0.25" top="0.75" bottom="0.75" header="0.3" footer="0.3"/>
  <pageSetup paperSize="9" scale="87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10</vt:i4>
      </vt:variant>
    </vt:vector>
  </HeadingPairs>
  <TitlesOfParts>
    <vt:vector size="10" baseType="lpstr">
      <vt:lpstr>Hárok1</vt:lpstr>
      <vt:lpstr>MNŠ</vt:lpstr>
      <vt:lpstr>hierarchicky model</vt:lpstr>
      <vt:lpstr>nitridove leptanie_testy</vt:lpstr>
      <vt:lpstr>R squared_R pred</vt:lpstr>
      <vt:lpstr>hlavne efekty</vt:lpstr>
      <vt:lpstr>efekty interakcií</vt:lpstr>
      <vt:lpstr>Pareto graf</vt:lpstr>
      <vt:lpstr>validacia modelu</vt:lpstr>
      <vt:lpstr>predikcia_optimalizacia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Janette Kotianová</dc:creator>
  <cp:lastModifiedBy>Janette Kotianová</cp:lastModifiedBy>
  <cp:lastPrinted>2024-11-16T06:50:10Z</cp:lastPrinted>
  <dcterms:created xsi:type="dcterms:W3CDTF">2019-11-20T13:20:22Z</dcterms:created>
  <dcterms:modified xsi:type="dcterms:W3CDTF">2024-11-16T14:48:48Z</dcterms:modified>
</cp:coreProperties>
</file>